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03 HEAD OFFICE\04 TENDER\36 KHANNA COURTYARD VILLA - SUBMITTED\03 QUANTITY TAKEOFF\Jeric\"/>
    </mc:Choice>
  </mc:AlternateContent>
  <xr:revisionPtr revIDLastSave="0" documentId="13_ncr:1_{B2D56817-E789-459A-ABA4-C97B8FCA961B}" xr6:coauthVersionLast="47" xr6:coauthVersionMax="47" xr10:uidLastSave="{00000000-0000-0000-0000-000000000000}"/>
  <bookViews>
    <workbookView xWindow="-120" yWindow="-120" windowWidth="29040" windowHeight="15720" firstSheet="7" activeTab="11" xr2:uid="{0F4F9304-A457-4CBE-A1BE-47CC312BD2DF}"/>
  </bookViews>
  <sheets>
    <sheet name="Sheet9" sheetId="9" r:id="rId1"/>
    <sheet name="Level Cal" sheetId="1" r:id="rId2"/>
    <sheet name="SITE WORK " sheetId="2" state="hidden" r:id="rId3"/>
    <sheet name="Level Cal (2)" sheetId="22" r:id="rId4"/>
    <sheet name="EARTHWORKS" sheetId="3" r:id="rId5"/>
    <sheet name="PCC" sheetId="4" r:id="rId6"/>
    <sheet name="Waterproofing Works" sheetId="20" r:id="rId7"/>
    <sheet name="Concrete Substructure" sheetId="15" r:id="rId8"/>
    <sheet name="Concrete SuperStructure" sheetId="16" r:id="rId9"/>
    <sheet name="SUMMARY" sheetId="10" r:id="rId10"/>
    <sheet name="Rebar-Substructure" sheetId="17" r:id="rId11"/>
    <sheet name="Rebar-Superstructure" sheetId="18" r:id="rId12"/>
    <sheet name="REBAR RATIO" sheetId="21" r:id="rId13"/>
    <sheet name="Masonry" sheetId="6" r:id="rId14"/>
  </sheets>
  <definedNames>
    <definedName name="_xlnm.Print_Area" localSheetId="4">EARTHWORKS!$A$1:$S$29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6" l="1"/>
  <c r="L26" i="16"/>
  <c r="K41" i="16"/>
  <c r="K26" i="16"/>
  <c r="L73" i="10"/>
  <c r="E37" i="1" l="1"/>
  <c r="E45" i="1"/>
  <c r="E41" i="1"/>
  <c r="E33" i="1"/>
  <c r="F50" i="1" s="1"/>
  <c r="M12" i="22"/>
  <c r="M26" i="22"/>
  <c r="M18" i="22"/>
  <c r="M14" i="22"/>
  <c r="M6" i="22"/>
  <c r="M28" i="22" s="1"/>
  <c r="C12" i="22"/>
  <c r="E26" i="22"/>
  <c r="F23" i="22"/>
  <c r="I22" i="22"/>
  <c r="E18" i="22"/>
  <c r="F18" i="22" s="1"/>
  <c r="E14" i="22"/>
  <c r="F14" i="22" s="1"/>
  <c r="F12" i="22"/>
  <c r="I21" i="22"/>
  <c r="E6" i="22"/>
  <c r="E28" i="22" s="1"/>
  <c r="U32" i="22"/>
  <c r="U36" i="22" s="1"/>
  <c r="U27" i="22"/>
  <c r="E28" i="1"/>
  <c r="E26" i="1"/>
  <c r="E18" i="1"/>
  <c r="F37" i="1" l="1"/>
  <c r="F39" i="1"/>
  <c r="F41" i="1"/>
  <c r="F45" i="1"/>
  <c r="N18" i="22"/>
  <c r="N12" i="22"/>
  <c r="N14" i="22"/>
  <c r="N23" i="22"/>
  <c r="N10" i="22"/>
  <c r="F10" i="22"/>
  <c r="E138" i="20"/>
  <c r="E131" i="20"/>
  <c r="E142" i="20"/>
  <c r="E134" i="20"/>
  <c r="E130" i="20"/>
  <c r="J106" i="20"/>
  <c r="J111" i="20"/>
  <c r="N13" i="3" l="1"/>
  <c r="N12" i="3"/>
  <c r="L154" i="16"/>
  <c r="K154" i="16"/>
  <c r="K156" i="16" s="1"/>
  <c r="J154" i="16"/>
  <c r="J112" i="20"/>
  <c r="F18" i="1"/>
  <c r="EB21" i="17"/>
  <c r="EA18" i="17"/>
  <c r="V44" i="15"/>
  <c r="K13" i="16" l="1"/>
  <c r="K27" i="15"/>
  <c r="K23" i="15"/>
  <c r="K26" i="15"/>
  <c r="K25" i="15"/>
  <c r="K24" i="15"/>
  <c r="J14" i="15"/>
  <c r="K14" i="15"/>
  <c r="E38" i="10"/>
  <c r="AA14" i="21"/>
  <c r="AA16" i="21"/>
  <c r="AA8" i="21"/>
  <c r="O42" i="21"/>
  <c r="O40" i="21"/>
  <c r="O34" i="21"/>
  <c r="O33" i="21"/>
  <c r="O36" i="21" s="1"/>
  <c r="O29" i="21"/>
  <c r="O28" i="21"/>
  <c r="O27" i="21"/>
  <c r="O30" i="21" s="1"/>
  <c r="P30" i="21" s="1"/>
  <c r="Q17" i="21"/>
  <c r="Q16" i="21"/>
  <c r="Q15" i="21"/>
  <c r="Q14" i="21"/>
  <c r="Q10" i="21"/>
  <c r="Q9" i="21"/>
  <c r="Q8" i="21"/>
  <c r="Q7" i="21"/>
  <c r="Q6" i="21"/>
  <c r="M7" i="21"/>
  <c r="M8" i="21"/>
  <c r="M9" i="21"/>
  <c r="M10" i="21"/>
  <c r="M14" i="21"/>
  <c r="M15" i="21"/>
  <c r="M16" i="21"/>
  <c r="M17" i="21"/>
  <c r="M18" i="21"/>
  <c r="M21" i="21"/>
  <c r="M23" i="21"/>
  <c r="M7" i="17"/>
  <c r="L7" i="17"/>
  <c r="G34" i="21"/>
  <c r="G33" i="21"/>
  <c r="G36" i="21" s="1"/>
  <c r="CK19" i="18"/>
  <c r="S28" i="21"/>
  <c r="S29" i="21" s="1"/>
  <c r="O37" i="21" l="1"/>
  <c r="O39" i="21"/>
  <c r="G39" i="21"/>
  <c r="G37" i="21"/>
  <c r="J103" i="16"/>
  <c r="L103" i="16" s="1"/>
  <c r="G29" i="21" l="1"/>
  <c r="G28" i="21"/>
  <c r="G27" i="21"/>
  <c r="G30" i="21" l="1"/>
  <c r="CP17" i="18" l="1"/>
  <c r="CQ6" i="18"/>
  <c r="X82" i="18"/>
  <c r="J139" i="18"/>
  <c r="K139" i="18" s="1"/>
  <c r="J143" i="18"/>
  <c r="N18" i="18"/>
  <c r="K143" i="18"/>
  <c r="L143" i="18" s="1"/>
  <c r="L151" i="18"/>
  <c r="L150" i="18"/>
  <c r="L149" i="18"/>
  <c r="L148" i="18"/>
  <c r="K140" i="18"/>
  <c r="K153" i="18" s="1"/>
  <c r="K141" i="18"/>
  <c r="L141" i="18" s="1"/>
  <c r="K142" i="18"/>
  <c r="L142" i="18" s="1"/>
  <c r="K144" i="18"/>
  <c r="L144" i="18" s="1"/>
  <c r="K145" i="18"/>
  <c r="L145" i="18" s="1"/>
  <c r="K146" i="18"/>
  <c r="L146" i="18" s="1"/>
  <c r="K148" i="18"/>
  <c r="K149" i="18"/>
  <c r="K150" i="18"/>
  <c r="K151" i="18"/>
  <c r="J140" i="18"/>
  <c r="J141" i="18"/>
  <c r="J142" i="18"/>
  <c r="J144" i="18"/>
  <c r="J145" i="18"/>
  <c r="J146" i="18"/>
  <c r="J147" i="18"/>
  <c r="K147" i="18" s="1"/>
  <c r="L147" i="18" s="1"/>
  <c r="J148" i="18"/>
  <c r="J149" i="18"/>
  <c r="J150" i="18"/>
  <c r="J151" i="18"/>
  <c r="AX27" i="17"/>
  <c r="BE19" i="17"/>
  <c r="BD19" i="17"/>
  <c r="BD16" i="17"/>
  <c r="BB12" i="17"/>
  <c r="BB11" i="17"/>
  <c r="BE11" i="17"/>
  <c r="BE12" i="17"/>
  <c r="BJ10" i="17"/>
  <c r="BB9" i="17"/>
  <c r="BJ9" i="17"/>
  <c r="BI9" i="17"/>
  <c r="AY8" i="17"/>
  <c r="BE7" i="17"/>
  <c r="BJ7" i="17"/>
  <c r="K154" i="18" l="1"/>
  <c r="L140" i="18"/>
  <c r="L139" i="18"/>
  <c r="AK38" i="17"/>
  <c r="AK32" i="17"/>
  <c r="AJ32" i="17"/>
  <c r="AJ31" i="17"/>
  <c r="AJ8" i="17"/>
  <c r="AI8" i="17"/>
  <c r="AG8" i="17"/>
  <c r="AI7" i="17"/>
  <c r="AJ40" i="17"/>
  <c r="AO31" i="17"/>
  <c r="AN31" i="17"/>
  <c r="AN16" i="17"/>
  <c r="AO12" i="17"/>
  <c r="AO11" i="17"/>
  <c r="AO13" i="17"/>
  <c r="AQ13" i="17"/>
  <c r="AP13" i="17"/>
  <c r="AN13" i="17"/>
  <c r="AJ13" i="17"/>
  <c r="AI13" i="17"/>
  <c r="AI12" i="17"/>
  <c r="AG13" i="17"/>
  <c r="AG12" i="17"/>
  <c r="AQ10" i="17"/>
  <c r="AP10" i="17"/>
  <c r="AO10" i="17"/>
  <c r="AN10" i="17"/>
  <c r="AN8" i="17"/>
  <c r="AK8" i="17"/>
  <c r="AI42" i="17"/>
  <c r="AI40" i="17"/>
  <c r="AI37" i="17"/>
  <c r="AI33" i="17"/>
  <c r="AI29" i="17"/>
  <c r="AI26" i="17"/>
  <c r="AI23" i="17"/>
  <c r="AI20" i="17"/>
  <c r="AI17" i="17"/>
  <c r="AI14" i="17"/>
  <c r="AI11" i="17"/>
  <c r="AI9" i="17"/>
  <c r="E43" i="10"/>
  <c r="E42" i="10"/>
  <c r="E39" i="10"/>
  <c r="I22" i="1"/>
  <c r="I21" i="1"/>
  <c r="F14" i="1" l="1"/>
  <c r="F12" i="1"/>
  <c r="F23" i="1"/>
  <c r="I45" i="15"/>
  <c r="F74" i="17" l="1"/>
  <c r="F88" i="17"/>
  <c r="C39" i="10"/>
  <c r="C38" i="10"/>
  <c r="F89" i="17"/>
  <c r="V58" i="17"/>
  <c r="V57" i="17"/>
  <c r="J59" i="17"/>
  <c r="G59" i="17"/>
  <c r="S59" i="17"/>
  <c r="S58" i="17"/>
  <c r="M58" i="17"/>
  <c r="L58" i="17"/>
  <c r="J58" i="17"/>
  <c r="S69" i="17"/>
  <c r="Q69" i="17"/>
  <c r="J69" i="17"/>
  <c r="R69" i="17" s="1"/>
  <c r="T69" i="17" s="1"/>
  <c r="J68" i="17"/>
  <c r="S68" i="17"/>
  <c r="Q68" i="17"/>
  <c r="S67" i="17"/>
  <c r="Q67" i="17"/>
  <c r="J67" i="17"/>
  <c r="R67" i="17" s="1"/>
  <c r="T67" i="17" s="1"/>
  <c r="S66" i="17"/>
  <c r="Q66" i="17"/>
  <c r="J66" i="17"/>
  <c r="S65" i="17"/>
  <c r="Q65" i="17"/>
  <c r="J65" i="17"/>
  <c r="S64" i="17"/>
  <c r="Q64" i="17"/>
  <c r="J64" i="17"/>
  <c r="Q59" i="17" l="1"/>
  <c r="R59" i="17" s="1"/>
  <c r="T59" i="17" s="1"/>
  <c r="N58" i="17"/>
  <c r="Q58" i="17" s="1"/>
  <c r="R58" i="17" s="1"/>
  <c r="T58" i="17" s="1"/>
  <c r="R68" i="17"/>
  <c r="T68" i="17" s="1"/>
  <c r="R65" i="17"/>
  <c r="T65" i="17" s="1"/>
  <c r="R66" i="17"/>
  <c r="T66" i="17" s="1"/>
  <c r="R64" i="17"/>
  <c r="T64" i="17" s="1"/>
  <c r="J7" i="17"/>
  <c r="J10" i="17"/>
  <c r="J9" i="17"/>
  <c r="J8" i="17"/>
  <c r="Y17" i="21"/>
  <c r="Y11" i="21"/>
  <c r="V63" i="17" l="1"/>
  <c r="Y18" i="21"/>
  <c r="Y19" i="21" s="1"/>
  <c r="Y16" i="21"/>
  <c r="Y21" i="21" s="1"/>
  <c r="Y15" i="21"/>
  <c r="H30" i="21" s="1"/>
  <c r="Y14" i="21"/>
  <c r="Y10" i="21"/>
  <c r="Y9" i="21"/>
  <c r="Y8" i="21"/>
  <c r="Y7" i="21"/>
  <c r="I6" i="21"/>
  <c r="U18" i="21"/>
  <c r="U19" i="21" s="1"/>
  <c r="I17" i="21"/>
  <c r="U16" i="21"/>
  <c r="I16" i="21"/>
  <c r="U15" i="21"/>
  <c r="G40" i="21" s="1"/>
  <c r="G42" i="21" s="1"/>
  <c r="I15" i="21"/>
  <c r="U14" i="21"/>
  <c r="I14" i="21"/>
  <c r="M20" i="21" s="1"/>
  <c r="U10" i="21"/>
  <c r="I10" i="21"/>
  <c r="U9" i="21"/>
  <c r="I9" i="21"/>
  <c r="U8" i="21"/>
  <c r="AA10" i="21" s="1"/>
  <c r="U7" i="21"/>
  <c r="I7" i="21"/>
  <c r="L24" i="21" l="1"/>
  <c r="L25" i="21"/>
  <c r="U21" i="21"/>
  <c r="Y32" i="1" l="1"/>
  <c r="Y36" i="1"/>
  <c r="S45" i="4" l="1"/>
  <c r="S11" i="4"/>
  <c r="N45" i="4"/>
  <c r="N11" i="4"/>
  <c r="L152" i="16"/>
  <c r="L151" i="16"/>
  <c r="J152" i="16"/>
  <c r="K152" i="16"/>
  <c r="M166" i="16"/>
  <c r="K151" i="16"/>
  <c r="O22" i="3"/>
  <c r="G76" i="20"/>
  <c r="G64" i="20"/>
  <c r="G45" i="20"/>
  <c r="G51" i="20" s="1"/>
  <c r="G39" i="20"/>
  <c r="G57" i="20"/>
  <c r="G27" i="20"/>
  <c r="G21" i="20"/>
  <c r="J95" i="20"/>
  <c r="J94" i="20"/>
  <c r="J81" i="20"/>
  <c r="J80" i="20"/>
  <c r="J75" i="20"/>
  <c r="J74" i="20"/>
  <c r="J69" i="20"/>
  <c r="J68" i="20"/>
  <c r="J63" i="20"/>
  <c r="J62" i="20"/>
  <c r="J55" i="20"/>
  <c r="J50" i="20"/>
  <c r="J49" i="20"/>
  <c r="J44" i="20"/>
  <c r="J43" i="20"/>
  <c r="J37" i="20"/>
  <c r="J32" i="20"/>
  <c r="J31" i="20"/>
  <c r="J26" i="20"/>
  <c r="J25" i="20"/>
  <c r="J20" i="20"/>
  <c r="J19" i="20"/>
  <c r="J30" i="20"/>
  <c r="J24" i="20"/>
  <c r="C116" i="10"/>
  <c r="E116" i="10" s="1"/>
  <c r="J113" i="20"/>
  <c r="C122" i="10" s="1"/>
  <c r="C125" i="10"/>
  <c r="C121" i="10" s="1"/>
  <c r="C118" i="10"/>
  <c r="J109" i="20" l="1"/>
  <c r="C113" i="10" s="1"/>
  <c r="J108" i="20"/>
  <c r="C112" i="10" s="1"/>
  <c r="C110" i="10"/>
  <c r="J118" i="20"/>
  <c r="J117" i="20"/>
  <c r="C106" i="10" s="1"/>
  <c r="C100" i="10"/>
  <c r="R11" i="4"/>
  <c r="J93" i="20" l="1"/>
  <c r="G82" i="20"/>
  <c r="G110" i="20" s="1"/>
  <c r="C114" i="10" s="1"/>
  <c r="J79" i="20"/>
  <c r="J73" i="20"/>
  <c r="J67" i="20"/>
  <c r="J61" i="20"/>
  <c r="J18" i="20"/>
  <c r="M23" i="3"/>
  <c r="N23" i="3"/>
  <c r="J107" i="20" l="1"/>
  <c r="C111" i="10" s="1"/>
  <c r="O23" i="3"/>
  <c r="L26" i="15"/>
  <c r="P59" i="15"/>
  <c r="L45" i="15"/>
  <c r="P45" i="15" s="1"/>
  <c r="L14" i="15"/>
  <c r="P14" i="15"/>
  <c r="J31" i="15"/>
  <c r="O31" i="15"/>
  <c r="O29" i="15"/>
  <c r="O15" i="15"/>
  <c r="O14" i="15"/>
  <c r="Q14" i="4"/>
  <c r="Q40" i="4"/>
  <c r="R40" i="4"/>
  <c r="R29" i="4"/>
  <c r="J124" i="20" l="1"/>
  <c r="L14" i="20"/>
  <c r="L124" i="20" s="1"/>
  <c r="L11" i="20" s="1"/>
  <c r="J14" i="20"/>
  <c r="K14" i="20" s="1"/>
  <c r="Q14" i="20" l="1"/>
  <c r="K124" i="20"/>
  <c r="K11" i="20" s="1"/>
  <c r="M14" i="20"/>
  <c r="M124" i="20" s="1"/>
  <c r="M11" i="20" s="1"/>
  <c r="N14" i="20"/>
  <c r="O14" i="20"/>
  <c r="P14" i="20"/>
  <c r="R14" i="20"/>
  <c r="R124" i="20" l="1"/>
  <c r="R11" i="20" s="1"/>
  <c r="P124" i="20"/>
  <c r="P11" i="20" s="1"/>
  <c r="N124" i="20"/>
  <c r="N11" i="20" s="1"/>
  <c r="Q124" i="20"/>
  <c r="Q11" i="20" s="1"/>
  <c r="O124" i="20"/>
  <c r="O11" i="20" s="1"/>
  <c r="L13" i="16"/>
  <c r="CF32" i="18"/>
  <c r="BZ32" i="18"/>
  <c r="CF31" i="18"/>
  <c r="CA31" i="18"/>
  <c r="BZ31" i="18"/>
  <c r="CB31" i="18" s="1"/>
  <c r="CF30" i="18"/>
  <c r="CA30" i="18"/>
  <c r="BZ30" i="18"/>
  <c r="CF29" i="18"/>
  <c r="BZ29" i="18"/>
  <c r="CB29" i="18" s="1"/>
  <c r="BY29" i="18"/>
  <c r="CF28" i="18"/>
  <c r="BZ28" i="18"/>
  <c r="CB28" i="18" s="1"/>
  <c r="BY28" i="18"/>
  <c r="CF27" i="18"/>
  <c r="CF26" i="18"/>
  <c r="CF25" i="18"/>
  <c r="BZ25" i="18"/>
  <c r="BZ26" i="18" s="1"/>
  <c r="BZ27" i="18" s="1"/>
  <c r="CF24" i="18"/>
  <c r="CF23" i="18"/>
  <c r="BZ23" i="18"/>
  <c r="CB23" i="18" s="1"/>
  <c r="CD23" i="18" s="1"/>
  <c r="CF22" i="18"/>
  <c r="CA22" i="18"/>
  <c r="BZ22" i="18"/>
  <c r="CB22" i="18" s="1"/>
  <c r="CD22" i="18" s="1"/>
  <c r="CF21" i="18"/>
  <c r="CA21" i="18"/>
  <c r="BZ21" i="18"/>
  <c r="CF20" i="18"/>
  <c r="BZ20" i="18"/>
  <c r="CB20" i="18" s="1"/>
  <c r="BY20" i="18"/>
  <c r="CF19" i="18"/>
  <c r="BZ19" i="18"/>
  <c r="CB19" i="18" s="1"/>
  <c r="BY19" i="18"/>
  <c r="CF18" i="18"/>
  <c r="CF17" i="18"/>
  <c r="CF16" i="18"/>
  <c r="BZ16" i="18"/>
  <c r="BZ17" i="18" s="1"/>
  <c r="BZ18" i="18" s="1"/>
  <c r="CF15" i="18"/>
  <c r="DM14" i="17"/>
  <c r="BZ10" i="18"/>
  <c r="BY10" i="18"/>
  <c r="BT6" i="18"/>
  <c r="BT7" i="18" s="1"/>
  <c r="BT8" i="18" s="1"/>
  <c r="BT9" i="18" s="1"/>
  <c r="BT10" i="18" s="1"/>
  <c r="AI14" i="18"/>
  <c r="AI13" i="18"/>
  <c r="AI19" i="18"/>
  <c r="AI18" i="18"/>
  <c r="AJ36" i="18"/>
  <c r="AG22" i="18"/>
  <c r="AG21" i="18"/>
  <c r="AG20" i="18"/>
  <c r="AG17" i="18"/>
  <c r="AG16" i="18"/>
  <c r="AG15" i="18"/>
  <c r="AJ27" i="18"/>
  <c r="AL27" i="18" s="1"/>
  <c r="AI27" i="18" s="1"/>
  <c r="AP39" i="18"/>
  <c r="AJ39" i="18"/>
  <c r="AN39" i="18" s="1"/>
  <c r="AP38" i="18"/>
  <c r="AM38" i="18"/>
  <c r="AJ38" i="18"/>
  <c r="AL38" i="18" s="1"/>
  <c r="AI38" i="18"/>
  <c r="AP37" i="18"/>
  <c r="AM37" i="18"/>
  <c r="AJ37" i="18"/>
  <c r="AL37" i="18" s="1"/>
  <c r="AI37" i="18"/>
  <c r="AP36" i="18"/>
  <c r="AP35" i="18"/>
  <c r="AJ35" i="18"/>
  <c r="AP34" i="18"/>
  <c r="AJ34" i="18"/>
  <c r="AN34" i="18" s="1"/>
  <c r="AP33" i="18"/>
  <c r="AM33" i="18"/>
  <c r="AJ33" i="18"/>
  <c r="AL33" i="18" s="1"/>
  <c r="AI33" i="18"/>
  <c r="AP32" i="18"/>
  <c r="AM32" i="18"/>
  <c r="AL32" i="18"/>
  <c r="AK32" i="18"/>
  <c r="AP31" i="18"/>
  <c r="AJ31" i="18"/>
  <c r="AP30" i="18"/>
  <c r="AJ30" i="18"/>
  <c r="AP29" i="18"/>
  <c r="AJ29" i="18"/>
  <c r="AN29" i="18" s="1"/>
  <c r="AP28" i="18"/>
  <c r="AJ28" i="18"/>
  <c r="AN28" i="18" s="1"/>
  <c r="AO28" i="18" s="1"/>
  <c r="AQ28" i="18" s="1"/>
  <c r="AP27" i="18"/>
  <c r="AM27" i="18"/>
  <c r="AP26" i="18"/>
  <c r="AM26" i="18"/>
  <c r="AJ26" i="18"/>
  <c r="AL26" i="18" s="1"/>
  <c r="AI26" i="18"/>
  <c r="AP25" i="18"/>
  <c r="AJ25" i="18"/>
  <c r="AP24" i="18"/>
  <c r="AJ24" i="18"/>
  <c r="AF7" i="18"/>
  <c r="AF8" i="18" s="1"/>
  <c r="AF9" i="18" s="1"/>
  <c r="AF10" i="18" s="1"/>
  <c r="AF11" i="18" s="1"/>
  <c r="AF12" i="18" s="1"/>
  <c r="AG12" i="18" s="1"/>
  <c r="G12" i="3"/>
  <c r="CK18" i="18"/>
  <c r="C76" i="10" s="1"/>
  <c r="CU7" i="18"/>
  <c r="CU8" i="18" s="1"/>
  <c r="CU9" i="18" s="1"/>
  <c r="CS7" i="18"/>
  <c r="CS8" i="18" s="1"/>
  <c r="CS9" i="18" s="1"/>
  <c r="CQ7" i="18"/>
  <c r="CZ9" i="18"/>
  <c r="CT9" i="18"/>
  <c r="CQ9" i="18"/>
  <c r="CZ8" i="18"/>
  <c r="CT8" i="18"/>
  <c r="CQ8" i="18"/>
  <c r="AN32" i="18" l="1"/>
  <c r="CD31" i="18"/>
  <c r="CE31" i="18" s="1"/>
  <c r="CG31" i="18" s="1"/>
  <c r="CA29" i="18"/>
  <c r="CD29" i="18" s="1"/>
  <c r="CB32" i="18"/>
  <c r="CD32" i="18" s="1"/>
  <c r="CA28" i="18"/>
  <c r="CD28" i="18" s="1"/>
  <c r="CB30" i="18"/>
  <c r="CD30" i="18" s="1"/>
  <c r="CE30" i="18" s="1"/>
  <c r="CG30" i="18" s="1"/>
  <c r="BT11" i="18"/>
  <c r="BT12" i="18" s="1"/>
  <c r="BT13" i="18" s="1"/>
  <c r="BT14" i="18" s="1"/>
  <c r="BW14" i="18" s="1"/>
  <c r="BW10" i="18"/>
  <c r="CA20" i="18"/>
  <c r="CD20" i="18" s="1"/>
  <c r="CA19" i="18"/>
  <c r="CD19" i="18" s="1"/>
  <c r="CB21" i="18"/>
  <c r="CD21" i="18" s="1"/>
  <c r="AG11" i="18"/>
  <c r="AI8" i="18"/>
  <c r="AG9" i="18"/>
  <c r="AG10" i="18"/>
  <c r="AI7" i="18"/>
  <c r="AK33" i="18"/>
  <c r="AN33" i="18" s="1"/>
  <c r="AK38" i="18"/>
  <c r="AN38" i="18" s="1"/>
  <c r="AK27" i="18"/>
  <c r="AN27" i="18" s="1"/>
  <c r="AK37" i="18"/>
  <c r="AN37" i="18" s="1"/>
  <c r="AK26" i="18"/>
  <c r="AN26" i="18" s="1"/>
  <c r="CX8" i="18"/>
  <c r="CY8" i="18" s="1"/>
  <c r="DA8" i="18" s="1"/>
  <c r="CX9" i="18"/>
  <c r="CY9" i="18" s="1"/>
  <c r="DA9" i="18" s="1"/>
  <c r="J59" i="15" l="1"/>
  <c r="AJ7" i="18"/>
  <c r="AP7" i="18"/>
  <c r="AJ8" i="18"/>
  <c r="AN8" i="18" s="1"/>
  <c r="AO8" i="18" s="1"/>
  <c r="AP8" i="18"/>
  <c r="AI9" i="18"/>
  <c r="AK9" i="18" s="1"/>
  <c r="AJ9" i="18"/>
  <c r="AL9" i="18" s="1"/>
  <c r="AM9" i="18"/>
  <c r="AP9" i="18"/>
  <c r="AI10" i="18"/>
  <c r="AK10" i="18" s="1"/>
  <c r="AJ10" i="18"/>
  <c r="AL10" i="18" s="1"/>
  <c r="AM10" i="18"/>
  <c r="AP10" i="18"/>
  <c r="AJ11" i="18"/>
  <c r="AN11" i="18" s="1"/>
  <c r="AP11" i="18"/>
  <c r="AJ12" i="18"/>
  <c r="AN12" i="18" s="1"/>
  <c r="AP12" i="18"/>
  <c r="AJ13" i="18"/>
  <c r="AP13" i="18"/>
  <c r="AJ14" i="18"/>
  <c r="AP14" i="18"/>
  <c r="AK15" i="18"/>
  <c r="AL15" i="18"/>
  <c r="AM15" i="18"/>
  <c r="AP15" i="18"/>
  <c r="AI16" i="18"/>
  <c r="AK16" i="18" s="1"/>
  <c r="AJ16" i="18"/>
  <c r="AL16" i="18" s="1"/>
  <c r="AM16" i="18"/>
  <c r="AP16" i="18"/>
  <c r="AJ17" i="18"/>
  <c r="AN17" i="18" s="1"/>
  <c r="AP17" i="18"/>
  <c r="AJ18" i="18"/>
  <c r="AP18" i="18"/>
  <c r="AJ19" i="18"/>
  <c r="AP19" i="18"/>
  <c r="AI20" i="18"/>
  <c r="AK20" i="18" s="1"/>
  <c r="AJ20" i="18"/>
  <c r="AL20" i="18" s="1"/>
  <c r="AM20" i="18"/>
  <c r="AP20" i="18"/>
  <c r="AI21" i="18"/>
  <c r="AK21" i="18" s="1"/>
  <c r="AJ21" i="18"/>
  <c r="AL21" i="18" s="1"/>
  <c r="AM21" i="18"/>
  <c r="AP21" i="18"/>
  <c r="AJ22" i="18"/>
  <c r="AN22" i="18" s="1"/>
  <c r="AP22" i="18"/>
  <c r="AB44" i="18"/>
  <c r="AB45" i="18"/>
  <c r="AB46" i="18"/>
  <c r="F166" i="18"/>
  <c r="F165" i="18"/>
  <c r="F164" i="18"/>
  <c r="F163" i="18"/>
  <c r="G161" i="18"/>
  <c r="G160" i="18"/>
  <c r="G159" i="18"/>
  <c r="G158" i="18"/>
  <c r="G157" i="18"/>
  <c r="G156" i="18"/>
  <c r="G155" i="18"/>
  <c r="G154" i="18"/>
  <c r="G153" i="18"/>
  <c r="K106" i="18"/>
  <c r="L106" i="18" s="1"/>
  <c r="K105" i="18"/>
  <c r="K104" i="18"/>
  <c r="N104" i="18" s="1"/>
  <c r="S104" i="18" s="1"/>
  <c r="T104" i="18" s="1"/>
  <c r="K129" i="18"/>
  <c r="L129" i="18" s="1"/>
  <c r="K128" i="18"/>
  <c r="N128" i="18" s="1"/>
  <c r="S128" i="18" s="1"/>
  <c r="T128" i="18" s="1"/>
  <c r="K127" i="18"/>
  <c r="L127" i="18" s="1"/>
  <c r="K126" i="18"/>
  <c r="L126" i="18" s="1"/>
  <c r="K125" i="18"/>
  <c r="N125" i="18" s="1"/>
  <c r="S125" i="18" s="1"/>
  <c r="T125" i="18" s="1"/>
  <c r="K124" i="18"/>
  <c r="L124" i="18" s="1"/>
  <c r="K123" i="18"/>
  <c r="L123" i="18" s="1"/>
  <c r="K122" i="18"/>
  <c r="N122" i="18" s="1"/>
  <c r="S122" i="18" s="1"/>
  <c r="T122" i="18" s="1"/>
  <c r="N129" i="18"/>
  <c r="U129" i="18"/>
  <c r="R129" i="18"/>
  <c r="U128" i="18"/>
  <c r="U127" i="18"/>
  <c r="O127" i="18"/>
  <c r="N127" i="18"/>
  <c r="P127" i="18" s="1"/>
  <c r="U126" i="18"/>
  <c r="R126" i="18"/>
  <c r="O126" i="18"/>
  <c r="Q126" i="18" s="1"/>
  <c r="N126" i="18"/>
  <c r="P126" i="18" s="1"/>
  <c r="U125" i="18"/>
  <c r="U124" i="18"/>
  <c r="O124" i="18"/>
  <c r="N124" i="18"/>
  <c r="U123" i="18"/>
  <c r="R123" i="18"/>
  <c r="O123" i="18"/>
  <c r="Q123" i="18" s="1"/>
  <c r="N123" i="18"/>
  <c r="U122" i="18"/>
  <c r="U106" i="18"/>
  <c r="O106" i="18"/>
  <c r="N106" i="18"/>
  <c r="U105" i="18"/>
  <c r="R105" i="18"/>
  <c r="O105" i="18"/>
  <c r="Q105" i="18" s="1"/>
  <c r="N105" i="18"/>
  <c r="U104" i="18"/>
  <c r="U79" i="18"/>
  <c r="O79" i="18"/>
  <c r="N79" i="18"/>
  <c r="K79" i="18"/>
  <c r="L79" i="18" s="1"/>
  <c r="U78" i="18"/>
  <c r="R78" i="18"/>
  <c r="O78" i="18"/>
  <c r="Q78" i="18" s="1"/>
  <c r="N78" i="18"/>
  <c r="P78" i="18" s="1"/>
  <c r="K78" i="18"/>
  <c r="L78" i="18" s="1"/>
  <c r="U77" i="18"/>
  <c r="K77" i="18"/>
  <c r="N42" i="18"/>
  <c r="N40" i="18"/>
  <c r="N37" i="18"/>
  <c r="N33" i="18"/>
  <c r="N29" i="18"/>
  <c r="K85" i="18"/>
  <c r="L85" i="18" s="1"/>
  <c r="K84" i="18"/>
  <c r="N84" i="18" s="1"/>
  <c r="K83" i="18"/>
  <c r="L83" i="18" s="1"/>
  <c r="K82" i="18"/>
  <c r="L82" i="18" s="1"/>
  <c r="K81" i="18"/>
  <c r="N81" i="18" s="1"/>
  <c r="K76" i="18"/>
  <c r="L76" i="18" s="1"/>
  <c r="K75" i="18"/>
  <c r="L75" i="18" s="1"/>
  <c r="K74" i="18"/>
  <c r="L74" i="18" s="1"/>
  <c r="K73" i="18"/>
  <c r="N73" i="18" s="1"/>
  <c r="S73" i="18" s="1"/>
  <c r="T73" i="18" s="1"/>
  <c r="K68" i="18"/>
  <c r="L68" i="18" s="1"/>
  <c r="K67" i="18"/>
  <c r="L67" i="18" s="1"/>
  <c r="K66" i="18"/>
  <c r="N66" i="18" s="1"/>
  <c r="S66" i="18" s="1"/>
  <c r="T66" i="18" s="1"/>
  <c r="K65" i="18"/>
  <c r="L65" i="18" s="1"/>
  <c r="K64" i="18"/>
  <c r="L64" i="18" s="1"/>
  <c r="K63" i="18"/>
  <c r="N63" i="18" s="1"/>
  <c r="S63" i="18" s="1"/>
  <c r="T63" i="18" s="1"/>
  <c r="K62" i="18"/>
  <c r="L62" i="18" s="1"/>
  <c r="K61" i="18"/>
  <c r="L61" i="18" s="1"/>
  <c r="K60" i="18"/>
  <c r="N60" i="18" s="1"/>
  <c r="S60" i="18" s="1"/>
  <c r="T60" i="18" s="1"/>
  <c r="K56" i="18"/>
  <c r="L56" i="18" s="1"/>
  <c r="K55" i="18"/>
  <c r="L55" i="18" s="1"/>
  <c r="K54" i="18"/>
  <c r="N54" i="18" s="1"/>
  <c r="S54" i="18" s="1"/>
  <c r="T54" i="18" s="1"/>
  <c r="K50" i="18"/>
  <c r="L50" i="18" s="1"/>
  <c r="K49" i="18"/>
  <c r="U85" i="18"/>
  <c r="R85" i="18"/>
  <c r="O85" i="18"/>
  <c r="Q85" i="18" s="1"/>
  <c r="N85" i="18"/>
  <c r="U84" i="18"/>
  <c r="U83" i="18"/>
  <c r="O83" i="18"/>
  <c r="N83" i="18"/>
  <c r="U82" i="18"/>
  <c r="R82" i="18"/>
  <c r="O82" i="18"/>
  <c r="Q82" i="18" s="1"/>
  <c r="N82" i="18"/>
  <c r="U81" i="18"/>
  <c r="U76" i="18"/>
  <c r="R76" i="18"/>
  <c r="O76" i="18"/>
  <c r="Q76" i="18" s="1"/>
  <c r="N76" i="18" s="1"/>
  <c r="U75" i="18"/>
  <c r="O75" i="18"/>
  <c r="N75" i="18"/>
  <c r="P75" i="18" s="1"/>
  <c r="U74" i="18"/>
  <c r="R74" i="18"/>
  <c r="O74" i="18"/>
  <c r="Q74" i="18" s="1"/>
  <c r="N74" i="18"/>
  <c r="P74" i="18" s="1"/>
  <c r="U73" i="18"/>
  <c r="U68" i="18"/>
  <c r="O68" i="18"/>
  <c r="N68" i="18"/>
  <c r="P68" i="18" s="1"/>
  <c r="U67" i="18"/>
  <c r="R67" i="18"/>
  <c r="O67" i="18"/>
  <c r="Q67" i="18" s="1"/>
  <c r="N67" i="18"/>
  <c r="P67" i="18" s="1"/>
  <c r="U66" i="18"/>
  <c r="U65" i="18"/>
  <c r="O65" i="18"/>
  <c r="N65" i="18"/>
  <c r="P65" i="18" s="1"/>
  <c r="U64" i="18"/>
  <c r="R64" i="18"/>
  <c r="O64" i="18"/>
  <c r="N64" i="18"/>
  <c r="P64" i="18" s="1"/>
  <c r="U63" i="18"/>
  <c r="U62" i="18"/>
  <c r="O62" i="18"/>
  <c r="N62" i="18"/>
  <c r="P62" i="18" s="1"/>
  <c r="U61" i="18"/>
  <c r="R61" i="18"/>
  <c r="O61" i="18"/>
  <c r="Q61" i="18" s="1"/>
  <c r="N61" i="18"/>
  <c r="P61" i="18" s="1"/>
  <c r="U60" i="18"/>
  <c r="U56" i="18"/>
  <c r="R56" i="18"/>
  <c r="O56" i="18"/>
  <c r="Q56" i="18" s="1"/>
  <c r="N56" i="18" s="1"/>
  <c r="U55" i="18"/>
  <c r="R55" i="18"/>
  <c r="O55" i="18"/>
  <c r="Q55" i="18" s="1"/>
  <c r="N55" i="18"/>
  <c r="P55" i="18" s="1"/>
  <c r="U54" i="18"/>
  <c r="U50" i="18"/>
  <c r="R50" i="18"/>
  <c r="O50" i="18"/>
  <c r="Q50" i="18" s="1"/>
  <c r="N50" i="18"/>
  <c r="P50" i="18" s="1"/>
  <c r="U49" i="18"/>
  <c r="L43" i="18"/>
  <c r="L41" i="18"/>
  <c r="L39" i="18"/>
  <c r="L38" i="18"/>
  <c r="L36" i="18"/>
  <c r="L35" i="18"/>
  <c r="L34" i="18"/>
  <c r="L32" i="18"/>
  <c r="L31" i="18"/>
  <c r="L30" i="18"/>
  <c r="L28" i="18"/>
  <c r="L27" i="18"/>
  <c r="N26" i="18"/>
  <c r="S26" i="18" s="1"/>
  <c r="T26" i="18" s="1"/>
  <c r="N23" i="18"/>
  <c r="S23" i="18" s="1"/>
  <c r="T23" i="18" s="1"/>
  <c r="L25" i="18"/>
  <c r="L24" i="18"/>
  <c r="N20" i="18"/>
  <c r="S20" i="18" s="1"/>
  <c r="T20" i="18" s="1"/>
  <c r="N17" i="18"/>
  <c r="L22" i="18"/>
  <c r="L21" i="18"/>
  <c r="L19" i="18"/>
  <c r="L18" i="18"/>
  <c r="N21" i="18"/>
  <c r="P21" i="18" s="1"/>
  <c r="N14" i="18"/>
  <c r="S14" i="18" s="1"/>
  <c r="T14" i="18" s="1"/>
  <c r="L16" i="18"/>
  <c r="L15" i="18"/>
  <c r="N11" i="18"/>
  <c r="S11" i="18" s="1"/>
  <c r="T11" i="18" s="1"/>
  <c r="L13" i="18"/>
  <c r="L12" i="18"/>
  <c r="R10" i="18"/>
  <c r="O10" i="18"/>
  <c r="Q10" i="18" s="1"/>
  <c r="N10" i="18"/>
  <c r="L10" i="18"/>
  <c r="N9" i="18"/>
  <c r="S9" i="18" s="1"/>
  <c r="T9" i="18" s="1"/>
  <c r="N8" i="18"/>
  <c r="N7" i="18"/>
  <c r="S7" i="18" s="1"/>
  <c r="T7" i="18" s="1"/>
  <c r="L8" i="18"/>
  <c r="G151" i="18"/>
  <c r="G150" i="18"/>
  <c r="G149" i="18"/>
  <c r="G148" i="18"/>
  <c r="G147" i="18"/>
  <c r="G146" i="18"/>
  <c r="G145" i="18"/>
  <c r="AV54" i="18"/>
  <c r="G144" i="18"/>
  <c r="AV53" i="18"/>
  <c r="G143" i="18"/>
  <c r="AV52" i="18"/>
  <c r="G142" i="18"/>
  <c r="AV51" i="18"/>
  <c r="G141" i="18"/>
  <c r="AV50" i="18"/>
  <c r="G140" i="18"/>
  <c r="AV49" i="18"/>
  <c r="AV48" i="18"/>
  <c r="AV47" i="18"/>
  <c r="AV46" i="18"/>
  <c r="U44" i="18"/>
  <c r="S44" i="18"/>
  <c r="L44" i="18"/>
  <c r="U43" i="18"/>
  <c r="R43" i="18"/>
  <c r="O43" i="18"/>
  <c r="Q43" i="18" s="1"/>
  <c r="N43" i="18"/>
  <c r="P43" i="18" s="1"/>
  <c r="BK42" i="18"/>
  <c r="BH42" i="18"/>
  <c r="BD42" i="18"/>
  <c r="BF42" i="18" s="1"/>
  <c r="BB42" i="18"/>
  <c r="U42" i="18"/>
  <c r="BK41" i="18"/>
  <c r="BD41" i="18"/>
  <c r="BI41" i="18" s="1"/>
  <c r="BJ41" i="18" s="1"/>
  <c r="AZ41" i="18"/>
  <c r="AZ42" i="18" s="1"/>
  <c r="BE42" i="18" s="1"/>
  <c r="U41" i="18"/>
  <c r="R41" i="18"/>
  <c r="O41" i="18"/>
  <c r="Q41" i="18" s="1"/>
  <c r="N41" i="18"/>
  <c r="P41" i="18" s="1"/>
  <c r="BK40" i="18"/>
  <c r="BD40" i="18"/>
  <c r="BI40" i="18" s="1"/>
  <c r="BJ40" i="18" s="1"/>
  <c r="U40" i="18"/>
  <c r="BK39" i="18"/>
  <c r="BD39" i="18"/>
  <c r="BI39" i="18" s="1"/>
  <c r="BJ39" i="18" s="1"/>
  <c r="U39" i="18"/>
  <c r="O39" i="18"/>
  <c r="N39" i="18"/>
  <c r="P39" i="18" s="1"/>
  <c r="BK38" i="18"/>
  <c r="BH38" i="18"/>
  <c r="BB38" i="18"/>
  <c r="U38" i="18"/>
  <c r="R38" i="18"/>
  <c r="O38" i="18"/>
  <c r="Q38" i="18" s="1"/>
  <c r="N38" i="18"/>
  <c r="P38" i="18" s="1"/>
  <c r="BK37" i="18"/>
  <c r="BD37" i="18"/>
  <c r="BI37" i="18" s="1"/>
  <c r="BJ37" i="18" s="1"/>
  <c r="U37" i="18"/>
  <c r="BK36" i="18"/>
  <c r="BD36" i="18"/>
  <c r="BI36" i="18" s="1"/>
  <c r="BJ36" i="18" s="1"/>
  <c r="U36" i="18"/>
  <c r="R36" i="18"/>
  <c r="O36" i="18"/>
  <c r="Q36" i="18" s="1"/>
  <c r="N36" i="18" s="1"/>
  <c r="BK35" i="18"/>
  <c r="BD35" i="18"/>
  <c r="BI35" i="18" s="1"/>
  <c r="BJ35" i="18" s="1"/>
  <c r="AZ35" i="18"/>
  <c r="AZ36" i="18" s="1"/>
  <c r="AZ37" i="18" s="1"/>
  <c r="AZ38" i="18" s="1"/>
  <c r="AY35" i="18"/>
  <c r="AY36" i="18" s="1"/>
  <c r="AY37" i="18" s="1"/>
  <c r="AY38" i="18" s="1"/>
  <c r="U35" i="18"/>
  <c r="O35" i="18"/>
  <c r="N35" i="18"/>
  <c r="BK34" i="18"/>
  <c r="BD34" i="18"/>
  <c r="BI34" i="18" s="1"/>
  <c r="BJ34" i="18" s="1"/>
  <c r="U34" i="18"/>
  <c r="R34" i="18"/>
  <c r="O34" i="18"/>
  <c r="Q34" i="18" s="1"/>
  <c r="N34" i="18"/>
  <c r="BK33" i="18"/>
  <c r="BA33" i="18"/>
  <c r="BD33" i="18" s="1"/>
  <c r="BI33" i="18" s="1"/>
  <c r="BJ33" i="18" s="1"/>
  <c r="U33" i="18"/>
  <c r="BK32" i="18"/>
  <c r="BH32" i="18"/>
  <c r="BE32" i="18"/>
  <c r="BG32" i="18" s="1"/>
  <c r="BD32" i="18"/>
  <c r="BB32" i="18"/>
  <c r="U32" i="18"/>
  <c r="R32" i="18"/>
  <c r="O32" i="18"/>
  <c r="Q32" i="18" s="1"/>
  <c r="N32" i="18" s="1"/>
  <c r="BK31" i="18"/>
  <c r="BD31" i="18"/>
  <c r="BI31" i="18" s="1"/>
  <c r="BJ31" i="18" s="1"/>
  <c r="U31" i="18"/>
  <c r="O31" i="18"/>
  <c r="N31" i="18"/>
  <c r="BK30" i="18"/>
  <c r="BD30" i="18"/>
  <c r="BI30" i="18" s="1"/>
  <c r="BJ30" i="18" s="1"/>
  <c r="U30" i="18"/>
  <c r="R30" i="18"/>
  <c r="O30" i="18"/>
  <c r="N30" i="18"/>
  <c r="P30" i="18" s="1"/>
  <c r="BK29" i="18"/>
  <c r="BA29" i="18"/>
  <c r="BD29" i="18" s="1"/>
  <c r="BI29" i="18" s="1"/>
  <c r="BJ29" i="18" s="1"/>
  <c r="AX29" i="18"/>
  <c r="U29" i="18"/>
  <c r="BK28" i="18"/>
  <c r="BH28" i="18"/>
  <c r="BB28" i="18"/>
  <c r="U28" i="18"/>
  <c r="O28" i="18"/>
  <c r="N28" i="18"/>
  <c r="BK27" i="18"/>
  <c r="BD27" i="18"/>
  <c r="BI27" i="18" s="1"/>
  <c r="BJ27" i="18" s="1"/>
  <c r="AZ27" i="18"/>
  <c r="AZ28" i="18" s="1"/>
  <c r="BE28" i="18" s="1"/>
  <c r="BG28" i="18" s="1"/>
  <c r="AY27" i="18"/>
  <c r="AY28" i="18" s="1"/>
  <c r="BD28" i="18" s="1"/>
  <c r="U27" i="18"/>
  <c r="R27" i="18"/>
  <c r="O27" i="18"/>
  <c r="Q27" i="18" s="1"/>
  <c r="N27" i="18"/>
  <c r="P27" i="18" s="1"/>
  <c r="BK26" i="18"/>
  <c r="BD26" i="18"/>
  <c r="BI26" i="18" s="1"/>
  <c r="BJ26" i="18" s="1"/>
  <c r="U26" i="18"/>
  <c r="BK25" i="18"/>
  <c r="BA25" i="18"/>
  <c r="BD25" i="18" s="1"/>
  <c r="BI25" i="18" s="1"/>
  <c r="BJ25" i="18" s="1"/>
  <c r="U25" i="18"/>
  <c r="O25" i="18"/>
  <c r="N25" i="18"/>
  <c r="P25" i="18" s="1"/>
  <c r="BK24" i="18"/>
  <c r="BH24" i="18"/>
  <c r="BD24" i="18"/>
  <c r="BF24" i="18" s="1"/>
  <c r="BB24" i="18"/>
  <c r="U24" i="18"/>
  <c r="R24" i="18"/>
  <c r="O24" i="18"/>
  <c r="Q24" i="18" s="1"/>
  <c r="N24" i="18"/>
  <c r="BK23" i="18"/>
  <c r="BD23" i="18"/>
  <c r="BI23" i="18" s="1"/>
  <c r="BJ23" i="18" s="1"/>
  <c r="AZ23" i="18"/>
  <c r="AZ24" i="18" s="1"/>
  <c r="BE24" i="18" s="1"/>
  <c r="BG24" i="18" s="1"/>
  <c r="U23" i="18"/>
  <c r="BK22" i="18"/>
  <c r="BD22" i="18"/>
  <c r="BI22" i="18" s="1"/>
  <c r="BJ22" i="18" s="1"/>
  <c r="U22" i="18"/>
  <c r="O22" i="18"/>
  <c r="N22" i="18"/>
  <c r="BK21" i="18"/>
  <c r="BA21" i="18"/>
  <c r="BD21" i="18" s="1"/>
  <c r="BI21" i="18" s="1"/>
  <c r="BJ21" i="18" s="1"/>
  <c r="AX21" i="18"/>
  <c r="U21" i="18"/>
  <c r="R21" i="18"/>
  <c r="O21" i="18"/>
  <c r="Q21" i="18" s="1"/>
  <c r="BK20" i="18"/>
  <c r="BH20" i="18"/>
  <c r="BB20" i="18"/>
  <c r="U20" i="18"/>
  <c r="BK19" i="18"/>
  <c r="BD19" i="18"/>
  <c r="BI19" i="18" s="1"/>
  <c r="BJ19" i="18" s="1"/>
  <c r="AZ19" i="18"/>
  <c r="AZ20" i="18" s="1"/>
  <c r="BE20" i="18" s="1"/>
  <c r="BG20" i="18" s="1"/>
  <c r="AY19" i="18"/>
  <c r="AY20" i="18" s="1"/>
  <c r="BD20" i="18" s="1"/>
  <c r="U19" i="18"/>
  <c r="O19" i="18"/>
  <c r="N19" i="18"/>
  <c r="BK18" i="18"/>
  <c r="BD18" i="18"/>
  <c r="BI18" i="18" s="1"/>
  <c r="BJ18" i="18" s="1"/>
  <c r="U18" i="18"/>
  <c r="R18" i="18"/>
  <c r="O18" i="18"/>
  <c r="Q18" i="18" s="1"/>
  <c r="BK17" i="18"/>
  <c r="BA17" i="18"/>
  <c r="BD17" i="18" s="1"/>
  <c r="BI17" i="18" s="1"/>
  <c r="BJ17" i="18" s="1"/>
  <c r="U17" i="18"/>
  <c r="BK16" i="18"/>
  <c r="BH16" i="18"/>
  <c r="BE16" i="18"/>
  <c r="BG16" i="18" s="1"/>
  <c r="BD16" i="18"/>
  <c r="BF16" i="18" s="1"/>
  <c r="BB16" i="18"/>
  <c r="U16" i="18"/>
  <c r="R16" i="18"/>
  <c r="O16" i="18"/>
  <c r="Q16" i="18" s="1"/>
  <c r="N16" i="18" s="1"/>
  <c r="BK15" i="18"/>
  <c r="BD15" i="18"/>
  <c r="BI15" i="18" s="1"/>
  <c r="BJ15" i="18" s="1"/>
  <c r="U15" i="18"/>
  <c r="R15" i="18"/>
  <c r="O15" i="18"/>
  <c r="Q15" i="18" s="1"/>
  <c r="N15" i="18"/>
  <c r="CF14" i="18"/>
  <c r="BZ14" i="18"/>
  <c r="CB14" i="18" s="1"/>
  <c r="CD14" i="18" s="1"/>
  <c r="BK14" i="18"/>
  <c r="BD14" i="18"/>
  <c r="BI14" i="18" s="1"/>
  <c r="BJ14" i="18" s="1"/>
  <c r="U14" i="18"/>
  <c r="CF13" i="18"/>
  <c r="CA13" i="18"/>
  <c r="BZ13" i="18"/>
  <c r="CB13" i="18" s="1"/>
  <c r="BW13" i="18"/>
  <c r="BK13" i="18"/>
  <c r="BA13" i="18"/>
  <c r="BD13" i="18" s="1"/>
  <c r="BI13" i="18" s="1"/>
  <c r="BJ13" i="18" s="1"/>
  <c r="AX13" i="18"/>
  <c r="U13" i="18"/>
  <c r="O13" i="18"/>
  <c r="N13" i="18"/>
  <c r="P13" i="18" s="1"/>
  <c r="CF12" i="18"/>
  <c r="CA12" i="18"/>
  <c r="BZ12" i="18"/>
  <c r="CB12" i="18" s="1"/>
  <c r="BW12" i="18"/>
  <c r="BK12" i="18"/>
  <c r="BH12" i="18"/>
  <c r="BB12" i="18"/>
  <c r="U12" i="18"/>
  <c r="R12" i="18"/>
  <c r="O12" i="18"/>
  <c r="Q12" i="18" s="1"/>
  <c r="N12" i="18"/>
  <c r="CF11" i="18"/>
  <c r="BZ11" i="18"/>
  <c r="CB11" i="18" s="1"/>
  <c r="BY11" i="18"/>
  <c r="BW11" i="18"/>
  <c r="BK11" i="18"/>
  <c r="BD11" i="18"/>
  <c r="BI11" i="18" s="1"/>
  <c r="BJ11" i="18" s="1"/>
  <c r="AZ11" i="18"/>
  <c r="AZ12" i="18" s="1"/>
  <c r="BE12" i="18" s="1"/>
  <c r="BG12" i="18" s="1"/>
  <c r="AY11" i="18"/>
  <c r="AY12" i="18" s="1"/>
  <c r="BD12" i="18" s="1"/>
  <c r="U11" i="18"/>
  <c r="CF10" i="18"/>
  <c r="CB10" i="18"/>
  <c r="CA10" i="18"/>
  <c r="BK10" i="18"/>
  <c r="BD10" i="18"/>
  <c r="BI10" i="18" s="1"/>
  <c r="BJ10" i="18" s="1"/>
  <c r="U10" i="18"/>
  <c r="CF9" i="18"/>
  <c r="BY9" i="18"/>
  <c r="BK9" i="18"/>
  <c r="BD9" i="18"/>
  <c r="BI9" i="18" s="1"/>
  <c r="BJ9" i="18" s="1"/>
  <c r="U9" i="18"/>
  <c r="CF8" i="18"/>
  <c r="BY8" i="18"/>
  <c r="BK8" i="18"/>
  <c r="BH8" i="18"/>
  <c r="BE8" i="18"/>
  <c r="BG8" i="18" s="1"/>
  <c r="BD8" i="18"/>
  <c r="BF8" i="18" s="1"/>
  <c r="BB8" i="18"/>
  <c r="U8" i="18"/>
  <c r="R8" i="18"/>
  <c r="O8" i="18"/>
  <c r="Q8" i="18" s="1"/>
  <c r="CZ7" i="18"/>
  <c r="CT7" i="18"/>
  <c r="CX7" i="18" s="1"/>
  <c r="CF7" i="18"/>
  <c r="BZ7" i="18"/>
  <c r="BZ8" i="18" s="1"/>
  <c r="BZ9" i="18" s="1"/>
  <c r="BY7" i="18"/>
  <c r="BK7" i="18"/>
  <c r="BD7" i="18"/>
  <c r="BI7" i="18" s="1"/>
  <c r="BJ7" i="18" s="1"/>
  <c r="U7" i="18"/>
  <c r="CZ6" i="18"/>
  <c r="CT6" i="18"/>
  <c r="CX6" i="18" s="1"/>
  <c r="CY6" i="18" s="1"/>
  <c r="CF6" i="18"/>
  <c r="BY6" i="18"/>
  <c r="BK6" i="18"/>
  <c r="BD6" i="18"/>
  <c r="BI6" i="18" s="1"/>
  <c r="BJ6" i="18" s="1"/>
  <c r="EJ7" i="17"/>
  <c r="EJ6" i="17"/>
  <c r="EN6" i="17" s="1"/>
  <c r="EG7" i="17"/>
  <c r="EG6" i="17"/>
  <c r="EP7" i="17"/>
  <c r="EP6" i="17"/>
  <c r="DP14" i="17"/>
  <c r="DR14" i="17" s="1"/>
  <c r="DO11" i="17"/>
  <c r="DP10" i="17"/>
  <c r="DO10" i="17"/>
  <c r="DM10" i="17"/>
  <c r="DQ6" i="17"/>
  <c r="DQ7" i="17" s="1"/>
  <c r="DQ8" i="17" s="1"/>
  <c r="DQ9" i="17" s="1"/>
  <c r="BT15" i="18" l="1"/>
  <c r="L153" i="18"/>
  <c r="L154" i="18"/>
  <c r="L105" i="18"/>
  <c r="BT24" i="18"/>
  <c r="EO6" i="17"/>
  <c r="EQ6" i="17" s="1"/>
  <c r="BY15" i="18"/>
  <c r="CD15" i="18" s="1"/>
  <c r="CE15" i="18" s="1"/>
  <c r="CG15" i="18" s="1"/>
  <c r="BT16" i="18"/>
  <c r="N49" i="18"/>
  <c r="S49" i="18" s="1"/>
  <c r="T49" i="18" s="1"/>
  <c r="V49" i="18" s="1"/>
  <c r="AF24" i="18"/>
  <c r="AN19" i="18"/>
  <c r="AO19" i="18" s="1"/>
  <c r="AQ19" i="18" s="1"/>
  <c r="BL29" i="18"/>
  <c r="AN18" i="18"/>
  <c r="AO18" i="18" s="1"/>
  <c r="AQ18" i="18" s="1"/>
  <c r="AN14" i="18"/>
  <c r="AO14" i="18" s="1"/>
  <c r="AQ14" i="18" s="1"/>
  <c r="AN7" i="18"/>
  <c r="AO7" i="18" s="1"/>
  <c r="AQ7" i="18" s="1"/>
  <c r="S129" i="18"/>
  <c r="T129" i="18" s="1"/>
  <c r="V129" i="18" s="1"/>
  <c r="AQ8" i="18"/>
  <c r="AN13" i="18"/>
  <c r="AO13" i="18" s="1"/>
  <c r="AQ13" i="18" s="1"/>
  <c r="AN16" i="18"/>
  <c r="AO16" i="18" s="1"/>
  <c r="AQ16" i="18" s="1"/>
  <c r="BL34" i="18"/>
  <c r="BL36" i="18"/>
  <c r="AO11" i="18"/>
  <c r="AQ11" i="18" s="1"/>
  <c r="AO17" i="18"/>
  <c r="AQ17" i="18" s="1"/>
  <c r="AN15" i="18"/>
  <c r="AO15" i="18" s="1"/>
  <c r="AQ15" i="18" s="1"/>
  <c r="AO12" i="18"/>
  <c r="AQ12" i="18" s="1"/>
  <c r="AN21" i="18"/>
  <c r="AO21" i="18" s="1"/>
  <c r="AQ21" i="18" s="1"/>
  <c r="AN9" i="18"/>
  <c r="AO9" i="18" s="1"/>
  <c r="AQ9" i="18" s="1"/>
  <c r="AN20" i="18"/>
  <c r="AO20" i="18" s="1"/>
  <c r="AQ20" i="18" s="1"/>
  <c r="AO22" i="18"/>
  <c r="AQ22" i="18" s="1"/>
  <c r="BL6" i="18"/>
  <c r="BL7" i="18"/>
  <c r="AN10" i="18"/>
  <c r="AO10" i="18" s="1"/>
  <c r="AQ10" i="18" s="1"/>
  <c r="BL31" i="18"/>
  <c r="V125" i="18"/>
  <c r="S127" i="18"/>
  <c r="T127" i="18" s="1"/>
  <c r="V127" i="18" s="1"/>
  <c r="V128" i="18"/>
  <c r="BL22" i="18"/>
  <c r="S62" i="18"/>
  <c r="T62" i="18" s="1"/>
  <c r="V62" i="18" s="1"/>
  <c r="V122" i="18"/>
  <c r="BL37" i="18"/>
  <c r="V104" i="18"/>
  <c r="P123" i="18"/>
  <c r="S123" i="18" s="1"/>
  <c r="T123" i="18" s="1"/>
  <c r="V123" i="18" s="1"/>
  <c r="S126" i="18"/>
  <c r="T126" i="18" s="1"/>
  <c r="V126" i="18" s="1"/>
  <c r="P124" i="18"/>
  <c r="S124" i="18" s="1"/>
  <c r="BL13" i="18"/>
  <c r="CE14" i="18"/>
  <c r="CG14" i="18" s="1"/>
  <c r="BL15" i="18"/>
  <c r="CD6" i="18"/>
  <c r="CE6" i="18" s="1"/>
  <c r="CG6" i="18" s="1"/>
  <c r="P106" i="18"/>
  <c r="S106" i="18" s="1"/>
  <c r="T106" i="18" s="1"/>
  <c r="V106" i="18" s="1"/>
  <c r="N77" i="18"/>
  <c r="S77" i="18" s="1"/>
  <c r="T77" i="18" s="1"/>
  <c r="V77" i="18" s="1"/>
  <c r="P105" i="18"/>
  <c r="S105" i="18" s="1"/>
  <c r="T105" i="18" s="1"/>
  <c r="V105" i="18" s="1"/>
  <c r="S50" i="18"/>
  <c r="T50" i="18" s="1"/>
  <c r="V50" i="18" s="1"/>
  <c r="BL14" i="18"/>
  <c r="BL21" i="18"/>
  <c r="S78" i="18"/>
  <c r="T78" i="18" s="1"/>
  <c r="V78" i="18" s="1"/>
  <c r="P79" i="18"/>
  <c r="S79" i="18" s="1"/>
  <c r="T79" i="18" s="1"/>
  <c r="V79" i="18" s="1"/>
  <c r="S81" i="18"/>
  <c r="T81" i="18" s="1"/>
  <c r="V81" i="18" s="1"/>
  <c r="V14" i="18"/>
  <c r="BL10" i="18"/>
  <c r="BL11" i="18"/>
  <c r="BL40" i="18"/>
  <c r="S39" i="18"/>
  <c r="T39" i="18" s="1"/>
  <c r="V39" i="18" s="1"/>
  <c r="V73" i="18"/>
  <c r="CD12" i="18"/>
  <c r="CE12" i="18" s="1"/>
  <c r="CG12" i="18" s="1"/>
  <c r="S67" i="18"/>
  <c r="T67" i="18" s="1"/>
  <c r="V67" i="18" s="1"/>
  <c r="S74" i="18"/>
  <c r="T74" i="18" s="1"/>
  <c r="V74" i="18" s="1"/>
  <c r="BL19" i="18"/>
  <c r="BL27" i="18"/>
  <c r="S65" i="18"/>
  <c r="T65" i="18" s="1"/>
  <c r="V65" i="18" s="1"/>
  <c r="S84" i="18"/>
  <c r="T84" i="18" s="1"/>
  <c r="V84" i="18" s="1"/>
  <c r="S68" i="18"/>
  <c r="T68" i="18" s="1"/>
  <c r="V68" i="18" s="1"/>
  <c r="BL26" i="18"/>
  <c r="BL33" i="18"/>
  <c r="V54" i="18"/>
  <c r="V60" i="18"/>
  <c r="V63" i="18"/>
  <c r="V66" i="18"/>
  <c r="S75" i="18"/>
  <c r="T75" i="18" s="1"/>
  <c r="V75" i="18" s="1"/>
  <c r="BL35" i="18"/>
  <c r="P76" i="18"/>
  <c r="S76" i="18" s="1"/>
  <c r="T76" i="18" s="1"/>
  <c r="V76" i="18" s="1"/>
  <c r="P56" i="18"/>
  <c r="S56" i="18" s="1"/>
  <c r="T56" i="18" s="1"/>
  <c r="V56" i="18" s="1"/>
  <c r="V9" i="18"/>
  <c r="P35" i="18"/>
  <c r="S35" i="18" s="1"/>
  <c r="T35" i="18" s="1"/>
  <c r="V35" i="18" s="1"/>
  <c r="S55" i="18"/>
  <c r="T55" i="18" s="1"/>
  <c r="V55" i="18" s="1"/>
  <c r="S61" i="18"/>
  <c r="T61" i="18" s="1"/>
  <c r="V61" i="18" s="1"/>
  <c r="P83" i="18"/>
  <c r="S83" i="18" s="1"/>
  <c r="T83" i="18" s="1"/>
  <c r="V83" i="18" s="1"/>
  <c r="BL39" i="18"/>
  <c r="Q64" i="18"/>
  <c r="S64" i="18" s="1"/>
  <c r="T64" i="18" s="1"/>
  <c r="V64" i="18" s="1"/>
  <c r="BL9" i="18"/>
  <c r="BL23" i="18"/>
  <c r="P82" i="18"/>
  <c r="S82" i="18" s="1"/>
  <c r="T82" i="18" s="1"/>
  <c r="V82" i="18" s="1"/>
  <c r="P85" i="18"/>
  <c r="S85" i="18" s="1"/>
  <c r="T85" i="18" s="1"/>
  <c r="V85" i="18" s="1"/>
  <c r="S41" i="18"/>
  <c r="T41" i="18" s="1"/>
  <c r="V41" i="18" s="1"/>
  <c r="DA6" i="18"/>
  <c r="V11" i="18"/>
  <c r="BL25" i="18"/>
  <c r="S29" i="18"/>
  <c r="T29" i="18" s="1"/>
  <c r="V29" i="18" s="1"/>
  <c r="P10" i="18"/>
  <c r="S10" i="18" s="1"/>
  <c r="T10" i="18" s="1"/>
  <c r="V10" i="18" s="1"/>
  <c r="CD10" i="18"/>
  <c r="CE10" i="18" s="1"/>
  <c r="CG10" i="18" s="1"/>
  <c r="BI8" i="18"/>
  <c r="BJ8" i="18" s="1"/>
  <c r="BL8" i="18" s="1"/>
  <c r="BL17" i="18"/>
  <c r="BL18" i="18"/>
  <c r="S38" i="18"/>
  <c r="T38" i="18" s="1"/>
  <c r="V38" i="18" s="1"/>
  <c r="V7" i="18"/>
  <c r="P12" i="18"/>
  <c r="S12" i="18" s="1"/>
  <c r="T12" i="18" s="1"/>
  <c r="V12" i="18" s="1"/>
  <c r="P15" i="18"/>
  <c r="S15" i="18" s="1"/>
  <c r="T15" i="18" s="1"/>
  <c r="V15" i="18" s="1"/>
  <c r="V20" i="18"/>
  <c r="V26" i="18"/>
  <c r="P31" i="18"/>
  <c r="S31" i="18" s="1"/>
  <c r="T31" i="18" s="1"/>
  <c r="V31" i="18" s="1"/>
  <c r="BI24" i="18"/>
  <c r="BJ24" i="18" s="1"/>
  <c r="BL24" i="18" s="1"/>
  <c r="BF32" i="18"/>
  <c r="BI32" i="18" s="1"/>
  <c r="BJ32" i="18" s="1"/>
  <c r="BL32" i="18" s="1"/>
  <c r="V23" i="18"/>
  <c r="S40" i="18"/>
  <c r="T40" i="18" s="1"/>
  <c r="V40" i="18" s="1"/>
  <c r="BL41" i="18"/>
  <c r="CD13" i="18"/>
  <c r="CE13" i="18" s="1"/>
  <c r="CG13" i="18" s="1"/>
  <c r="S17" i="18"/>
  <c r="T17" i="18" s="1"/>
  <c r="V17" i="18" s="1"/>
  <c r="P18" i="18"/>
  <c r="S18" i="18" s="1"/>
  <c r="T18" i="18" s="1"/>
  <c r="V18" i="18" s="1"/>
  <c r="Q30" i="18"/>
  <c r="S30" i="18" s="1"/>
  <c r="T30" i="18" s="1"/>
  <c r="V30" i="18" s="1"/>
  <c r="S42" i="18"/>
  <c r="T42" i="18" s="1"/>
  <c r="V42" i="18" s="1"/>
  <c r="CY7" i="18"/>
  <c r="DA7" i="18" s="1"/>
  <c r="S25" i="18"/>
  <c r="T25" i="18" s="1"/>
  <c r="V25" i="18" s="1"/>
  <c r="S27" i="18"/>
  <c r="T27" i="18" s="1"/>
  <c r="V27" i="18" s="1"/>
  <c r="S33" i="18"/>
  <c r="T33" i="18" s="1"/>
  <c r="V33" i="18" s="1"/>
  <c r="S37" i="18"/>
  <c r="T37" i="18" s="1"/>
  <c r="V37" i="18" s="1"/>
  <c r="BL30" i="18"/>
  <c r="T44" i="18"/>
  <c r="V44" i="18" s="1"/>
  <c r="CD7" i="18"/>
  <c r="CE7" i="18" s="1"/>
  <c r="CG7" i="18" s="1"/>
  <c r="BI16" i="18"/>
  <c r="BJ16" i="18" s="1"/>
  <c r="BL16" i="18" s="1"/>
  <c r="P16" i="18"/>
  <c r="S16" i="18" s="1"/>
  <c r="T16" i="18" s="1"/>
  <c r="V16" i="18" s="1"/>
  <c r="CD8" i="18"/>
  <c r="CE8" i="18" s="1"/>
  <c r="CG8" i="18" s="1"/>
  <c r="BF12" i="18"/>
  <c r="BI12" i="18" s="1"/>
  <c r="BJ12" i="18" s="1"/>
  <c r="BL12" i="18" s="1"/>
  <c r="S13" i="18"/>
  <c r="T13" i="18" s="1"/>
  <c r="V13" i="18" s="1"/>
  <c r="BF28" i="18"/>
  <c r="BI28" i="18" s="1"/>
  <c r="BJ28" i="18" s="1"/>
  <c r="BL28" i="18" s="1"/>
  <c r="P36" i="18"/>
  <c r="S36" i="18" s="1"/>
  <c r="T36" i="18" s="1"/>
  <c r="V36" i="18" s="1"/>
  <c r="AY39" i="18"/>
  <c r="BD38" i="18"/>
  <c r="BG42" i="18"/>
  <c r="BI42" i="18" s="1"/>
  <c r="BJ42" i="18" s="1"/>
  <c r="BL42" i="18" s="1"/>
  <c r="S43" i="18"/>
  <c r="T43" i="18" s="1"/>
  <c r="V43" i="18" s="1"/>
  <c r="P32" i="18"/>
  <c r="S32" i="18" s="1"/>
  <c r="T32" i="18" s="1"/>
  <c r="V32" i="18" s="1"/>
  <c r="AZ39" i="18"/>
  <c r="BE38" i="18"/>
  <c r="BG38" i="18" s="1"/>
  <c r="CD9" i="18"/>
  <c r="CE9" i="18" s="1"/>
  <c r="CG9" i="18" s="1"/>
  <c r="BF20" i="18"/>
  <c r="BI20" i="18" s="1"/>
  <c r="BJ20" i="18" s="1"/>
  <c r="BL20" i="18" s="1"/>
  <c r="S21" i="18"/>
  <c r="T21" i="18" s="1"/>
  <c r="V21" i="18" s="1"/>
  <c r="CA11" i="18"/>
  <c r="CD11" i="18" s="1"/>
  <c r="CE11" i="18" s="1"/>
  <c r="CG11" i="18" s="1"/>
  <c r="P24" i="18"/>
  <c r="S24" i="18" s="1"/>
  <c r="T24" i="18" s="1"/>
  <c r="V24" i="18" s="1"/>
  <c r="P22" i="18"/>
  <c r="S22" i="18" s="1"/>
  <c r="T22" i="18" s="1"/>
  <c r="V22" i="18" s="1"/>
  <c r="P28" i="18"/>
  <c r="S28" i="18" s="1"/>
  <c r="T28" i="18" s="1"/>
  <c r="V28" i="18" s="1"/>
  <c r="P8" i="18"/>
  <c r="S8" i="18" s="1"/>
  <c r="T8" i="18" s="1"/>
  <c r="V8" i="18" s="1"/>
  <c r="P34" i="18"/>
  <c r="S34" i="18" s="1"/>
  <c r="T34" i="18" s="1"/>
  <c r="V34" i="18" s="1"/>
  <c r="P19" i="18"/>
  <c r="S19" i="18" s="1"/>
  <c r="T19" i="18" s="1"/>
  <c r="V19" i="18" s="1"/>
  <c r="EN7" i="17"/>
  <c r="EO7" i="17" s="1"/>
  <c r="EQ7" i="17" s="1"/>
  <c r="CJ18" i="18" l="1"/>
  <c r="CL18" i="18" s="1"/>
  <c r="BT25" i="18"/>
  <c r="BY24" i="18"/>
  <c r="CD24" i="18" s="1"/>
  <c r="CE24" i="18" s="1"/>
  <c r="CG24" i="18" s="1"/>
  <c r="F149" i="18"/>
  <c r="F144" i="18"/>
  <c r="DZ18" i="17"/>
  <c r="BY16" i="18"/>
  <c r="CD16" i="18" s="1"/>
  <c r="CE16" i="18" s="1"/>
  <c r="CG16" i="18" s="1"/>
  <c r="BT17" i="18"/>
  <c r="AF39" i="18"/>
  <c r="AG39" i="18" s="1"/>
  <c r="AO39" i="18" s="1"/>
  <c r="AQ39" i="18" s="1"/>
  <c r="AF35" i="18"/>
  <c r="AI35" i="18" s="1"/>
  <c r="AN35" i="18" s="1"/>
  <c r="AO35" i="18" s="1"/>
  <c r="AQ35" i="18" s="1"/>
  <c r="AF34" i="18"/>
  <c r="AG34" i="18" s="1"/>
  <c r="AO34" i="18" s="1"/>
  <c r="AQ34" i="18" s="1"/>
  <c r="AF38" i="18"/>
  <c r="AG38" i="18" s="1"/>
  <c r="AO38" i="18" s="1"/>
  <c r="AQ38" i="18" s="1"/>
  <c r="AF37" i="18"/>
  <c r="AG37" i="18" s="1"/>
  <c r="AO37" i="18" s="1"/>
  <c r="AQ37" i="18" s="1"/>
  <c r="AF36" i="18"/>
  <c r="AI36" i="18" s="1"/>
  <c r="AN36" i="18" s="1"/>
  <c r="AO36" i="18" s="1"/>
  <c r="AQ36" i="18" s="1"/>
  <c r="AF33" i="18"/>
  <c r="AG33" i="18" s="1"/>
  <c r="AO33" i="18" s="1"/>
  <c r="AQ33" i="18" s="1"/>
  <c r="AF32" i="18"/>
  <c r="AG32" i="18" s="1"/>
  <c r="AO32" i="18" s="1"/>
  <c r="AQ32" i="18" s="1"/>
  <c r="AF31" i="18"/>
  <c r="AI31" i="18" s="1"/>
  <c r="AN31" i="18" s="1"/>
  <c r="AO31" i="18" s="1"/>
  <c r="AQ31" i="18" s="1"/>
  <c r="AI24" i="18"/>
  <c r="AN24" i="18" s="1"/>
  <c r="AO24" i="18" s="1"/>
  <c r="AQ24" i="18" s="1"/>
  <c r="AF30" i="18"/>
  <c r="AI30" i="18" s="1"/>
  <c r="AN30" i="18" s="1"/>
  <c r="AO30" i="18" s="1"/>
  <c r="AQ30" i="18" s="1"/>
  <c r="AF25" i="18"/>
  <c r="F139" i="18"/>
  <c r="H139" i="18" s="1"/>
  <c r="G165" i="18"/>
  <c r="H165" i="18" s="1"/>
  <c r="F156" i="18"/>
  <c r="H156" i="18" s="1"/>
  <c r="F153" i="18"/>
  <c r="H153" i="18" s="1"/>
  <c r="AU46" i="18"/>
  <c r="AW46" i="18" s="1"/>
  <c r="F154" i="18"/>
  <c r="H154" i="18" s="1"/>
  <c r="G163" i="18"/>
  <c r="H163" i="18" s="1"/>
  <c r="G166" i="18"/>
  <c r="H166" i="18" s="1"/>
  <c r="F160" i="18"/>
  <c r="H160" i="18" s="1"/>
  <c r="F150" i="18"/>
  <c r="H150" i="18" s="1"/>
  <c r="F158" i="18"/>
  <c r="H158" i="18" s="1"/>
  <c r="F161" i="18"/>
  <c r="H161" i="18" s="1"/>
  <c r="F155" i="18"/>
  <c r="H155" i="18" s="1"/>
  <c r="F157" i="18"/>
  <c r="H157" i="18" s="1"/>
  <c r="F159" i="18"/>
  <c r="H159" i="18" s="1"/>
  <c r="T124" i="18"/>
  <c r="V124" i="18" s="1"/>
  <c r="G164" i="18" s="1"/>
  <c r="H164" i="18" s="1"/>
  <c r="AU54" i="18"/>
  <c r="AW54" i="18" s="1"/>
  <c r="AU51" i="18"/>
  <c r="AW51" i="18" s="1"/>
  <c r="AU47" i="18"/>
  <c r="AW47" i="18" s="1"/>
  <c r="F151" i="18"/>
  <c r="H151" i="18" s="1"/>
  <c r="AU50" i="18"/>
  <c r="AW50" i="18" s="1"/>
  <c r="F140" i="18"/>
  <c r="H140" i="18" s="1"/>
  <c r="AU48" i="18"/>
  <c r="AW48" i="18" s="1"/>
  <c r="AU49" i="18"/>
  <c r="AW49" i="18" s="1"/>
  <c r="H144" i="18"/>
  <c r="F141" i="18"/>
  <c r="H141" i="18" s="1"/>
  <c r="H149" i="18"/>
  <c r="F145" i="18"/>
  <c r="H145" i="18" s="1"/>
  <c r="F142" i="18"/>
  <c r="H142" i="18" s="1"/>
  <c r="F143" i="18"/>
  <c r="H143" i="18" s="1"/>
  <c r="F148" i="18"/>
  <c r="H148" i="18" s="1"/>
  <c r="F147" i="18"/>
  <c r="H147" i="18" s="1"/>
  <c r="F146" i="18"/>
  <c r="H146" i="18" s="1"/>
  <c r="AU52" i="18"/>
  <c r="AW52" i="18" s="1"/>
  <c r="BF38" i="18"/>
  <c r="BI38" i="18" s="1"/>
  <c r="BJ38" i="18" s="1"/>
  <c r="BL38" i="18" s="1"/>
  <c r="AU53" i="18" s="1"/>
  <c r="AW53" i="18" s="1"/>
  <c r="EB18" i="17"/>
  <c r="EB19" i="17" s="1"/>
  <c r="C45" i="10" s="1"/>
  <c r="E45" i="10" s="1"/>
  <c r="BT26" i="18" l="1"/>
  <c r="BY25" i="18"/>
  <c r="CD25" i="18" s="1"/>
  <c r="CE25" i="18" s="1"/>
  <c r="CG25" i="18" s="1"/>
  <c r="BY17" i="18"/>
  <c r="CD17" i="18" s="1"/>
  <c r="CE17" i="18" s="1"/>
  <c r="CG17" i="18" s="1"/>
  <c r="BT18" i="18"/>
  <c r="AA45" i="18"/>
  <c r="AC45" i="18" s="1"/>
  <c r="CE21" i="18"/>
  <c r="CG21" i="18" s="1"/>
  <c r="AA46" i="18"/>
  <c r="AC46" i="18" s="1"/>
  <c r="AI25" i="18"/>
  <c r="AN25" i="18" s="1"/>
  <c r="AO25" i="18" s="1"/>
  <c r="AQ25" i="18" s="1"/>
  <c r="AF26" i="18"/>
  <c r="CJ19" i="18"/>
  <c r="H162" i="18"/>
  <c r="H167" i="18"/>
  <c r="AW55" i="18"/>
  <c r="H152" i="18"/>
  <c r="H168" i="18" l="1"/>
  <c r="C67" i="10" s="1"/>
  <c r="E67" i="10" s="1"/>
  <c r="CL19" i="18"/>
  <c r="CJ20" i="18"/>
  <c r="CL20" i="18" s="1"/>
  <c r="BY26" i="18"/>
  <c r="CD26" i="18" s="1"/>
  <c r="CE26" i="18" s="1"/>
  <c r="CG26" i="18" s="1"/>
  <c r="BT27" i="18"/>
  <c r="CL21" i="18"/>
  <c r="C68" i="10" s="1"/>
  <c r="BY18" i="18"/>
  <c r="CD18" i="18" s="1"/>
  <c r="CE18" i="18" s="1"/>
  <c r="CG18" i="18" s="1"/>
  <c r="BT19" i="18"/>
  <c r="CE22" i="18"/>
  <c r="CG22" i="18" s="1"/>
  <c r="AF27" i="18"/>
  <c r="AG26" i="18"/>
  <c r="AO26" i="18" s="1"/>
  <c r="AQ26" i="18" s="1"/>
  <c r="BY27" i="18" l="1"/>
  <c r="CD27" i="18" s="1"/>
  <c r="CE27" i="18" s="1"/>
  <c r="CG27" i="18" s="1"/>
  <c r="BT28" i="18"/>
  <c r="BW19" i="18"/>
  <c r="CE19" i="18" s="1"/>
  <c r="CG19" i="18" s="1"/>
  <c r="BT20" i="18"/>
  <c r="AF28" i="18"/>
  <c r="AF29" i="18" s="1"/>
  <c r="AG29" i="18" s="1"/>
  <c r="AO29" i="18" s="1"/>
  <c r="AQ29" i="18" s="1"/>
  <c r="AG27" i="18"/>
  <c r="AO27" i="18" s="1"/>
  <c r="AQ27" i="18" s="1"/>
  <c r="AA44" i="18" s="1"/>
  <c r="AC44" i="18" s="1"/>
  <c r="AC47" i="18" s="1"/>
  <c r="C70" i="10" s="1"/>
  <c r="DO9" i="17"/>
  <c r="DO8" i="17"/>
  <c r="DO7" i="17"/>
  <c r="DO6" i="17"/>
  <c r="DT6" i="17" s="1"/>
  <c r="DU6" i="17" s="1"/>
  <c r="DM11" i="17"/>
  <c r="DV13" i="17"/>
  <c r="DQ13" i="17"/>
  <c r="DP13" i="17"/>
  <c r="DM13" i="17"/>
  <c r="DM12" i="17"/>
  <c r="DV14" i="17"/>
  <c r="DV12" i="17"/>
  <c r="DP12" i="17"/>
  <c r="DR12" i="17" s="1"/>
  <c r="DP11" i="17"/>
  <c r="DV9" i="17"/>
  <c r="DV8" i="17"/>
  <c r="DV11" i="17"/>
  <c r="DV10" i="17"/>
  <c r="DP7" i="17"/>
  <c r="DP8" i="17" s="1"/>
  <c r="DV7" i="17"/>
  <c r="DV6" i="17"/>
  <c r="CR7" i="17"/>
  <c r="CX7" i="17"/>
  <c r="CU7" i="17"/>
  <c r="CT6" i="17"/>
  <c r="CY6" i="17" s="1"/>
  <c r="CO6" i="17"/>
  <c r="CR6" i="17" s="1"/>
  <c r="DA7" i="17"/>
  <c r="DA6" i="17"/>
  <c r="CF33" i="17"/>
  <c r="BV33" i="17"/>
  <c r="BY33" i="17" s="1"/>
  <c r="CD33" i="17" s="1"/>
  <c r="CE33" i="17" s="1"/>
  <c r="CF29" i="17"/>
  <c r="BV29" i="17"/>
  <c r="BS29" i="17"/>
  <c r="CF25" i="17"/>
  <c r="BV25" i="17"/>
  <c r="BY25" i="17" s="1"/>
  <c r="CD25" i="17" s="1"/>
  <c r="CE25" i="17" s="1"/>
  <c r="CF21" i="17"/>
  <c r="BV21" i="17"/>
  <c r="BS21" i="17"/>
  <c r="BV13" i="17"/>
  <c r="BY13" i="17" s="1"/>
  <c r="CD13" i="17" s="1"/>
  <c r="CE13" i="17" s="1"/>
  <c r="BV17" i="17"/>
  <c r="BY17" i="17" s="1"/>
  <c r="CD17" i="17" s="1"/>
  <c r="CE17" i="17" s="1"/>
  <c r="CF17" i="17"/>
  <c r="BS13" i="17"/>
  <c r="CF13" i="17"/>
  <c r="CF9" i="17"/>
  <c r="BY9" i="17"/>
  <c r="CD9" i="17" s="1"/>
  <c r="CE9" i="17" s="1"/>
  <c r="BQ46" i="17"/>
  <c r="BQ54" i="17"/>
  <c r="BQ53" i="17"/>
  <c r="BQ47" i="17"/>
  <c r="BQ48" i="17"/>
  <c r="BQ49" i="17"/>
  <c r="BQ50" i="17"/>
  <c r="BQ51" i="17"/>
  <c r="BQ52" i="17"/>
  <c r="BW42" i="17"/>
  <c r="CF42" i="17"/>
  <c r="CC42" i="17"/>
  <c r="BY42" i="17"/>
  <c r="CF41" i="17"/>
  <c r="BY41" i="17"/>
  <c r="CD41" i="17" s="1"/>
  <c r="CE41" i="17" s="1"/>
  <c r="BU41" i="17"/>
  <c r="BU42" i="17" s="1"/>
  <c r="BZ42" i="17" s="1"/>
  <c r="CB42" i="17" s="1"/>
  <c r="CF40" i="17"/>
  <c r="BY40" i="17"/>
  <c r="CD40" i="17" s="1"/>
  <c r="CE40" i="17" s="1"/>
  <c r="CF39" i="17"/>
  <c r="BY39" i="17"/>
  <c r="CD39" i="17" s="1"/>
  <c r="CE39" i="17" s="1"/>
  <c r="CF37" i="17"/>
  <c r="BY37" i="17"/>
  <c r="CD37" i="17" s="1"/>
  <c r="CE37" i="17" s="1"/>
  <c r="CF36" i="17"/>
  <c r="BY36" i="17"/>
  <c r="CD36" i="17" s="1"/>
  <c r="CE36" i="17" s="1"/>
  <c r="CF38" i="17"/>
  <c r="CC38" i="17"/>
  <c r="BW38" i="17"/>
  <c r="CF35" i="17"/>
  <c r="BY35" i="17"/>
  <c r="CD35" i="17" s="1"/>
  <c r="CE35" i="17" s="1"/>
  <c r="BU35" i="17"/>
  <c r="BU36" i="17" s="1"/>
  <c r="BU37" i="17" s="1"/>
  <c r="BU38" i="17" s="1"/>
  <c r="BU39" i="17" s="1"/>
  <c r="BT35" i="17"/>
  <c r="BT36" i="17" s="1"/>
  <c r="BT37" i="17" s="1"/>
  <c r="BT38" i="17" s="1"/>
  <c r="BT39" i="17" s="1"/>
  <c r="CF34" i="17"/>
  <c r="BY34" i="17"/>
  <c r="CD34" i="17" s="1"/>
  <c r="CE34" i="17" s="1"/>
  <c r="CF32" i="17"/>
  <c r="CC32" i="17"/>
  <c r="BY32" i="17"/>
  <c r="BW32" i="17"/>
  <c r="CF31" i="17"/>
  <c r="BY31" i="17"/>
  <c r="CD31" i="17" s="1"/>
  <c r="CE31" i="17" s="1"/>
  <c r="BZ32" i="17"/>
  <c r="CB32" i="17" s="1"/>
  <c r="CF30" i="17"/>
  <c r="BY30" i="17"/>
  <c r="CD30" i="17" s="1"/>
  <c r="CE30" i="17" s="1"/>
  <c r="CF28" i="17"/>
  <c r="CC28" i="17"/>
  <c r="BW28" i="17"/>
  <c r="CF27" i="17"/>
  <c r="BY27" i="17"/>
  <c r="CD27" i="17" s="1"/>
  <c r="CE27" i="17" s="1"/>
  <c r="BU27" i="17"/>
  <c r="BU28" i="17" s="1"/>
  <c r="BZ28" i="17" s="1"/>
  <c r="CB28" i="17" s="1"/>
  <c r="BT27" i="17"/>
  <c r="BT28" i="17" s="1"/>
  <c r="BY28" i="17" s="1"/>
  <c r="CF26" i="17"/>
  <c r="BY26" i="17"/>
  <c r="CD26" i="17" s="1"/>
  <c r="CE26" i="17" s="1"/>
  <c r="BU23" i="17"/>
  <c r="BU24" i="17" s="1"/>
  <c r="BZ24" i="17" s="1"/>
  <c r="CB24" i="17" s="1"/>
  <c r="CF24" i="17"/>
  <c r="CC24" i="17"/>
  <c r="BY24" i="17"/>
  <c r="BW24" i="17"/>
  <c r="CF23" i="17"/>
  <c r="BY23" i="17"/>
  <c r="CD23" i="17" s="1"/>
  <c r="CE23" i="17" s="1"/>
  <c r="CF22" i="17"/>
  <c r="BY22" i="17"/>
  <c r="CD22" i="17" s="1"/>
  <c r="CE22" i="17" s="1"/>
  <c r="CF20" i="17"/>
  <c r="CC20" i="17"/>
  <c r="BW20" i="17"/>
  <c r="CF19" i="17"/>
  <c r="BY19" i="17"/>
  <c r="CD19" i="17" s="1"/>
  <c r="CE19" i="17" s="1"/>
  <c r="BU19" i="17"/>
  <c r="BU20" i="17" s="1"/>
  <c r="BZ20" i="17" s="1"/>
  <c r="CB20" i="17" s="1"/>
  <c r="BT19" i="17"/>
  <c r="BT20" i="17" s="1"/>
  <c r="BY20" i="17" s="1"/>
  <c r="CF18" i="17"/>
  <c r="BY18" i="17"/>
  <c r="CD18" i="17" s="1"/>
  <c r="CE18" i="17" s="1"/>
  <c r="BU11" i="17"/>
  <c r="BU12" i="17" s="1"/>
  <c r="BZ12" i="17" s="1"/>
  <c r="CB12" i="17" s="1"/>
  <c r="BT11" i="17"/>
  <c r="BT12" i="17" s="1"/>
  <c r="BY12" i="17" s="1"/>
  <c r="CF16" i="17"/>
  <c r="CC16" i="17"/>
  <c r="BZ16" i="17"/>
  <c r="CB16" i="17" s="1"/>
  <c r="BY16" i="17"/>
  <c r="CA16" i="17" s="1"/>
  <c r="BW16" i="17"/>
  <c r="CF15" i="17"/>
  <c r="BY15" i="17"/>
  <c r="CD15" i="17" s="1"/>
  <c r="CE15" i="17" s="1"/>
  <c r="CF14" i="17"/>
  <c r="BY14" i="17"/>
  <c r="CD14" i="17" s="1"/>
  <c r="CE14" i="17" s="1"/>
  <c r="CF12" i="17"/>
  <c r="CC12" i="17"/>
  <c r="BW12" i="17"/>
  <c r="CF11" i="17"/>
  <c r="BY11" i="17"/>
  <c r="CD11" i="17" s="1"/>
  <c r="CE11" i="17" s="1"/>
  <c r="CF10" i="17"/>
  <c r="BY10" i="17"/>
  <c r="CD10" i="17" s="1"/>
  <c r="CE10" i="17" s="1"/>
  <c r="BW8" i="17"/>
  <c r="CF8" i="17"/>
  <c r="CC8" i="17"/>
  <c r="BZ8" i="17"/>
  <c r="CB8" i="17" s="1"/>
  <c r="BY8" i="17"/>
  <c r="CA8" i="17" s="1"/>
  <c r="CF7" i="17"/>
  <c r="BY7" i="17"/>
  <c r="CD7" i="17" s="1"/>
  <c r="CE7" i="17" s="1"/>
  <c r="CF6" i="17"/>
  <c r="BY6" i="17"/>
  <c r="CD6" i="17" s="1"/>
  <c r="CE6" i="17" s="1"/>
  <c r="AW29" i="17"/>
  <c r="AW28" i="17"/>
  <c r="AW27" i="17"/>
  <c r="BB22" i="17"/>
  <c r="BB17" i="17"/>
  <c r="BD21" i="17"/>
  <c r="BF21" i="17" s="1"/>
  <c r="BK22" i="17"/>
  <c r="BE22" i="17"/>
  <c r="BI22" i="17" s="1"/>
  <c r="BK21" i="17"/>
  <c r="BH21" i="17"/>
  <c r="BE21" i="17"/>
  <c r="BG21" i="17" s="1"/>
  <c r="BB21" i="17"/>
  <c r="BK20" i="17"/>
  <c r="BH20" i="17"/>
  <c r="BE20" i="17"/>
  <c r="BG20" i="17" s="1"/>
  <c r="BD20" i="17"/>
  <c r="BB20" i="17"/>
  <c r="BK19" i="17"/>
  <c r="BK18" i="17"/>
  <c r="BE18" i="17"/>
  <c r="BD18" i="17"/>
  <c r="BE17" i="17"/>
  <c r="BI17" i="17" s="1"/>
  <c r="BK16" i="17"/>
  <c r="BH16" i="17"/>
  <c r="BE16" i="17"/>
  <c r="BG16" i="17" s="1"/>
  <c r="BB16" i="17"/>
  <c r="BF15" i="17"/>
  <c r="BH15" i="17"/>
  <c r="BK17" i="17"/>
  <c r="BK15" i="17"/>
  <c r="BB15" i="17"/>
  <c r="BK14" i="17"/>
  <c r="BE14" i="17"/>
  <c r="BD14" i="17"/>
  <c r="BK13" i="17"/>
  <c r="BE13" i="17"/>
  <c r="BD13" i="17"/>
  <c r="BK12" i="17"/>
  <c r="BI12" i="17"/>
  <c r="BE9" i="17"/>
  <c r="BG9" i="17" s="1"/>
  <c r="BD9" i="17"/>
  <c r="BK9" i="17"/>
  <c r="BH9" i="17"/>
  <c r="BE10" i="17"/>
  <c r="BG10" i="17" s="1"/>
  <c r="BD10" i="17"/>
  <c r="BF10" i="17" s="1"/>
  <c r="BH10" i="17"/>
  <c r="BB10" i="17"/>
  <c r="BE8" i="17"/>
  <c r="BD8" i="17"/>
  <c r="BD7" i="17"/>
  <c r="I46" i="15"/>
  <c r="BK11" i="17"/>
  <c r="BK10" i="17"/>
  <c r="BK8" i="17"/>
  <c r="BK7" i="17"/>
  <c r="AI43" i="17"/>
  <c r="AK43" i="17" s="1"/>
  <c r="AP44" i="17"/>
  <c r="AG44" i="17"/>
  <c r="AP43" i="17"/>
  <c r="AM43" i="17"/>
  <c r="AJ43" i="17"/>
  <c r="AL43" i="17" s="1"/>
  <c r="AG43" i="17"/>
  <c r="AP42" i="17"/>
  <c r="AJ42" i="17"/>
  <c r="AB61" i="17"/>
  <c r="AB60" i="17"/>
  <c r="AB59" i="17"/>
  <c r="AB58" i="17"/>
  <c r="AB57" i="17"/>
  <c r="AB55" i="17"/>
  <c r="AB54" i="17"/>
  <c r="AB53" i="17"/>
  <c r="AB52" i="17"/>
  <c r="AB51" i="17"/>
  <c r="AB50" i="17"/>
  <c r="AP39" i="17"/>
  <c r="AJ39" i="17"/>
  <c r="AI39" i="17"/>
  <c r="AK39" i="17" s="1"/>
  <c r="AG39" i="17"/>
  <c r="AJ33" i="17"/>
  <c r="AM36" i="17"/>
  <c r="AJ36" i="17"/>
  <c r="AL36" i="17" s="1"/>
  <c r="AI36" i="17" s="1"/>
  <c r="AG36" i="17"/>
  <c r="AJ35" i="17"/>
  <c r="AI35" i="17"/>
  <c r="AK35" i="17" s="1"/>
  <c r="AG35" i="17"/>
  <c r="AM34" i="17"/>
  <c r="AJ34" i="17"/>
  <c r="AL34" i="17" s="1"/>
  <c r="AI34" i="17"/>
  <c r="AK34" i="17" s="1"/>
  <c r="AG34" i="17"/>
  <c r="AP36" i="17"/>
  <c r="AP35" i="17"/>
  <c r="AM32" i="17"/>
  <c r="AL32" i="17"/>
  <c r="AI32" i="17" s="1"/>
  <c r="AI30" i="17"/>
  <c r="AP32" i="17"/>
  <c r="AG32" i="17"/>
  <c r="AP31" i="17"/>
  <c r="AI31" i="17"/>
  <c r="AK31" i="17" s="1"/>
  <c r="AG31" i="17"/>
  <c r="AP28" i="17"/>
  <c r="AJ28" i="17"/>
  <c r="AI28" i="17"/>
  <c r="AK28" i="17" s="1"/>
  <c r="AG28" i="17"/>
  <c r="AP25" i="17"/>
  <c r="AJ25" i="17"/>
  <c r="AI25" i="17"/>
  <c r="AK25" i="17" s="1"/>
  <c r="AG25" i="17"/>
  <c r="AJ22" i="17"/>
  <c r="AI22" i="17"/>
  <c r="AK22" i="17" s="1"/>
  <c r="AG22" i="17"/>
  <c r="AP22" i="17"/>
  <c r="AP19" i="17"/>
  <c r="AJ19" i="17"/>
  <c r="AI19" i="17"/>
  <c r="AK19" i="17" s="1"/>
  <c r="AG19" i="17"/>
  <c r="AM16" i="17"/>
  <c r="AJ16" i="17"/>
  <c r="AL16" i="17" s="1"/>
  <c r="AI16" i="17" s="1"/>
  <c r="AK16" i="17" s="1"/>
  <c r="AG16" i="17"/>
  <c r="AJ12" i="17"/>
  <c r="AL12" i="17" s="1"/>
  <c r="AP16" i="17"/>
  <c r="AK13" i="17"/>
  <c r="AI41" i="17"/>
  <c r="AK41" i="17" s="1"/>
  <c r="AM41" i="17"/>
  <c r="AJ41" i="17"/>
  <c r="AL41" i="17" s="1"/>
  <c r="AG41" i="17"/>
  <c r="AM38" i="17"/>
  <c r="AJ38" i="17"/>
  <c r="AL38" i="17" s="1"/>
  <c r="AI38" i="17"/>
  <c r="AG38" i="17"/>
  <c r="AJ37" i="17"/>
  <c r="AM30" i="17"/>
  <c r="AJ30" i="17"/>
  <c r="AL30" i="17" s="1"/>
  <c r="AG30" i="17"/>
  <c r="AJ29" i="17"/>
  <c r="AM27" i="17"/>
  <c r="AJ27" i="17"/>
  <c r="AL27" i="17" s="1"/>
  <c r="AI27" i="17"/>
  <c r="AG27" i="17"/>
  <c r="AJ26" i="17"/>
  <c r="AM21" i="17"/>
  <c r="AJ21" i="17"/>
  <c r="AL21" i="17" s="1"/>
  <c r="AI21" i="17"/>
  <c r="AK21" i="17" s="1"/>
  <c r="AG21" i="17"/>
  <c r="AJ20" i="17"/>
  <c r="AM18" i="17"/>
  <c r="AJ18" i="17"/>
  <c r="AL18" i="17" s="1"/>
  <c r="AI18" i="17"/>
  <c r="AG18" i="17"/>
  <c r="AJ17" i="17"/>
  <c r="AM15" i="17"/>
  <c r="AJ15" i="17"/>
  <c r="AL15" i="17" s="1"/>
  <c r="AI15" i="17"/>
  <c r="AK15" i="17" s="1"/>
  <c r="AG15" i="17"/>
  <c r="AJ14" i="17"/>
  <c r="AM12" i="17"/>
  <c r="AJ11" i="17"/>
  <c r="AM10" i="17"/>
  <c r="AJ10" i="17"/>
  <c r="AL10" i="17" s="1"/>
  <c r="AI10" i="17"/>
  <c r="AG10" i="17"/>
  <c r="AJ9" i="17"/>
  <c r="AP41" i="17"/>
  <c r="AP40" i="17"/>
  <c r="AP38" i="17"/>
  <c r="AP37" i="17"/>
  <c r="AP34" i="17"/>
  <c r="AP33" i="17"/>
  <c r="AP30" i="17"/>
  <c r="AP29" i="17"/>
  <c r="AP27" i="17"/>
  <c r="AP26" i="17"/>
  <c r="AP24" i="17"/>
  <c r="AM24" i="17"/>
  <c r="AJ24" i="17"/>
  <c r="AL24" i="17" s="1"/>
  <c r="AI24" i="17"/>
  <c r="AK24" i="17" s="1"/>
  <c r="AG24" i="17"/>
  <c r="AP23" i="17"/>
  <c r="AJ23" i="17"/>
  <c r="AP21" i="17"/>
  <c r="AP20" i="17"/>
  <c r="AP18" i="17"/>
  <c r="AP17" i="17"/>
  <c r="AP15" i="17"/>
  <c r="AP14" i="17"/>
  <c r="AP12" i="17"/>
  <c r="AP11" i="17"/>
  <c r="AM8" i="17"/>
  <c r="AL8" i="17"/>
  <c r="AJ7" i="17"/>
  <c r="BT29" i="18" l="1"/>
  <c r="BW28" i="18"/>
  <c r="CE28" i="18" s="1"/>
  <c r="CG28" i="18" s="1"/>
  <c r="DR11" i="17"/>
  <c r="BW20" i="18"/>
  <c r="CE20" i="18" s="1"/>
  <c r="CG20" i="18" s="1"/>
  <c r="BT21" i="18"/>
  <c r="BT22" i="18" s="1"/>
  <c r="BT23" i="18" s="1"/>
  <c r="BW23" i="18" s="1"/>
  <c r="CE23" i="18" s="1"/>
  <c r="CG23" i="18" s="1"/>
  <c r="DT8" i="17"/>
  <c r="DU8" i="17" s="1"/>
  <c r="DR13" i="17"/>
  <c r="DT13" i="17" s="1"/>
  <c r="DU13" i="17" s="1"/>
  <c r="DW13" i="17" s="1"/>
  <c r="DT14" i="17"/>
  <c r="DU14" i="17" s="1"/>
  <c r="DW14" i="17" s="1"/>
  <c r="CZ6" i="17"/>
  <c r="DB6" i="17" s="1"/>
  <c r="DQ12" i="17"/>
  <c r="DT12" i="17" s="1"/>
  <c r="DU12" i="17" s="1"/>
  <c r="DW12" i="17" s="1"/>
  <c r="DQ11" i="17"/>
  <c r="DP9" i="17"/>
  <c r="DT9" i="17" s="1"/>
  <c r="DU9" i="17" s="1"/>
  <c r="DW9" i="17" s="1"/>
  <c r="DW8" i="17"/>
  <c r="DQ10" i="17"/>
  <c r="DR10" i="17"/>
  <c r="DT7" i="17"/>
  <c r="DW6" i="17"/>
  <c r="CO7" i="17"/>
  <c r="CG33" i="17"/>
  <c r="BY29" i="17"/>
  <c r="CD29" i="17" s="1"/>
  <c r="CE29" i="17" s="1"/>
  <c r="CG29" i="17" s="1"/>
  <c r="CG25" i="17"/>
  <c r="CG13" i="17"/>
  <c r="BY21" i="17"/>
  <c r="CD21" i="17" s="1"/>
  <c r="CE21" i="17" s="1"/>
  <c r="CG21" i="17" s="1"/>
  <c r="CG22" i="17"/>
  <c r="CG17" i="17"/>
  <c r="CG36" i="17"/>
  <c r="CG9" i="17"/>
  <c r="CG27" i="17"/>
  <c r="CG37" i="17"/>
  <c r="CG26" i="17"/>
  <c r="CG31" i="17"/>
  <c r="CG41" i="17"/>
  <c r="CG35" i="17"/>
  <c r="CG39" i="17"/>
  <c r="CG40" i="17"/>
  <c r="CA42" i="17"/>
  <c r="CD42" i="17" s="1"/>
  <c r="CE42" i="17" s="1"/>
  <c r="CG42" i="17" s="1"/>
  <c r="BY38" i="17"/>
  <c r="CA38" i="17" s="1"/>
  <c r="BZ38" i="17"/>
  <c r="CB38" i="17" s="1"/>
  <c r="CG18" i="17"/>
  <c r="CG34" i="17"/>
  <c r="CG15" i="17"/>
  <c r="CG30" i="17"/>
  <c r="CA32" i="17"/>
  <c r="CD32" i="17" s="1"/>
  <c r="CE32" i="17" s="1"/>
  <c r="CG32" i="17" s="1"/>
  <c r="CG23" i="17"/>
  <c r="CA28" i="17"/>
  <c r="CD28" i="17" s="1"/>
  <c r="CE28" i="17" s="1"/>
  <c r="CG28" i="17" s="1"/>
  <c r="CA24" i="17"/>
  <c r="CD24" i="17" s="1"/>
  <c r="CE24" i="17" s="1"/>
  <c r="CG24" i="17" s="1"/>
  <c r="CG19" i="17"/>
  <c r="CA20" i="17"/>
  <c r="CD20" i="17" s="1"/>
  <c r="CE20" i="17" s="1"/>
  <c r="CG20" i="17" s="1"/>
  <c r="CG14" i="17"/>
  <c r="CD16" i="17"/>
  <c r="CE16" i="17" s="1"/>
  <c r="CG16" i="17" s="1"/>
  <c r="CG11" i="17"/>
  <c r="CG10" i="17"/>
  <c r="CG7" i="17"/>
  <c r="CA12" i="17"/>
  <c r="CD12" i="17" s="1"/>
  <c r="CE12" i="17" s="1"/>
  <c r="CG12" i="17" s="1"/>
  <c r="BI19" i="17"/>
  <c r="BJ19" i="17" s="1"/>
  <c r="BL19" i="17" s="1"/>
  <c r="CD8" i="17"/>
  <c r="CE8" i="17" s="1"/>
  <c r="CG8" i="17" s="1"/>
  <c r="CG6" i="17"/>
  <c r="BJ22" i="17"/>
  <c r="BL22" i="17" s="1"/>
  <c r="BI18" i="17"/>
  <c r="BJ18" i="17" s="1"/>
  <c r="BL18" i="17" s="1"/>
  <c r="BI21" i="17"/>
  <c r="BJ21" i="17" s="1"/>
  <c r="BL21" i="17" s="1"/>
  <c r="BF20" i="17"/>
  <c r="BI20" i="17" s="1"/>
  <c r="BJ20" i="17" s="1"/>
  <c r="BL20" i="17" s="1"/>
  <c r="BF16" i="17"/>
  <c r="BI16" i="17" s="1"/>
  <c r="BJ16" i="17" s="1"/>
  <c r="BL16" i="17" s="1"/>
  <c r="AN19" i="17"/>
  <c r="AO19" i="17" s="1"/>
  <c r="AQ19" i="17" s="1"/>
  <c r="BI13" i="17"/>
  <c r="BJ13" i="17" s="1"/>
  <c r="BL13" i="17" s="1"/>
  <c r="BJ17" i="17"/>
  <c r="BL17" i="17" s="1"/>
  <c r="BI14" i="17"/>
  <c r="BJ14" i="17" s="1"/>
  <c r="BL14" i="17" s="1"/>
  <c r="BG15" i="17"/>
  <c r="BI15" i="17" s="1"/>
  <c r="BJ15" i="17" s="1"/>
  <c r="BL15" i="17" s="1"/>
  <c r="AN28" i="17"/>
  <c r="AO28" i="17" s="1"/>
  <c r="AQ28" i="17" s="1"/>
  <c r="BJ12" i="17"/>
  <c r="BL12" i="17" s="1"/>
  <c r="BF9" i="17"/>
  <c r="BL9" i="17" s="1"/>
  <c r="BI7" i="17"/>
  <c r="BL7" i="17" s="1"/>
  <c r="AN39" i="17"/>
  <c r="AO39" i="17" s="1"/>
  <c r="AQ39" i="17" s="1"/>
  <c r="AN42" i="17"/>
  <c r="AO42" i="17" s="1"/>
  <c r="AQ42" i="17" s="1"/>
  <c r="BI11" i="17"/>
  <c r="BJ11" i="17" s="1"/>
  <c r="BL11" i="17" s="1"/>
  <c r="BI10" i="17"/>
  <c r="BL10" i="17" s="1"/>
  <c r="BI8" i="17"/>
  <c r="BJ8" i="17" s="1"/>
  <c r="BL8" i="17" s="1"/>
  <c r="AN43" i="17"/>
  <c r="AO43" i="17" s="1"/>
  <c r="AQ43" i="17" s="1"/>
  <c r="AN44" i="17"/>
  <c r="AO44" i="17" s="1"/>
  <c r="AQ44" i="17" s="1"/>
  <c r="AN17" i="17"/>
  <c r="AO17" i="17" s="1"/>
  <c r="AQ17" i="17" s="1"/>
  <c r="AN26" i="17"/>
  <c r="AO26" i="17" s="1"/>
  <c r="AQ26" i="17" s="1"/>
  <c r="AN23" i="17"/>
  <c r="AO23" i="17" s="1"/>
  <c r="AQ23" i="17" s="1"/>
  <c r="AN11" i="17"/>
  <c r="AQ11" i="17" s="1"/>
  <c r="AK36" i="17"/>
  <c r="AN36" i="17" s="1"/>
  <c r="AO36" i="17" s="1"/>
  <c r="AQ36" i="17" s="1"/>
  <c r="AN35" i="17"/>
  <c r="AO35" i="17" s="1"/>
  <c r="AQ35" i="17" s="1"/>
  <c r="AQ31" i="17"/>
  <c r="AN32" i="17"/>
  <c r="AO32" i="17" s="1"/>
  <c r="AQ32" i="17" s="1"/>
  <c r="AN25" i="17"/>
  <c r="AO25" i="17" s="1"/>
  <c r="AQ25" i="17" s="1"/>
  <c r="AN22" i="17"/>
  <c r="AO22" i="17" s="1"/>
  <c r="AQ22" i="17" s="1"/>
  <c r="AO16" i="17"/>
  <c r="AQ16" i="17" s="1"/>
  <c r="AN9" i="17"/>
  <c r="AN14" i="17"/>
  <c r="AO14" i="17" s="1"/>
  <c r="AQ14" i="17" s="1"/>
  <c r="AN20" i="17"/>
  <c r="AO20" i="17" s="1"/>
  <c r="AQ20" i="17" s="1"/>
  <c r="AN29" i="17"/>
  <c r="AO29" i="17" s="1"/>
  <c r="AQ29" i="17" s="1"/>
  <c r="AN37" i="17"/>
  <c r="AO37" i="17" s="1"/>
  <c r="AQ37" i="17" s="1"/>
  <c r="AN41" i="17"/>
  <c r="AO41" i="17" s="1"/>
  <c r="AQ41" i="17" s="1"/>
  <c r="AN15" i="17"/>
  <c r="AO15" i="17" s="1"/>
  <c r="AQ15" i="17" s="1"/>
  <c r="AN21" i="17"/>
  <c r="AO21" i="17" s="1"/>
  <c r="AQ21" i="17" s="1"/>
  <c r="AN38" i="17"/>
  <c r="AO38" i="17" s="1"/>
  <c r="AQ38" i="17" s="1"/>
  <c r="AN33" i="17"/>
  <c r="AO33" i="17" s="1"/>
  <c r="AQ33" i="17" s="1"/>
  <c r="AN40" i="17"/>
  <c r="AO40" i="17" s="1"/>
  <c r="AQ40" i="17" s="1"/>
  <c r="AN34" i="17"/>
  <c r="AO34" i="17" s="1"/>
  <c r="AQ34" i="17" s="1"/>
  <c r="AK30" i="17"/>
  <c r="AN30" i="17" s="1"/>
  <c r="AO30" i="17" s="1"/>
  <c r="AQ30" i="17" s="1"/>
  <c r="AK27" i="17"/>
  <c r="AN27" i="17" s="1"/>
  <c r="AO27" i="17" s="1"/>
  <c r="AQ27" i="17" s="1"/>
  <c r="AK18" i="17"/>
  <c r="AN18" i="17" s="1"/>
  <c r="AO18" i="17" s="1"/>
  <c r="AQ18" i="17" s="1"/>
  <c r="AK12" i="17"/>
  <c r="AN12" i="17" s="1"/>
  <c r="AQ12" i="17" s="1"/>
  <c r="AK10" i="17"/>
  <c r="AN24" i="17"/>
  <c r="AO24" i="17" s="1"/>
  <c r="AQ24" i="17" s="1"/>
  <c r="BT30" i="18" l="1"/>
  <c r="BT31" i="18" s="1"/>
  <c r="BT32" i="18" s="1"/>
  <c r="BW32" i="18" s="1"/>
  <c r="CE32" i="18" s="1"/>
  <c r="CG32" i="18" s="1"/>
  <c r="BW29" i="18"/>
  <c r="CE29" i="18" s="1"/>
  <c r="CG29" i="18" s="1"/>
  <c r="BP36" i="18" s="1"/>
  <c r="BR36" i="18" s="1"/>
  <c r="DT11" i="17"/>
  <c r="DU11" i="17" s="1"/>
  <c r="DW11" i="17" s="1"/>
  <c r="DU7" i="17"/>
  <c r="DW7" i="17" s="1"/>
  <c r="DT10" i="17"/>
  <c r="DU10" i="17" s="1"/>
  <c r="DW10" i="17"/>
  <c r="CT7" i="17"/>
  <c r="CY7" i="17" s="1"/>
  <c r="CZ7" i="17" s="1"/>
  <c r="DB7" i="17" s="1"/>
  <c r="CK11" i="17" s="1"/>
  <c r="CM11" i="17" s="1"/>
  <c r="BP48" i="17"/>
  <c r="BR48" i="17" s="1"/>
  <c r="BP52" i="17"/>
  <c r="BR52" i="17" s="1"/>
  <c r="BP51" i="17"/>
  <c r="BR51" i="17" s="1"/>
  <c r="BP47" i="17"/>
  <c r="BR47" i="17" s="1"/>
  <c r="BP49" i="17"/>
  <c r="BR49" i="17" s="1"/>
  <c r="BP50" i="17"/>
  <c r="BR50" i="17" s="1"/>
  <c r="BP54" i="17"/>
  <c r="BR54" i="17" s="1"/>
  <c r="BP46" i="17"/>
  <c r="BR46" i="17" s="1"/>
  <c r="CD38" i="17"/>
  <c r="CE38" i="17" s="1"/>
  <c r="CG38" i="17" s="1"/>
  <c r="BP53" i="17" s="1"/>
  <c r="BR53" i="17" s="1"/>
  <c r="AV28" i="17"/>
  <c r="AX28" i="17" s="1"/>
  <c r="AV27" i="17"/>
  <c r="AV29" i="17"/>
  <c r="AX29" i="17" s="1"/>
  <c r="AA61" i="17"/>
  <c r="AA55" i="17"/>
  <c r="AA53" i="17"/>
  <c r="AA56" i="17"/>
  <c r="AA52" i="17"/>
  <c r="AA51" i="17"/>
  <c r="AA57" i="17"/>
  <c r="AA54" i="17"/>
  <c r="AA60" i="17"/>
  <c r="AA59" i="17"/>
  <c r="AA58" i="17"/>
  <c r="BR37" i="18" l="1"/>
  <c r="C71" i="10"/>
  <c r="DF18" i="17"/>
  <c r="DH18" i="17"/>
  <c r="DH19" i="17" s="1"/>
  <c r="C44" i="10" s="1"/>
  <c r="E44" i="10" s="1"/>
  <c r="CM12" i="17"/>
  <c r="C43" i="10" s="1"/>
  <c r="BR55" i="17"/>
  <c r="C42" i="10"/>
  <c r="AX30" i="17"/>
  <c r="C41" i="10" s="1"/>
  <c r="E41" i="10" s="1"/>
  <c r="I53" i="15" l="1"/>
  <c r="E10" i="1"/>
  <c r="AP9" i="17"/>
  <c r="AP8" i="17"/>
  <c r="AP7" i="17"/>
  <c r="V56" i="17"/>
  <c r="E85" i="17"/>
  <c r="E84" i="17"/>
  <c r="E82" i="17"/>
  <c r="E81" i="17"/>
  <c r="E75" i="17"/>
  <c r="E76" i="17"/>
  <c r="E77" i="17"/>
  <c r="E78" i="17"/>
  <c r="E79" i="17"/>
  <c r="E74" i="17"/>
  <c r="L63" i="17"/>
  <c r="N63" i="17" s="1"/>
  <c r="J63" i="17"/>
  <c r="M62" i="17"/>
  <c r="L62" i="17"/>
  <c r="L61" i="17"/>
  <c r="N61" i="17" s="1"/>
  <c r="J61" i="17"/>
  <c r="M60" i="17"/>
  <c r="L60" i="17"/>
  <c r="G63" i="17"/>
  <c r="M63" i="17" s="1"/>
  <c r="G62" i="17"/>
  <c r="J62" i="17" s="1"/>
  <c r="G61" i="17"/>
  <c r="M61" i="17" s="1"/>
  <c r="G60" i="17"/>
  <c r="V60" i="17" s="1"/>
  <c r="S63" i="17"/>
  <c r="S62" i="17"/>
  <c r="J52" i="17"/>
  <c r="J57" i="17"/>
  <c r="J56" i="17"/>
  <c r="J55" i="17"/>
  <c r="M57" i="17"/>
  <c r="L57" i="17"/>
  <c r="M56" i="17"/>
  <c r="L56" i="17"/>
  <c r="M55" i="17"/>
  <c r="L55" i="17"/>
  <c r="S57" i="17"/>
  <c r="L46" i="17"/>
  <c r="L45" i="17"/>
  <c r="L44" i="17"/>
  <c r="N44" i="17" s="1"/>
  <c r="L43" i="17"/>
  <c r="H46" i="17"/>
  <c r="J46" i="17" s="1"/>
  <c r="G46" i="17"/>
  <c r="M46" i="17" s="1"/>
  <c r="H45" i="17"/>
  <c r="M45" i="17" s="1"/>
  <c r="G45" i="17"/>
  <c r="J45" i="17" s="1"/>
  <c r="H44" i="17"/>
  <c r="J44" i="17" s="1"/>
  <c r="G44" i="17"/>
  <c r="M44" i="17" s="1"/>
  <c r="H43" i="17"/>
  <c r="M43" i="17" s="1"/>
  <c r="G43" i="17"/>
  <c r="J43" i="17" s="1"/>
  <c r="S46" i="17"/>
  <c r="S45" i="17"/>
  <c r="M54" i="17"/>
  <c r="L54" i="17"/>
  <c r="J54" i="17"/>
  <c r="M53" i="17"/>
  <c r="L53" i="17"/>
  <c r="N53" i="17" s="1"/>
  <c r="J53" i="17"/>
  <c r="M52" i="17"/>
  <c r="L52" i="17"/>
  <c r="M51" i="17"/>
  <c r="L51" i="17"/>
  <c r="N51" i="17" s="1"/>
  <c r="J51" i="17"/>
  <c r="S54" i="17"/>
  <c r="S53" i="17"/>
  <c r="M50" i="17"/>
  <c r="L50" i="17"/>
  <c r="J50" i="17"/>
  <c r="M49" i="17"/>
  <c r="L49" i="17"/>
  <c r="J49" i="17"/>
  <c r="M48" i="17"/>
  <c r="L48" i="17"/>
  <c r="J48" i="17"/>
  <c r="M47" i="17"/>
  <c r="L47" i="17"/>
  <c r="J47" i="17"/>
  <c r="S50" i="17"/>
  <c r="S49" i="17"/>
  <c r="M42" i="17"/>
  <c r="L42" i="17"/>
  <c r="N42" i="17" s="1"/>
  <c r="J42" i="17"/>
  <c r="M41" i="17"/>
  <c r="L41" i="17"/>
  <c r="N41" i="17" s="1"/>
  <c r="J41" i="17"/>
  <c r="M40" i="17"/>
  <c r="L40" i="17"/>
  <c r="N40" i="17" s="1"/>
  <c r="J40" i="17"/>
  <c r="M39" i="17"/>
  <c r="L39" i="17"/>
  <c r="N39" i="17" s="1"/>
  <c r="J39" i="17"/>
  <c r="S42" i="17"/>
  <c r="S41" i="17"/>
  <c r="M37" i="17"/>
  <c r="J37" i="17"/>
  <c r="J35" i="17"/>
  <c r="J36" i="17"/>
  <c r="J38" i="17"/>
  <c r="M38" i="17"/>
  <c r="L38" i="17"/>
  <c r="N38" i="17" s="1"/>
  <c r="L37" i="17"/>
  <c r="N37" i="17" s="1"/>
  <c r="M36" i="17"/>
  <c r="L36" i="17"/>
  <c r="N36" i="17" s="1"/>
  <c r="M35" i="17"/>
  <c r="L35" i="17"/>
  <c r="N35" i="17" s="1"/>
  <c r="S38" i="17"/>
  <c r="S37" i="17"/>
  <c r="M34" i="17"/>
  <c r="L34" i="17"/>
  <c r="N34" i="17" s="1"/>
  <c r="J34" i="17"/>
  <c r="M33" i="17"/>
  <c r="L33" i="17"/>
  <c r="N33" i="17" s="1"/>
  <c r="J33" i="17"/>
  <c r="M32" i="17"/>
  <c r="L32" i="17"/>
  <c r="N32" i="17" s="1"/>
  <c r="J32" i="17"/>
  <c r="M31" i="17"/>
  <c r="L31" i="17"/>
  <c r="N31" i="17" s="1"/>
  <c r="J31" i="17"/>
  <c r="S34" i="17"/>
  <c r="S33" i="17"/>
  <c r="M30" i="17"/>
  <c r="L30" i="17"/>
  <c r="N30" i="17" s="1"/>
  <c r="J30" i="17"/>
  <c r="M29" i="17"/>
  <c r="L29" i="17"/>
  <c r="N29" i="17" s="1"/>
  <c r="J29" i="17"/>
  <c r="M28" i="17"/>
  <c r="L28" i="17"/>
  <c r="N28" i="17" s="1"/>
  <c r="J28" i="17"/>
  <c r="M27" i="17"/>
  <c r="L27" i="17"/>
  <c r="N27" i="17" s="1"/>
  <c r="J27" i="17"/>
  <c r="S30" i="17"/>
  <c r="S29" i="17"/>
  <c r="L26" i="17"/>
  <c r="M26" i="17"/>
  <c r="J26" i="17"/>
  <c r="M25" i="17"/>
  <c r="L25" i="17"/>
  <c r="N25" i="17" s="1"/>
  <c r="J25" i="17"/>
  <c r="M24" i="17"/>
  <c r="L24" i="17"/>
  <c r="N24" i="17" s="1"/>
  <c r="J24" i="17"/>
  <c r="M23" i="17"/>
  <c r="L23" i="17"/>
  <c r="J23" i="17"/>
  <c r="S26" i="17"/>
  <c r="S25" i="17"/>
  <c r="M22" i="17"/>
  <c r="L22" i="17"/>
  <c r="N22" i="17" s="1"/>
  <c r="J22" i="17"/>
  <c r="M21" i="17"/>
  <c r="L21" i="17"/>
  <c r="N21" i="17" s="1"/>
  <c r="J21" i="17"/>
  <c r="M20" i="17"/>
  <c r="L20" i="17"/>
  <c r="N20" i="17" s="1"/>
  <c r="J20" i="17"/>
  <c r="M19" i="17"/>
  <c r="L19" i="17"/>
  <c r="N19" i="17" s="1"/>
  <c r="J19" i="17"/>
  <c r="S22" i="17"/>
  <c r="S21" i="17"/>
  <c r="J18" i="17"/>
  <c r="J17" i="17"/>
  <c r="J15" i="17"/>
  <c r="J16" i="17"/>
  <c r="M18" i="17"/>
  <c r="L18" i="17"/>
  <c r="N18" i="17" s="1"/>
  <c r="M17" i="17"/>
  <c r="L17" i="17"/>
  <c r="N17" i="17" s="1"/>
  <c r="M16" i="17"/>
  <c r="L16" i="17"/>
  <c r="N16" i="17" s="1"/>
  <c r="M15" i="17"/>
  <c r="L15" i="17"/>
  <c r="N15" i="17" s="1"/>
  <c r="M14" i="17"/>
  <c r="L14" i="17"/>
  <c r="N14" i="17" s="1"/>
  <c r="J14" i="17"/>
  <c r="M13" i="17"/>
  <c r="L13" i="17"/>
  <c r="N13" i="17" s="1"/>
  <c r="J13" i="17"/>
  <c r="M12" i="17"/>
  <c r="L12" i="17"/>
  <c r="N12" i="17" s="1"/>
  <c r="J12" i="17"/>
  <c r="M11" i="17"/>
  <c r="L11" i="17"/>
  <c r="N11" i="17" s="1"/>
  <c r="J11" i="17"/>
  <c r="S18" i="17"/>
  <c r="S17" i="17"/>
  <c r="S14" i="17"/>
  <c r="S13" i="17"/>
  <c r="M9" i="17"/>
  <c r="S10" i="17"/>
  <c r="M10" i="17"/>
  <c r="L10" i="17"/>
  <c r="S9" i="17"/>
  <c r="L9" i="17"/>
  <c r="N9" i="17" s="1"/>
  <c r="N7" i="17"/>
  <c r="Q7" i="17" s="1"/>
  <c r="S61" i="17"/>
  <c r="S60" i="17"/>
  <c r="S56" i="17"/>
  <c r="S55" i="17"/>
  <c r="S52" i="17"/>
  <c r="S51" i="17"/>
  <c r="S48" i="17"/>
  <c r="S47" i="17"/>
  <c r="S44" i="17"/>
  <c r="S43" i="17"/>
  <c r="S40" i="17"/>
  <c r="S39" i="17"/>
  <c r="S36" i="17"/>
  <c r="S35" i="17"/>
  <c r="S32" i="17"/>
  <c r="S31" i="17"/>
  <c r="S28" i="17"/>
  <c r="S27" i="17"/>
  <c r="S24" i="17"/>
  <c r="S23" i="17"/>
  <c r="S20" i="17"/>
  <c r="S19" i="17"/>
  <c r="S16" i="17"/>
  <c r="S15" i="17"/>
  <c r="S12" i="17"/>
  <c r="S11" i="17"/>
  <c r="S8" i="17"/>
  <c r="M8" i="17"/>
  <c r="L8" i="17"/>
  <c r="S7" i="17"/>
  <c r="J60" i="17" l="1"/>
  <c r="V44" i="17"/>
  <c r="Q61" i="17"/>
  <c r="R61" i="17" s="1"/>
  <c r="T61" i="17" s="1"/>
  <c r="Q63" i="17"/>
  <c r="R63" i="17" s="1"/>
  <c r="T63" i="17" s="1"/>
  <c r="AO9" i="17"/>
  <c r="AQ9" i="17" s="1"/>
  <c r="AC55" i="17"/>
  <c r="AN7" i="17"/>
  <c r="Q18" i="17"/>
  <c r="R18" i="17" s="1"/>
  <c r="T18" i="17" s="1"/>
  <c r="N60" i="17"/>
  <c r="Q60" i="17" s="1"/>
  <c r="N62" i="17"/>
  <c r="Q62" i="17" s="1"/>
  <c r="R62" i="17" s="1"/>
  <c r="T62" i="17" s="1"/>
  <c r="Q27" i="17"/>
  <c r="R27" i="17" s="1"/>
  <c r="T27" i="17" s="1"/>
  <c r="N56" i="17"/>
  <c r="Q56" i="17" s="1"/>
  <c r="R56" i="17" s="1"/>
  <c r="T56" i="17" s="1"/>
  <c r="N57" i="17"/>
  <c r="Q57" i="17" s="1"/>
  <c r="R57" i="17" s="1"/>
  <c r="T57" i="17" s="1"/>
  <c r="N55" i="17"/>
  <c r="Q55" i="17" s="1"/>
  <c r="R55" i="17" s="1"/>
  <c r="T55" i="17" s="1"/>
  <c r="Q44" i="17"/>
  <c r="R44" i="17" s="1"/>
  <c r="N45" i="17"/>
  <c r="Q45" i="17" s="1"/>
  <c r="R45" i="17" s="1"/>
  <c r="T45" i="17" s="1"/>
  <c r="N46" i="17"/>
  <c r="Q46" i="17" s="1"/>
  <c r="R46" i="17" s="1"/>
  <c r="T46" i="17" s="1"/>
  <c r="N43" i="17"/>
  <c r="Q43" i="17" s="1"/>
  <c r="Q29" i="17"/>
  <c r="R29" i="17" s="1"/>
  <c r="T29" i="17" s="1"/>
  <c r="Q40" i="17"/>
  <c r="R40" i="17" s="1"/>
  <c r="T40" i="17" s="1"/>
  <c r="N26" i="17"/>
  <c r="Q26" i="17" s="1"/>
  <c r="R26" i="17" s="1"/>
  <c r="T26" i="17" s="1"/>
  <c r="Q53" i="17"/>
  <c r="R53" i="17" s="1"/>
  <c r="T53" i="17" s="1"/>
  <c r="Q51" i="17"/>
  <c r="R51" i="17" s="1"/>
  <c r="T51" i="17" s="1"/>
  <c r="N52" i="17"/>
  <c r="Q52" i="17" s="1"/>
  <c r="R52" i="17" s="1"/>
  <c r="T52" i="17" s="1"/>
  <c r="N54" i="17"/>
  <c r="Q54" i="17" s="1"/>
  <c r="R54" i="17" s="1"/>
  <c r="T54" i="17" s="1"/>
  <c r="Q38" i="17"/>
  <c r="R38" i="17" s="1"/>
  <c r="T38" i="17" s="1"/>
  <c r="Q16" i="17"/>
  <c r="R16" i="17" s="1"/>
  <c r="T16" i="17" s="1"/>
  <c r="Q30" i="17"/>
  <c r="R30" i="17" s="1"/>
  <c r="T30" i="17" s="1"/>
  <c r="Q34" i="17"/>
  <c r="R34" i="17" s="1"/>
  <c r="T34" i="17" s="1"/>
  <c r="Q39" i="17"/>
  <c r="R39" i="17" s="1"/>
  <c r="T39" i="17" s="1"/>
  <c r="Q17" i="17"/>
  <c r="R17" i="17" s="1"/>
  <c r="T17" i="17" s="1"/>
  <c r="N47" i="17"/>
  <c r="Q47" i="17" s="1"/>
  <c r="R47" i="17" s="1"/>
  <c r="T47" i="17" s="1"/>
  <c r="N49" i="17"/>
  <c r="Q49" i="17" s="1"/>
  <c r="R49" i="17" s="1"/>
  <c r="T49" i="17" s="1"/>
  <c r="N48" i="17"/>
  <c r="Q48" i="17" s="1"/>
  <c r="R48" i="17" s="1"/>
  <c r="T48" i="17" s="1"/>
  <c r="N50" i="17"/>
  <c r="Q50" i="17" s="1"/>
  <c r="R50" i="17" s="1"/>
  <c r="T50" i="17" s="1"/>
  <c r="Q15" i="17"/>
  <c r="R15" i="17" s="1"/>
  <c r="T15" i="17" s="1"/>
  <c r="Q41" i="17"/>
  <c r="R41" i="17" s="1"/>
  <c r="T41" i="17" s="1"/>
  <c r="Q20" i="17"/>
  <c r="R20" i="17" s="1"/>
  <c r="T20" i="17" s="1"/>
  <c r="Q32" i="17"/>
  <c r="R32" i="17" s="1"/>
  <c r="T32" i="17" s="1"/>
  <c r="Q9" i="17"/>
  <c r="R9" i="17" s="1"/>
  <c r="T9" i="17" s="1"/>
  <c r="Q21" i="17"/>
  <c r="R21" i="17" s="1"/>
  <c r="T21" i="17" s="1"/>
  <c r="Q33" i="17"/>
  <c r="R33" i="17" s="1"/>
  <c r="T33" i="17" s="1"/>
  <c r="Q14" i="17"/>
  <c r="R14" i="17" s="1"/>
  <c r="T14" i="17" s="1"/>
  <c r="Q31" i="17"/>
  <c r="R31" i="17" s="1"/>
  <c r="T31" i="17" s="1"/>
  <c r="D80" i="17" s="1"/>
  <c r="Q28" i="17"/>
  <c r="R28" i="17" s="1"/>
  <c r="T28" i="17" s="1"/>
  <c r="Q42" i="17"/>
  <c r="R42" i="17" s="1"/>
  <c r="T42" i="17" s="1"/>
  <c r="Q22" i="17"/>
  <c r="R22" i="17" s="1"/>
  <c r="T22" i="17" s="1"/>
  <c r="Q11" i="17"/>
  <c r="R11" i="17" s="1"/>
  <c r="T11" i="17" s="1"/>
  <c r="Q35" i="17"/>
  <c r="R35" i="17" s="1"/>
  <c r="T35" i="17" s="1"/>
  <c r="Q36" i="17"/>
  <c r="R36" i="17" s="1"/>
  <c r="T36" i="17" s="1"/>
  <c r="Q19" i="17"/>
  <c r="R19" i="17" s="1"/>
  <c r="T19" i="17" s="1"/>
  <c r="Q12" i="17"/>
  <c r="R12" i="17" s="1"/>
  <c r="T12" i="17" s="1"/>
  <c r="Q24" i="17"/>
  <c r="R24" i="17" s="1"/>
  <c r="T24" i="17" s="1"/>
  <c r="Q13" i="17"/>
  <c r="R13" i="17" s="1"/>
  <c r="T13" i="17" s="1"/>
  <c r="Q25" i="17"/>
  <c r="R25" i="17" s="1"/>
  <c r="T25" i="17" s="1"/>
  <c r="Q37" i="17"/>
  <c r="R37" i="17" s="1"/>
  <c r="T37" i="17" s="1"/>
  <c r="N23" i="17"/>
  <c r="Q23" i="17" s="1"/>
  <c r="R23" i="17" s="1"/>
  <c r="N10" i="17"/>
  <c r="N8" i="17"/>
  <c r="D84" i="17" l="1"/>
  <c r="D82" i="17"/>
  <c r="D75" i="17"/>
  <c r="D77" i="17"/>
  <c r="D85" i="17"/>
  <c r="D79" i="17"/>
  <c r="F79" i="17" s="1"/>
  <c r="D81" i="17"/>
  <c r="F81" i="17" s="1"/>
  <c r="D76" i="17"/>
  <c r="F76" i="17" s="1"/>
  <c r="R60" i="17"/>
  <c r="T60" i="17" s="1"/>
  <c r="V61" i="17" s="1"/>
  <c r="Q8" i="17"/>
  <c r="R8" i="17" s="1"/>
  <c r="T8" i="17" s="1"/>
  <c r="AA50" i="17"/>
  <c r="AC50" i="17" s="1"/>
  <c r="AO8" i="17"/>
  <c r="AQ8" i="17" s="1"/>
  <c r="AO7" i="17"/>
  <c r="AQ7" i="17" s="1"/>
  <c r="AC53" i="17"/>
  <c r="AC52" i="17"/>
  <c r="F80" i="17"/>
  <c r="F85" i="17"/>
  <c r="AC57" i="17"/>
  <c r="AC54" i="17"/>
  <c r="AC59" i="17"/>
  <c r="F84" i="17"/>
  <c r="AC56" i="17"/>
  <c r="AC51" i="17"/>
  <c r="AC60" i="17"/>
  <c r="AC58" i="17"/>
  <c r="F82" i="17"/>
  <c r="F77" i="17"/>
  <c r="F75" i="17"/>
  <c r="R43" i="17"/>
  <c r="T43" i="17" s="1"/>
  <c r="T44" i="17"/>
  <c r="R7" i="17"/>
  <c r="T7" i="17" s="1"/>
  <c r="T23" i="17"/>
  <c r="Q10" i="17"/>
  <c r="R10" i="17" s="1"/>
  <c r="T10" i="17" s="1"/>
  <c r="V62" i="17" l="1"/>
  <c r="V64" i="17" s="1"/>
  <c r="D87" i="17" s="1"/>
  <c r="F87" i="17" s="1"/>
  <c r="D83" i="17"/>
  <c r="D78" i="17"/>
  <c r="F78" i="17" s="1"/>
  <c r="D74" i="17"/>
  <c r="D86" i="17"/>
  <c r="F86" i="17" s="1"/>
  <c r="AA49" i="17"/>
  <c r="AC49" i="17" s="1"/>
  <c r="AC61" i="17"/>
  <c r="V45" i="17"/>
  <c r="V46" i="17" s="1"/>
  <c r="F83" i="17"/>
  <c r="E14" i="1"/>
  <c r="AC62" i="17" l="1"/>
  <c r="T70" i="17"/>
  <c r="C40" i="10" l="1"/>
  <c r="E40" i="10" s="1"/>
  <c r="H8" i="21"/>
  <c r="I8" i="21" s="1"/>
  <c r="J100" i="6"/>
  <c r="J99" i="6"/>
  <c r="J73" i="6"/>
  <c r="G72" i="6"/>
  <c r="J85" i="6"/>
  <c r="J84" i="6"/>
  <c r="J83" i="6"/>
  <c r="J82" i="6"/>
  <c r="J80" i="6"/>
  <c r="G81" i="6"/>
  <c r="J81" i="6" s="1"/>
  <c r="J78" i="6"/>
  <c r="J77" i="6"/>
  <c r="G69" i="6"/>
  <c r="G68" i="6"/>
  <c r="G65" i="6"/>
  <c r="I64" i="6"/>
  <c r="I65" i="6" s="1"/>
  <c r="G64" i="6"/>
  <c r="J63" i="6"/>
  <c r="J62" i="6"/>
  <c r="J61" i="6"/>
  <c r="J60" i="6"/>
  <c r="G59" i="6"/>
  <c r="J59" i="6" s="1"/>
  <c r="G58" i="6"/>
  <c r="J58" i="6" s="1"/>
  <c r="G55" i="6"/>
  <c r="J55" i="6" s="1"/>
  <c r="J54" i="6"/>
  <c r="G53" i="6"/>
  <c r="J53" i="6" s="1"/>
  <c r="G51" i="6"/>
  <c r="J48" i="6"/>
  <c r="G49" i="6"/>
  <c r="I49" i="6"/>
  <c r="I50" i="6" s="1"/>
  <c r="J50" i="6" s="1"/>
  <c r="G47" i="6"/>
  <c r="J47" i="6" s="1"/>
  <c r="J46" i="6"/>
  <c r="G43" i="6"/>
  <c r="I39" i="6"/>
  <c r="G39" i="6"/>
  <c r="G40" i="6"/>
  <c r="G36" i="6"/>
  <c r="J34" i="6"/>
  <c r="J33" i="6"/>
  <c r="I35" i="6"/>
  <c r="I36" i="6" s="1"/>
  <c r="I32" i="6"/>
  <c r="G32" i="6"/>
  <c r="J31" i="6"/>
  <c r="G27" i="6"/>
  <c r="J27" i="6" s="1"/>
  <c r="J29" i="6"/>
  <c r="J28" i="6"/>
  <c r="J30" i="6"/>
  <c r="J25" i="6"/>
  <c r="J23" i="6"/>
  <c r="J22" i="6"/>
  <c r="J21" i="6"/>
  <c r="J20" i="6"/>
  <c r="J19" i="6"/>
  <c r="J18" i="6"/>
  <c r="J17" i="6"/>
  <c r="G16" i="6"/>
  <c r="J16" i="6" s="1"/>
  <c r="J15" i="6"/>
  <c r="J14" i="6"/>
  <c r="L140" i="16"/>
  <c r="J140" i="16"/>
  <c r="K140" i="16" s="1"/>
  <c r="L146" i="16"/>
  <c r="L148" i="16"/>
  <c r="L147" i="16"/>
  <c r="J147" i="16"/>
  <c r="K147" i="16" s="1"/>
  <c r="J146" i="16"/>
  <c r="K146" i="16" s="1"/>
  <c r="J148" i="16"/>
  <c r="K148" i="16" s="1"/>
  <c r="I143" i="16"/>
  <c r="J134" i="16"/>
  <c r="K134" i="16" s="1"/>
  <c r="J133" i="16"/>
  <c r="K133" i="16" s="1"/>
  <c r="J132" i="16"/>
  <c r="L132" i="16" s="1"/>
  <c r="J131" i="16"/>
  <c r="L131" i="16" s="1"/>
  <c r="J130" i="16"/>
  <c r="K130" i="16" s="1"/>
  <c r="J129" i="16"/>
  <c r="K129" i="16" s="1"/>
  <c r="J128" i="16"/>
  <c r="L128" i="16" s="1"/>
  <c r="J127" i="16"/>
  <c r="L127" i="16" s="1"/>
  <c r="J126" i="16"/>
  <c r="K126" i="16" s="1"/>
  <c r="J135" i="16"/>
  <c r="L135" i="16" s="1"/>
  <c r="J125" i="16"/>
  <c r="L125" i="16" s="1"/>
  <c r="J124" i="16"/>
  <c r="K124" i="16" s="1"/>
  <c r="J122" i="16"/>
  <c r="L122" i="16" s="1"/>
  <c r="J121" i="16"/>
  <c r="K121" i="16" s="1"/>
  <c r="J120" i="16"/>
  <c r="L120" i="16" s="1"/>
  <c r="J119" i="16"/>
  <c r="L119" i="16" s="1"/>
  <c r="J118" i="16"/>
  <c r="L118" i="16" s="1"/>
  <c r="J117" i="16"/>
  <c r="L117" i="16" s="1"/>
  <c r="J116" i="16"/>
  <c r="L116" i="16" s="1"/>
  <c r="J115" i="16"/>
  <c r="K115" i="16" s="1"/>
  <c r="J114" i="16"/>
  <c r="K114" i="16" s="1"/>
  <c r="J113" i="16"/>
  <c r="L113" i="16" s="1"/>
  <c r="J112" i="16"/>
  <c r="L112" i="16" s="1"/>
  <c r="J111" i="16"/>
  <c r="L111" i="16" s="1"/>
  <c r="J110" i="16"/>
  <c r="L110" i="16" s="1"/>
  <c r="J109" i="16"/>
  <c r="L109" i="16" s="1"/>
  <c r="J108" i="16"/>
  <c r="K108" i="16" s="1"/>
  <c r="J107" i="16"/>
  <c r="L107" i="16" s="1"/>
  <c r="J106" i="16"/>
  <c r="L106" i="16" s="1"/>
  <c r="J105" i="16"/>
  <c r="L105" i="16" s="1"/>
  <c r="J104" i="16"/>
  <c r="L104" i="16" s="1"/>
  <c r="K103" i="16"/>
  <c r="J101" i="16"/>
  <c r="K101" i="16" s="1"/>
  <c r="J100" i="16"/>
  <c r="K100" i="16" s="1"/>
  <c r="J99" i="16"/>
  <c r="K99" i="16" s="1"/>
  <c r="J98" i="16"/>
  <c r="K98" i="16" s="1"/>
  <c r="J97" i="16"/>
  <c r="K97" i="16" s="1"/>
  <c r="J96" i="16"/>
  <c r="K96" i="16" s="1"/>
  <c r="J95" i="16"/>
  <c r="K95" i="16" s="1"/>
  <c r="J94" i="16"/>
  <c r="K94" i="16" s="1"/>
  <c r="J93" i="16"/>
  <c r="K93" i="16" s="1"/>
  <c r="J92" i="16"/>
  <c r="K92" i="16" s="1"/>
  <c r="J91" i="16"/>
  <c r="K91" i="16" s="1"/>
  <c r="J90" i="16"/>
  <c r="K90" i="16" s="1"/>
  <c r="J89" i="16"/>
  <c r="K89" i="16" s="1"/>
  <c r="J88" i="16"/>
  <c r="K88" i="16" s="1"/>
  <c r="J87" i="16"/>
  <c r="K87" i="16" s="1"/>
  <c r="J86" i="16"/>
  <c r="L86" i="16" s="1"/>
  <c r="J85" i="16"/>
  <c r="K85" i="16" s="1"/>
  <c r="J84" i="16"/>
  <c r="K84" i="16" s="1"/>
  <c r="J83" i="16"/>
  <c r="K83" i="16" s="1"/>
  <c r="J82" i="16"/>
  <c r="K82" i="16" s="1"/>
  <c r="J81" i="16"/>
  <c r="K81" i="16" s="1"/>
  <c r="J80" i="16"/>
  <c r="L80" i="16" s="1"/>
  <c r="J79" i="16"/>
  <c r="K79" i="16" s="1"/>
  <c r="J78" i="16"/>
  <c r="K78" i="16" s="1"/>
  <c r="J77" i="16"/>
  <c r="K77" i="16" s="1"/>
  <c r="J76" i="16"/>
  <c r="K76" i="16" s="1"/>
  <c r="J75" i="16"/>
  <c r="K75" i="16" s="1"/>
  <c r="J74" i="16"/>
  <c r="K74" i="16" s="1"/>
  <c r="J73" i="16"/>
  <c r="K73" i="16" s="1"/>
  <c r="J72" i="16"/>
  <c r="K72" i="16" s="1"/>
  <c r="J69" i="16"/>
  <c r="K69" i="16" s="1"/>
  <c r="J70" i="16"/>
  <c r="K70" i="16" s="1"/>
  <c r="J71" i="16"/>
  <c r="L71" i="16" s="1"/>
  <c r="C62" i="10" l="1"/>
  <c r="C79" i="10"/>
  <c r="E79" i="10" s="1"/>
  <c r="K143" i="16"/>
  <c r="C63" i="10" s="1"/>
  <c r="E63" i="10" s="1"/>
  <c r="J65" i="6"/>
  <c r="J64" i="6"/>
  <c r="I69" i="6"/>
  <c r="J35" i="6"/>
  <c r="I68" i="6"/>
  <c r="J68" i="6" s="1"/>
  <c r="I40" i="6"/>
  <c r="J40" i="6" s="1"/>
  <c r="J32" i="6"/>
  <c r="J39" i="6"/>
  <c r="J49" i="6"/>
  <c r="J36" i="6"/>
  <c r="L143" i="16"/>
  <c r="C78" i="10" s="1"/>
  <c r="K109" i="16"/>
  <c r="L134" i="16"/>
  <c r="L133" i="16"/>
  <c r="L130" i="16"/>
  <c r="L129" i="16"/>
  <c r="L126" i="16"/>
  <c r="K127" i="16"/>
  <c r="K131" i="16"/>
  <c r="K128" i="16"/>
  <c r="K132" i="16"/>
  <c r="K135" i="16"/>
  <c r="L124" i="16"/>
  <c r="K113" i="16"/>
  <c r="K119" i="16"/>
  <c r="L121" i="16"/>
  <c r="K125" i="16"/>
  <c r="K122" i="16"/>
  <c r="K120" i="16"/>
  <c r="K116" i="16"/>
  <c r="L115" i="16"/>
  <c r="L114" i="16"/>
  <c r="L108" i="16"/>
  <c r="K107" i="16"/>
  <c r="K104" i="16"/>
  <c r="K110" i="16"/>
  <c r="K105" i="16"/>
  <c r="K117" i="16"/>
  <c r="K106" i="16"/>
  <c r="K112" i="16"/>
  <c r="K118" i="16"/>
  <c r="K111" i="16"/>
  <c r="L69" i="16"/>
  <c r="L87" i="16"/>
  <c r="L92" i="16"/>
  <c r="L93" i="16"/>
  <c r="L70" i="16"/>
  <c r="L74" i="16"/>
  <c r="L78" i="16"/>
  <c r="K71" i="16"/>
  <c r="L90" i="16"/>
  <c r="L91" i="16"/>
  <c r="L94" i="16"/>
  <c r="L81" i="16"/>
  <c r="L95" i="16"/>
  <c r="L79" i="16"/>
  <c r="K80" i="16"/>
  <c r="L82" i="16"/>
  <c r="L83" i="16"/>
  <c r="L72" i="16"/>
  <c r="L84" i="16"/>
  <c r="L96" i="16"/>
  <c r="L97" i="16"/>
  <c r="L98" i="16"/>
  <c r="L99" i="16"/>
  <c r="L73" i="16"/>
  <c r="K86" i="16"/>
  <c r="L76" i="16"/>
  <c r="L88" i="16"/>
  <c r="L100" i="16"/>
  <c r="L85" i="16"/>
  <c r="L75" i="16"/>
  <c r="L77" i="16"/>
  <c r="L89" i="16"/>
  <c r="L101" i="16"/>
  <c r="C61" i="10" l="1"/>
  <c r="E61" i="10" s="1"/>
  <c r="C64" i="10"/>
  <c r="I43" i="6"/>
  <c r="I45" i="6" s="1"/>
  <c r="J69" i="6"/>
  <c r="I72" i="6"/>
  <c r="J72" i="6" s="1"/>
  <c r="J45" i="6"/>
  <c r="I51" i="6"/>
  <c r="J51" i="6" s="1"/>
  <c r="J43" i="6"/>
  <c r="C53" i="10"/>
  <c r="M42" i="15"/>
  <c r="L42" i="15"/>
  <c r="C52" i="10"/>
  <c r="I47" i="15"/>
  <c r="L47" i="15" s="1"/>
  <c r="P47" i="15" s="1"/>
  <c r="C48" i="10"/>
  <c r="C33" i="10"/>
  <c r="C32" i="10"/>
  <c r="C28" i="10"/>
  <c r="C25" i="10"/>
  <c r="E18" i="10"/>
  <c r="E13" i="10"/>
  <c r="M29" i="15"/>
  <c r="M14" i="15"/>
  <c r="N14" i="4"/>
  <c r="C19" i="10"/>
  <c r="E19" i="10" s="1"/>
  <c r="C16" i="10"/>
  <c r="E16" i="10" s="1"/>
  <c r="S40" i="4"/>
  <c r="S38" i="4"/>
  <c r="S37" i="4"/>
  <c r="S36" i="4"/>
  <c r="S35" i="4"/>
  <c r="S34" i="4"/>
  <c r="S33" i="4"/>
  <c r="S32" i="4"/>
  <c r="S31" i="4"/>
  <c r="S29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14" i="4"/>
  <c r="J29" i="4"/>
  <c r="J14" i="4"/>
  <c r="J31" i="4"/>
  <c r="G13" i="3" l="1"/>
  <c r="K61" i="16"/>
  <c r="K66" i="16"/>
  <c r="K65" i="16"/>
  <c r="U64" i="16" s="1"/>
  <c r="K64" i="16"/>
  <c r="K63" i="16"/>
  <c r="K62" i="16"/>
  <c r="U63" i="16" s="1"/>
  <c r="K58" i="16"/>
  <c r="K56" i="16"/>
  <c r="K55" i="16"/>
  <c r="K54" i="16"/>
  <c r="K52" i="16"/>
  <c r="K51" i="16"/>
  <c r="J45" i="16"/>
  <c r="I45" i="16"/>
  <c r="I46" i="16"/>
  <c r="L46" i="16" s="1"/>
  <c r="I44" i="16"/>
  <c r="L44" i="16" s="1"/>
  <c r="I43" i="16"/>
  <c r="L43" i="16" s="1"/>
  <c r="J46" i="16"/>
  <c r="J44" i="16"/>
  <c r="J43" i="16"/>
  <c r="I40" i="16"/>
  <c r="L40" i="16" s="1"/>
  <c r="I39" i="16"/>
  <c r="K39" i="16" s="1"/>
  <c r="I38" i="16"/>
  <c r="L38" i="16" s="1"/>
  <c r="I37" i="16"/>
  <c r="K37" i="16" s="1"/>
  <c r="I36" i="16"/>
  <c r="L36" i="16" s="1"/>
  <c r="I35" i="16"/>
  <c r="L35" i="16" s="1"/>
  <c r="I34" i="16"/>
  <c r="K34" i="16" s="1"/>
  <c r="I33" i="16"/>
  <c r="L33" i="16" s="1"/>
  <c r="I32" i="16"/>
  <c r="L32" i="16" s="1"/>
  <c r="I31" i="16"/>
  <c r="L31" i="16" s="1"/>
  <c r="I30" i="16"/>
  <c r="L30" i="16" s="1"/>
  <c r="I29" i="16"/>
  <c r="L29" i="16" s="1"/>
  <c r="I28" i="16"/>
  <c r="L28" i="16" s="1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J13" i="16"/>
  <c r="J25" i="16"/>
  <c r="L25" i="16"/>
  <c r="J24" i="16"/>
  <c r="L24" i="16"/>
  <c r="J23" i="16"/>
  <c r="L23" i="16"/>
  <c r="J22" i="16"/>
  <c r="L22" i="16"/>
  <c r="J21" i="16"/>
  <c r="L21" i="16"/>
  <c r="J20" i="16"/>
  <c r="L20" i="16"/>
  <c r="L19" i="16"/>
  <c r="J19" i="16"/>
  <c r="J18" i="16"/>
  <c r="L18" i="16"/>
  <c r="J17" i="16"/>
  <c r="L17" i="16"/>
  <c r="J16" i="16"/>
  <c r="L16" i="16"/>
  <c r="J15" i="16"/>
  <c r="L15" i="16"/>
  <c r="J14" i="16"/>
  <c r="L14" i="16"/>
  <c r="L32" i="15"/>
  <c r="L38" i="15"/>
  <c r="L37" i="15"/>
  <c r="L36" i="15"/>
  <c r="L35" i="15"/>
  <c r="L34" i="15"/>
  <c r="L33" i="15"/>
  <c r="P32" i="15"/>
  <c r="L31" i="15"/>
  <c r="P31" i="15" s="1"/>
  <c r="L59" i="15"/>
  <c r="C54" i="10" s="1"/>
  <c r="L53" i="15"/>
  <c r="P53" i="15" s="1"/>
  <c r="L52" i="15"/>
  <c r="P52" i="15" s="1"/>
  <c r="L51" i="15"/>
  <c r="P51" i="15" s="1"/>
  <c r="L49" i="15"/>
  <c r="P49" i="15" s="1"/>
  <c r="L46" i="15"/>
  <c r="P46" i="15" s="1"/>
  <c r="L23" i="15"/>
  <c r="K42" i="15"/>
  <c r="I42" i="15"/>
  <c r="I62" i="15"/>
  <c r="L62" i="15" s="1"/>
  <c r="J62" i="15"/>
  <c r="K62" i="15" s="1"/>
  <c r="I61" i="15"/>
  <c r="L61" i="15" s="1"/>
  <c r="P61" i="15" s="1"/>
  <c r="J61" i="15"/>
  <c r="I60" i="15"/>
  <c r="L60" i="15" s="1"/>
  <c r="P60" i="15" s="1"/>
  <c r="J60" i="15"/>
  <c r="J42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I57" i="15"/>
  <c r="L57" i="15" s="1"/>
  <c r="P57" i="15" s="1"/>
  <c r="I56" i="15"/>
  <c r="L56" i="15" s="1"/>
  <c r="P56" i="15" s="1"/>
  <c r="I55" i="15"/>
  <c r="L55" i="15" s="1"/>
  <c r="P55" i="15" s="1"/>
  <c r="I54" i="15"/>
  <c r="L54" i="15" s="1"/>
  <c r="P54" i="15" s="1"/>
  <c r="I52" i="15"/>
  <c r="I51" i="15"/>
  <c r="I50" i="15"/>
  <c r="L50" i="15" s="1"/>
  <c r="P50" i="15" s="1"/>
  <c r="I49" i="15"/>
  <c r="I48" i="15"/>
  <c r="L48" i="15" s="1"/>
  <c r="P48" i="15" s="1"/>
  <c r="K45" i="15"/>
  <c r="F10" i="1"/>
  <c r="K45" i="4"/>
  <c r="N14" i="1"/>
  <c r="E6" i="1"/>
  <c r="Y27" i="1"/>
  <c r="K43" i="15"/>
  <c r="L43" i="15"/>
  <c r="P40" i="15"/>
  <c r="N40" i="15"/>
  <c r="N38" i="15"/>
  <c r="J38" i="15"/>
  <c r="O38" i="15" s="1"/>
  <c r="P37" i="15"/>
  <c r="J37" i="15"/>
  <c r="K37" i="15" s="1"/>
  <c r="P36" i="15"/>
  <c r="J36" i="15"/>
  <c r="K36" i="15" s="1"/>
  <c r="P35" i="15"/>
  <c r="J35" i="15"/>
  <c r="R35" i="15" s="1"/>
  <c r="N34" i="15"/>
  <c r="J34" i="15"/>
  <c r="Q34" i="15" s="1"/>
  <c r="P33" i="15"/>
  <c r="J33" i="15"/>
  <c r="K33" i="15" s="1"/>
  <c r="J32" i="15"/>
  <c r="R32" i="15" s="1"/>
  <c r="R31" i="15"/>
  <c r="L29" i="15"/>
  <c r="N29" i="15" s="1"/>
  <c r="J29" i="15"/>
  <c r="Q29" i="15" s="1"/>
  <c r="O27" i="15"/>
  <c r="L27" i="15"/>
  <c r="N27" i="15" s="1"/>
  <c r="M27" i="15"/>
  <c r="Q26" i="15"/>
  <c r="O26" i="15"/>
  <c r="M26" i="15"/>
  <c r="N26" i="15"/>
  <c r="L25" i="15"/>
  <c r="P25" i="15" s="1"/>
  <c r="J25" i="15"/>
  <c r="L24" i="15"/>
  <c r="N24" i="15" s="1"/>
  <c r="J24" i="15"/>
  <c r="R23" i="15"/>
  <c r="O23" i="15"/>
  <c r="M23" i="15"/>
  <c r="N23" i="15"/>
  <c r="Q23" i="15"/>
  <c r="L22" i="15"/>
  <c r="N22" i="15" s="1"/>
  <c r="J22" i="15"/>
  <c r="O22" i="15" s="1"/>
  <c r="L21" i="15"/>
  <c r="P21" i="15" s="1"/>
  <c r="J21" i="15"/>
  <c r="M21" i="15" s="1"/>
  <c r="L20" i="15"/>
  <c r="J20" i="15"/>
  <c r="K20" i="15" s="1"/>
  <c r="L19" i="15"/>
  <c r="P19" i="15" s="1"/>
  <c r="J19" i="15"/>
  <c r="K19" i="15" s="1"/>
  <c r="L18" i="15"/>
  <c r="N18" i="15" s="1"/>
  <c r="J18" i="15"/>
  <c r="L17" i="15"/>
  <c r="N17" i="15" s="1"/>
  <c r="J17" i="15"/>
  <c r="Q17" i="15" s="1"/>
  <c r="L16" i="15"/>
  <c r="N16" i="15" s="1"/>
  <c r="J16" i="15"/>
  <c r="O16" i="15" s="1"/>
  <c r="L15" i="15"/>
  <c r="P15" i="15" s="1"/>
  <c r="J15" i="15"/>
  <c r="M15" i="15" s="1"/>
  <c r="K31" i="4"/>
  <c r="L38" i="4"/>
  <c r="P38" i="4" s="1"/>
  <c r="J38" i="4"/>
  <c r="R38" i="4" s="1"/>
  <c r="L37" i="4"/>
  <c r="P37" i="4" s="1"/>
  <c r="J37" i="4"/>
  <c r="R37" i="4" s="1"/>
  <c r="L36" i="4"/>
  <c r="P36" i="4" s="1"/>
  <c r="J36" i="4"/>
  <c r="R36" i="4" s="1"/>
  <c r="L35" i="4"/>
  <c r="P35" i="4" s="1"/>
  <c r="J35" i="4"/>
  <c r="R35" i="4" s="1"/>
  <c r="L34" i="4"/>
  <c r="P34" i="4" s="1"/>
  <c r="J34" i="4"/>
  <c r="R34" i="4" s="1"/>
  <c r="L33" i="4"/>
  <c r="P33" i="4" s="1"/>
  <c r="J33" i="4"/>
  <c r="R33" i="4" s="1"/>
  <c r="L32" i="4"/>
  <c r="P32" i="4" s="1"/>
  <c r="J32" i="4"/>
  <c r="R32" i="4" s="1"/>
  <c r="L31" i="4"/>
  <c r="N31" i="4" s="1"/>
  <c r="O31" i="4"/>
  <c r="L27" i="4"/>
  <c r="P27" i="4" s="1"/>
  <c r="L26" i="4"/>
  <c r="L23" i="4"/>
  <c r="P23" i="4" s="1"/>
  <c r="L14" i="4"/>
  <c r="P14" i="4" s="1"/>
  <c r="J23" i="4"/>
  <c r="R23" i="4" s="1"/>
  <c r="J26" i="4"/>
  <c r="J27" i="4"/>
  <c r="R27" i="4" s="1"/>
  <c r="L25" i="4"/>
  <c r="P25" i="4" s="1"/>
  <c r="J25" i="4"/>
  <c r="R25" i="4" s="1"/>
  <c r="L24" i="4"/>
  <c r="P24" i="4" s="1"/>
  <c r="J24" i="4"/>
  <c r="R24" i="4" s="1"/>
  <c r="L22" i="4"/>
  <c r="N22" i="4" s="1"/>
  <c r="J22" i="4"/>
  <c r="M22" i="4" s="1"/>
  <c r="U62" i="16" l="1"/>
  <c r="U61" i="16"/>
  <c r="W63" i="16" s="1"/>
  <c r="R40" i="15"/>
  <c r="O40" i="15"/>
  <c r="C51" i="10"/>
  <c r="P62" i="15"/>
  <c r="K61" i="15"/>
  <c r="C31" i="10"/>
  <c r="K60" i="15"/>
  <c r="O20" i="3"/>
  <c r="C29" i="10"/>
  <c r="E29" i="10" s="1"/>
  <c r="N20" i="15"/>
  <c r="C49" i="10"/>
  <c r="C50" i="10"/>
  <c r="F12" i="3"/>
  <c r="M12" i="3" s="1"/>
  <c r="C60" i="10"/>
  <c r="N25" i="3"/>
  <c r="N18" i="3" s="1"/>
  <c r="F13" i="3"/>
  <c r="K45" i="16"/>
  <c r="L45" i="16"/>
  <c r="L39" i="16"/>
  <c r="K43" i="16"/>
  <c r="K28" i="16"/>
  <c r="K38" i="16"/>
  <c r="K29" i="16"/>
  <c r="L37" i="16"/>
  <c r="K33" i="16"/>
  <c r="K44" i="16"/>
  <c r="L34" i="16"/>
  <c r="K46" i="16"/>
  <c r="K35" i="16"/>
  <c r="K30" i="16"/>
  <c r="K31" i="16"/>
  <c r="K32" i="16"/>
  <c r="K36" i="16"/>
  <c r="K40" i="16"/>
  <c r="K57" i="15"/>
  <c r="K54" i="15"/>
  <c r="K55" i="15"/>
  <c r="K51" i="15"/>
  <c r="K56" i="15"/>
  <c r="K59" i="15"/>
  <c r="C34" i="10" s="1"/>
  <c r="K46" i="15"/>
  <c r="K47" i="15"/>
  <c r="K48" i="15"/>
  <c r="K49" i="15"/>
  <c r="K50" i="15"/>
  <c r="K52" i="15"/>
  <c r="K53" i="15"/>
  <c r="Q38" i="15"/>
  <c r="R38" i="15"/>
  <c r="P17" i="15"/>
  <c r="R17" i="15"/>
  <c r="O17" i="15"/>
  <c r="R34" i="15"/>
  <c r="P23" i="15"/>
  <c r="K34" i="15"/>
  <c r="M34" i="15"/>
  <c r="O34" i="15"/>
  <c r="P38" i="15"/>
  <c r="N31" i="15"/>
  <c r="K29" i="15"/>
  <c r="M22" i="15"/>
  <c r="P34" i="15"/>
  <c r="N37" i="15"/>
  <c r="K16" i="15"/>
  <c r="Q22" i="15"/>
  <c r="O37" i="15"/>
  <c r="R22" i="15"/>
  <c r="M33" i="15"/>
  <c r="M16" i="15"/>
  <c r="P29" i="15"/>
  <c r="N33" i="15"/>
  <c r="R37" i="15"/>
  <c r="R16" i="15"/>
  <c r="R29" i="15"/>
  <c r="K38" i="15"/>
  <c r="Q16" i="15"/>
  <c r="O33" i="15"/>
  <c r="N35" i="15"/>
  <c r="O20" i="15"/>
  <c r="R33" i="15"/>
  <c r="O35" i="15"/>
  <c r="M37" i="15"/>
  <c r="Q20" i="15"/>
  <c r="M38" i="15"/>
  <c r="P27" i="15"/>
  <c r="P24" i="15"/>
  <c r="P22" i="15"/>
  <c r="L66" i="15"/>
  <c r="L11" i="15" s="1"/>
  <c r="N21" i="15"/>
  <c r="O21" i="15"/>
  <c r="K22" i="15"/>
  <c r="P16" i="15"/>
  <c r="Q14" i="15"/>
  <c r="N15" i="15"/>
  <c r="K17" i="15"/>
  <c r="P18" i="15"/>
  <c r="M17" i="15"/>
  <c r="M20" i="15"/>
  <c r="N14" i="15"/>
  <c r="J66" i="15"/>
  <c r="Q15" i="15"/>
  <c r="K18" i="15"/>
  <c r="M19" i="15"/>
  <c r="Q21" i="15"/>
  <c r="M25" i="15"/>
  <c r="Q27" i="15"/>
  <c r="M32" i="15"/>
  <c r="M36" i="15"/>
  <c r="R15" i="15"/>
  <c r="N19" i="15"/>
  <c r="P20" i="15"/>
  <c r="R21" i="15"/>
  <c r="N25" i="15"/>
  <c r="P26" i="15"/>
  <c r="R27" i="15"/>
  <c r="K31" i="15"/>
  <c r="N32" i="15"/>
  <c r="Q33" i="15"/>
  <c r="K35" i="15"/>
  <c r="N36" i="15"/>
  <c r="Q37" i="15"/>
  <c r="K40" i="15"/>
  <c r="C35" i="10" s="1"/>
  <c r="M18" i="15"/>
  <c r="O19" i="15"/>
  <c r="M24" i="15"/>
  <c r="O25" i="15"/>
  <c r="O32" i="15"/>
  <c r="O36" i="15"/>
  <c r="M40" i="15"/>
  <c r="R14" i="15"/>
  <c r="R20" i="15"/>
  <c r="R26" i="15"/>
  <c r="M31" i="15"/>
  <c r="M35" i="15"/>
  <c r="K32" i="15"/>
  <c r="O18" i="15"/>
  <c r="Q19" i="15"/>
  <c r="O24" i="15"/>
  <c r="Q25" i="15"/>
  <c r="Q32" i="15"/>
  <c r="Q36" i="15"/>
  <c r="R19" i="15"/>
  <c r="R25" i="15"/>
  <c r="R36" i="15"/>
  <c r="K15" i="15"/>
  <c r="Q18" i="15"/>
  <c r="Q24" i="15"/>
  <c r="Q40" i="15"/>
  <c r="R18" i="15"/>
  <c r="R24" i="15"/>
  <c r="Q31" i="15"/>
  <c r="Q35" i="15"/>
  <c r="K21" i="15"/>
  <c r="K38" i="4"/>
  <c r="M38" i="4"/>
  <c r="N38" i="4"/>
  <c r="O38" i="4"/>
  <c r="Q38" i="4"/>
  <c r="K37" i="4"/>
  <c r="M37" i="4"/>
  <c r="N37" i="4"/>
  <c r="O37" i="4"/>
  <c r="Q37" i="4"/>
  <c r="K36" i="4"/>
  <c r="M36" i="4"/>
  <c r="N36" i="4"/>
  <c r="O36" i="4"/>
  <c r="Q36" i="4"/>
  <c r="K35" i="4"/>
  <c r="M35" i="4"/>
  <c r="N35" i="4"/>
  <c r="O35" i="4"/>
  <c r="Q35" i="4"/>
  <c r="K34" i="4"/>
  <c r="M34" i="4"/>
  <c r="N34" i="4"/>
  <c r="O34" i="4"/>
  <c r="Q34" i="4"/>
  <c r="K33" i="4"/>
  <c r="M33" i="4"/>
  <c r="O33" i="4"/>
  <c r="Q33" i="4"/>
  <c r="N33" i="4"/>
  <c r="M32" i="4"/>
  <c r="K32" i="4"/>
  <c r="N32" i="4"/>
  <c r="O32" i="4"/>
  <c r="Q32" i="4"/>
  <c r="P31" i="4"/>
  <c r="R31" i="4"/>
  <c r="M31" i="4"/>
  <c r="Q31" i="4"/>
  <c r="R22" i="4"/>
  <c r="K27" i="4"/>
  <c r="M27" i="4"/>
  <c r="N27" i="4"/>
  <c r="O27" i="4"/>
  <c r="Q27" i="4"/>
  <c r="K25" i="4"/>
  <c r="M25" i="4"/>
  <c r="N25" i="4"/>
  <c r="O25" i="4"/>
  <c r="Q25" i="4"/>
  <c r="O24" i="4"/>
  <c r="K24" i="4"/>
  <c r="N24" i="4"/>
  <c r="M24" i="4"/>
  <c r="P22" i="4"/>
  <c r="Q24" i="4"/>
  <c r="Q22" i="4"/>
  <c r="K23" i="4"/>
  <c r="M23" i="4"/>
  <c r="N23" i="4"/>
  <c r="O23" i="4"/>
  <c r="Q23" i="4"/>
  <c r="O22" i="4"/>
  <c r="K22" i="4"/>
  <c r="W62" i="16" l="1"/>
  <c r="W64" i="16"/>
  <c r="C59" i="10"/>
  <c r="C75" i="10"/>
  <c r="Q66" i="15"/>
  <c r="Q11" i="15" s="1"/>
  <c r="M66" i="15"/>
  <c r="M11" i="15" s="1"/>
  <c r="P66" i="15"/>
  <c r="O12" i="3"/>
  <c r="O21" i="3"/>
  <c r="F51" i="4"/>
  <c r="G51" i="4" s="1"/>
  <c r="C30" i="10"/>
  <c r="K66" i="15"/>
  <c r="K11" i="15" s="1"/>
  <c r="O66" i="15"/>
  <c r="O11" i="15" s="1"/>
  <c r="C90" i="10" s="1"/>
  <c r="R66" i="15"/>
  <c r="R11" i="15" s="1"/>
  <c r="N66" i="15"/>
  <c r="N11" i="15" s="1"/>
  <c r="C20" i="10" s="1"/>
  <c r="P11" i="15"/>
  <c r="C91" i="10" s="1"/>
  <c r="L17" i="6"/>
  <c r="P17" i="6" s="1"/>
  <c r="L18" i="6"/>
  <c r="P18" i="6" s="1"/>
  <c r="L19" i="6"/>
  <c r="N19" i="6" s="1"/>
  <c r="L20" i="6"/>
  <c r="N20" i="6" s="1"/>
  <c r="O17" i="6"/>
  <c r="P40" i="4"/>
  <c r="J40" i="4"/>
  <c r="L15" i="4"/>
  <c r="P15" i="4" s="1"/>
  <c r="L16" i="4"/>
  <c r="P16" i="4" s="1"/>
  <c r="L17" i="4"/>
  <c r="N17" i="4" s="1"/>
  <c r="L18" i="4"/>
  <c r="P18" i="4" s="1"/>
  <c r="L19" i="4"/>
  <c r="P19" i="4" s="1"/>
  <c r="L20" i="4"/>
  <c r="P20" i="4" s="1"/>
  <c r="L21" i="4"/>
  <c r="P21" i="4" s="1"/>
  <c r="P26" i="4"/>
  <c r="Q26" i="4"/>
  <c r="O19" i="3" l="1"/>
  <c r="O25" i="3" s="1"/>
  <c r="O18" i="3" s="1"/>
  <c r="R26" i="4"/>
  <c r="K20" i="6"/>
  <c r="O20" i="6"/>
  <c r="K19" i="6"/>
  <c r="K18" i="6"/>
  <c r="P20" i="6"/>
  <c r="O19" i="6"/>
  <c r="N17" i="6"/>
  <c r="K17" i="6"/>
  <c r="N18" i="6"/>
  <c r="P19" i="6"/>
  <c r="O18" i="6"/>
  <c r="N40" i="4"/>
  <c r="K40" i="4"/>
  <c r="M40" i="4"/>
  <c r="O40" i="4"/>
  <c r="N18" i="4"/>
  <c r="P17" i="4"/>
  <c r="N16" i="4"/>
  <c r="N15" i="4"/>
  <c r="K26" i="4"/>
  <c r="M26" i="4"/>
  <c r="N26" i="4"/>
  <c r="O26" i="4"/>
  <c r="N21" i="4"/>
  <c r="N20" i="4"/>
  <c r="N19" i="4"/>
  <c r="M13" i="3"/>
  <c r="P114" i="6"/>
  <c r="O114" i="6"/>
  <c r="N114" i="6"/>
  <c r="M114" i="6"/>
  <c r="J114" i="6"/>
  <c r="L114" i="6"/>
  <c r="M12" i="6"/>
  <c r="O112" i="6"/>
  <c r="L112" i="6"/>
  <c r="O111" i="6"/>
  <c r="L111" i="6"/>
  <c r="K110" i="6"/>
  <c r="L110" i="6"/>
  <c r="K89" i="6"/>
  <c r="L89" i="6"/>
  <c r="L88" i="6"/>
  <c r="P88" i="6" s="1"/>
  <c r="K88" i="6"/>
  <c r="L26" i="6"/>
  <c r="P26" i="6" s="1"/>
  <c r="O26" i="6"/>
  <c r="L25" i="6"/>
  <c r="P25" i="6" s="1"/>
  <c r="O25" i="6"/>
  <c r="O24" i="6"/>
  <c r="L24" i="6"/>
  <c r="O23" i="6"/>
  <c r="L23" i="6"/>
  <c r="O22" i="6"/>
  <c r="L22" i="6"/>
  <c r="L21" i="6"/>
  <c r="N21" i="6" s="1"/>
  <c r="K21" i="6"/>
  <c r="O16" i="6"/>
  <c r="L16" i="6"/>
  <c r="O15" i="6"/>
  <c r="L15" i="6"/>
  <c r="L42" i="4"/>
  <c r="J42" i="4"/>
  <c r="K42" i="4" s="1"/>
  <c r="L29" i="4"/>
  <c r="P29" i="4" s="1"/>
  <c r="J21" i="4"/>
  <c r="J20" i="4"/>
  <c r="J19" i="4"/>
  <c r="J18" i="4"/>
  <c r="J17" i="4"/>
  <c r="J16" i="4"/>
  <c r="J15" i="4"/>
  <c r="F38" i="2"/>
  <c r="F34" i="2"/>
  <c r="F33" i="2"/>
  <c r="F32" i="2"/>
  <c r="F21" i="2"/>
  <c r="F17" i="2"/>
  <c r="O13" i="3" l="1"/>
  <c r="O15" i="3" s="1"/>
  <c r="F52" i="4"/>
  <c r="G52" i="4" s="1"/>
  <c r="G53" i="4" s="1"/>
  <c r="E20" i="10" s="1"/>
  <c r="R20" i="4"/>
  <c r="R21" i="4"/>
  <c r="R14" i="4"/>
  <c r="R15" i="4"/>
  <c r="R16" i="4"/>
  <c r="R17" i="4"/>
  <c r="R18" i="4"/>
  <c r="R19" i="4"/>
  <c r="O14" i="4"/>
  <c r="M14" i="4"/>
  <c r="Q29" i="4"/>
  <c r="N26" i="6"/>
  <c r="K114" i="6"/>
  <c r="K26" i="6"/>
  <c r="O110" i="6"/>
  <c r="O21" i="6"/>
  <c r="P21" i="6"/>
  <c r="O88" i="6"/>
  <c r="K16" i="6"/>
  <c r="O89" i="6"/>
  <c r="K14" i="4"/>
  <c r="Q15" i="4"/>
  <c r="M15" i="4"/>
  <c r="K15" i="4"/>
  <c r="O15" i="4"/>
  <c r="M16" i="4"/>
  <c r="K16" i="4"/>
  <c r="Q16" i="4"/>
  <c r="O16" i="4"/>
  <c r="Q17" i="4"/>
  <c r="O17" i="4"/>
  <c r="M17" i="4"/>
  <c r="K17" i="4"/>
  <c r="Q19" i="4"/>
  <c r="O19" i="4"/>
  <c r="M19" i="4"/>
  <c r="K19" i="4"/>
  <c r="Q21" i="4"/>
  <c r="O21" i="4"/>
  <c r="M21" i="4"/>
  <c r="K21" i="4"/>
  <c r="Q18" i="4"/>
  <c r="O18" i="4"/>
  <c r="M18" i="4"/>
  <c r="K18" i="4"/>
  <c r="Q20" i="4"/>
  <c r="O20" i="4"/>
  <c r="M20" i="4"/>
  <c r="K20" i="4"/>
  <c r="K29" i="4"/>
  <c r="L45" i="4"/>
  <c r="L11" i="4" s="1"/>
  <c r="M29" i="4"/>
  <c r="N29" i="4"/>
  <c r="N15" i="3"/>
  <c r="N11" i="3" s="1"/>
  <c r="C31" i="2"/>
  <c r="C13" i="2" s="1"/>
  <c r="F13" i="2" s="1"/>
  <c r="P23" i="6"/>
  <c r="N23" i="6"/>
  <c r="P112" i="6"/>
  <c r="N112" i="6"/>
  <c r="P24" i="6"/>
  <c r="N24" i="6"/>
  <c r="P15" i="6"/>
  <c r="L12" i="6"/>
  <c r="N15" i="6"/>
  <c r="P89" i="6"/>
  <c r="N89" i="6"/>
  <c r="N110" i="6"/>
  <c r="P110" i="6"/>
  <c r="P16" i="6"/>
  <c r="N16" i="6"/>
  <c r="N22" i="6"/>
  <c r="P22" i="6"/>
  <c r="P111" i="6"/>
  <c r="N111" i="6"/>
  <c r="K25" i="6"/>
  <c r="N88" i="6"/>
  <c r="K24" i="6"/>
  <c r="K15" i="6"/>
  <c r="K23" i="6"/>
  <c r="N25" i="6"/>
  <c r="K112" i="6"/>
  <c r="K22" i="6"/>
  <c r="K111" i="6"/>
  <c r="O29" i="4"/>
  <c r="J45" i="4"/>
  <c r="O27" i="3" l="1"/>
  <c r="P15" i="3"/>
  <c r="Q15" i="3" s="1"/>
  <c r="C14" i="10"/>
  <c r="E14" i="10" s="1"/>
  <c r="C15" i="10"/>
  <c r="F31" i="2"/>
  <c r="O12" i="6"/>
  <c r="P12" i="6"/>
  <c r="C40" i="2"/>
  <c r="C37" i="2"/>
  <c r="F37" i="2" s="1"/>
  <c r="C36" i="2"/>
  <c r="F36" i="2" s="1"/>
  <c r="C41" i="2"/>
  <c r="C35" i="2"/>
  <c r="F35" i="2" s="1"/>
  <c r="R45" i="4"/>
  <c r="P45" i="4"/>
  <c r="P11" i="4" s="1"/>
  <c r="C24" i="2" s="1"/>
  <c r="Q45" i="4"/>
  <c r="Q11" i="4" s="1"/>
  <c r="C20" i="2" s="1"/>
  <c r="F20" i="2" s="1"/>
  <c r="K11" i="4"/>
  <c r="M45" i="4"/>
  <c r="M11" i="4" s="1"/>
  <c r="C18" i="2" s="1"/>
  <c r="F18" i="2" s="1"/>
  <c r="C19" i="2"/>
  <c r="F19" i="2" s="1"/>
  <c r="K12" i="6"/>
  <c r="N12" i="6"/>
  <c r="O45" i="4"/>
  <c r="O11" i="4" s="1"/>
  <c r="C23" i="2" s="1"/>
  <c r="E15" i="10" l="1"/>
  <c r="C17" i="10"/>
  <c r="E17" i="10" s="1"/>
  <c r="C12" i="2"/>
  <c r="O11" i="3"/>
  <c r="C14" i="2" s="1"/>
  <c r="F14" i="2" s="1"/>
  <c r="C15" i="2" l="1"/>
  <c r="C16" i="2" s="1"/>
  <c r="F16" i="2" s="1"/>
  <c r="F15" i="2" l="1"/>
</calcChain>
</file>

<file path=xl/sharedStrings.xml><?xml version="1.0" encoding="utf-8"?>
<sst xmlns="http://schemas.openxmlformats.org/spreadsheetml/2006/main" count="2272" uniqueCount="598">
  <si>
    <t>DMD Level</t>
  </si>
  <si>
    <t>Design Level</t>
  </si>
  <si>
    <t>Gate Level</t>
  </si>
  <si>
    <t>OGL</t>
  </si>
  <si>
    <t>As per the survey Report</t>
  </si>
  <si>
    <t>Foundation Level</t>
  </si>
  <si>
    <t>PCC Level</t>
  </si>
  <si>
    <t>Water Tank</t>
  </si>
  <si>
    <t>Project :</t>
  </si>
  <si>
    <t>Employer :</t>
  </si>
  <si>
    <t>Engineer :</t>
  </si>
  <si>
    <t>LOCI CONSULTANT</t>
  </si>
  <si>
    <t>Contractor :</t>
  </si>
  <si>
    <t>CONSTECH CONSTRUCTION</t>
  </si>
  <si>
    <t>MAIN VILLA</t>
  </si>
  <si>
    <t>SL NO.</t>
  </si>
  <si>
    <t>DESCRIPTION</t>
  </si>
  <si>
    <t>QTY</t>
  </si>
  <si>
    <t>UNIT</t>
  </si>
  <si>
    <t>BOQ QTY</t>
  </si>
  <si>
    <t xml:space="preserve">Diff </t>
  </si>
  <si>
    <t>Site Clearance</t>
  </si>
  <si>
    <t>m2</t>
  </si>
  <si>
    <t>LESS</t>
  </si>
  <si>
    <t>Excavation - Option 1 - Mass Excavation</t>
  </si>
  <si>
    <t>m3</t>
  </si>
  <si>
    <t>ADDITION</t>
  </si>
  <si>
    <t>Back Filling</t>
  </si>
  <si>
    <t>Disposal</t>
  </si>
  <si>
    <t>Soil Compaction</t>
  </si>
  <si>
    <t>Antitermite - Horz</t>
  </si>
  <si>
    <t>Antitermite - Vert</t>
  </si>
  <si>
    <t>Polythene Sheet</t>
  </si>
  <si>
    <t>Road Base one layer 250mm thk</t>
  </si>
  <si>
    <t>SUBSTRUCTURE WATER PROOFING - HORZ</t>
  </si>
  <si>
    <t>SUBSTRUCTURE WATER PROOFING - VERT</t>
  </si>
  <si>
    <t>SI NO</t>
  </si>
  <si>
    <t>DRW NO</t>
  </si>
  <si>
    <t>REV</t>
  </si>
  <si>
    <t>LOCATION</t>
  </si>
  <si>
    <t>NO</t>
  </si>
  <si>
    <t>LENGTH</t>
  </si>
  <si>
    <t>WIDTH</t>
  </si>
  <si>
    <t>DEPTH</t>
  </si>
  <si>
    <t>AREA</t>
  </si>
  <si>
    <t>EXCAVATION</t>
  </si>
  <si>
    <t>QUERY</t>
  </si>
  <si>
    <t>ANSWER</t>
  </si>
  <si>
    <t>(m)</t>
  </si>
  <si>
    <r>
      <t>(m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Arial Narrow"/>
        <family val="2"/>
      </rPr>
      <t>)</t>
    </r>
  </si>
  <si>
    <r>
      <t>(m</t>
    </r>
    <r>
      <rPr>
        <b/>
        <sz val="10"/>
        <color theme="1"/>
        <rFont val="Calibri"/>
        <family val="2"/>
      </rPr>
      <t>³</t>
    </r>
    <r>
      <rPr>
        <b/>
        <sz val="10"/>
        <color theme="1"/>
        <rFont val="Arial Narrow"/>
        <family val="2"/>
      </rPr>
      <t>)</t>
    </r>
  </si>
  <si>
    <t>A</t>
  </si>
  <si>
    <t>R0</t>
  </si>
  <si>
    <t>MASS EXCAVATION- MAIN VILLA</t>
  </si>
  <si>
    <t>Refer Level Calculation</t>
  </si>
  <si>
    <t>TOTAL</t>
  </si>
  <si>
    <t>Main Villa</t>
  </si>
  <si>
    <t>FOOTING</t>
  </si>
  <si>
    <t>F1</t>
  </si>
  <si>
    <t>F2</t>
  </si>
  <si>
    <t>F3</t>
  </si>
  <si>
    <t>F4</t>
  </si>
  <si>
    <t>F5</t>
  </si>
  <si>
    <t>F6</t>
  </si>
  <si>
    <t>F7</t>
  </si>
  <si>
    <t>FC1</t>
  </si>
  <si>
    <t>PCC - MAIN VILLA</t>
  </si>
  <si>
    <t>CONCRETE QTY</t>
  </si>
  <si>
    <t>SHUTTERING</t>
  </si>
  <si>
    <t>ANTI TERMITE
Horz</t>
  </si>
  <si>
    <t>ANTI TERMITE
Vert</t>
  </si>
  <si>
    <t>WATER PROOFING HORZ</t>
  </si>
  <si>
    <t>WATER PROOFING VERT</t>
  </si>
  <si>
    <t>POLYTHENE SHEET</t>
  </si>
  <si>
    <t>A.</t>
  </si>
  <si>
    <t>PCC</t>
  </si>
  <si>
    <t>WATER TANK</t>
  </si>
  <si>
    <t>Shuttering</t>
  </si>
  <si>
    <t>Footing</t>
  </si>
  <si>
    <t>B.</t>
  </si>
  <si>
    <t>C10</t>
  </si>
  <si>
    <t>C12</t>
  </si>
  <si>
    <t>C11</t>
  </si>
  <si>
    <t>C</t>
  </si>
  <si>
    <t>S-105</t>
  </si>
  <si>
    <t>GB1</t>
  </si>
  <si>
    <t>GB2</t>
  </si>
  <si>
    <t>GB3</t>
  </si>
  <si>
    <t>GB4</t>
  </si>
  <si>
    <t>SB1</t>
  </si>
  <si>
    <t>MULTIPURPOSE BLOCK &amp; EXTERNAL WORKS</t>
  </si>
  <si>
    <t>1. Compund Wall</t>
  </si>
  <si>
    <t>2. Multipurpose Room</t>
  </si>
  <si>
    <t>1. Main Villa</t>
  </si>
  <si>
    <t>2. MEP/BINT</t>
  </si>
  <si>
    <t>VILLA 5SQ-A</t>
  </si>
  <si>
    <t>ISSA KHOORY VILLA</t>
  </si>
  <si>
    <t>PLOT NO:</t>
  </si>
  <si>
    <t>6150477-NADD AL SHIBA SECOND</t>
  </si>
  <si>
    <t>Points inside the Plot</t>
  </si>
  <si>
    <t>Water Table</t>
  </si>
  <si>
    <t>No Road Base</t>
  </si>
  <si>
    <t>VILLA 5SQ-A, 6150477-NADD AL SHIBA SECOND</t>
  </si>
  <si>
    <t>Foundation PCC Lvl</t>
  </si>
  <si>
    <t>Site Clearance (29M X 38M)</t>
  </si>
  <si>
    <t>50mm thk Protection Screed</t>
  </si>
  <si>
    <t>MULTI PURPOSE ROOM</t>
  </si>
  <si>
    <t>WATER Tank</t>
  </si>
  <si>
    <t>S-504</t>
  </si>
  <si>
    <t>GF TO FF</t>
  </si>
  <si>
    <t>RB1</t>
  </si>
  <si>
    <t>RB2</t>
  </si>
  <si>
    <t>RB3</t>
  </si>
  <si>
    <t>RB4</t>
  </si>
  <si>
    <t>RB5</t>
  </si>
  <si>
    <t>RB6</t>
  </si>
  <si>
    <t>RB7</t>
  </si>
  <si>
    <t>RB8</t>
  </si>
  <si>
    <t>RB9</t>
  </si>
  <si>
    <t>RB10</t>
  </si>
  <si>
    <t>RB11</t>
  </si>
  <si>
    <t>RB12</t>
  </si>
  <si>
    <t>RB13</t>
  </si>
  <si>
    <t>RB14</t>
  </si>
  <si>
    <t>RB15</t>
  </si>
  <si>
    <t>RB16</t>
  </si>
  <si>
    <t>RB17</t>
  </si>
  <si>
    <t>RB18</t>
  </si>
  <si>
    <t>RB19</t>
  </si>
  <si>
    <t>RC UPSTAND</t>
  </si>
  <si>
    <t>URB1</t>
  </si>
  <si>
    <t>URB2</t>
  </si>
  <si>
    <t>URB3</t>
  </si>
  <si>
    <t>URB4</t>
  </si>
  <si>
    <t>URB5</t>
  </si>
  <si>
    <t>URB6</t>
  </si>
  <si>
    <t>URB7</t>
  </si>
  <si>
    <t>URB8</t>
  </si>
  <si>
    <t>URB9</t>
  </si>
  <si>
    <t>Upstand</t>
  </si>
  <si>
    <t>Screed</t>
  </si>
  <si>
    <t>B</t>
  </si>
  <si>
    <t>TARUN HARISH CHNADRA KHANNA</t>
  </si>
  <si>
    <t>KHANNA VILLA, 3630160-AL MANARA DUBAI</t>
  </si>
  <si>
    <t>269-S-100</t>
  </si>
  <si>
    <t>CF1</t>
  </si>
  <si>
    <t>CF2</t>
  </si>
  <si>
    <t>FC2</t>
  </si>
  <si>
    <t>CF3 Raft 3</t>
  </si>
  <si>
    <t>Raft 1</t>
  </si>
  <si>
    <t>Raft 2</t>
  </si>
  <si>
    <t>STRAP BEAMS</t>
  </si>
  <si>
    <t>269-S-101-A</t>
  </si>
  <si>
    <t>GROUND BEAMS</t>
  </si>
  <si>
    <t>GB5</t>
  </si>
  <si>
    <t>GB6</t>
  </si>
  <si>
    <t>GB7</t>
  </si>
  <si>
    <t>Road Base</t>
  </si>
  <si>
    <t xml:space="preserve">TOTAL </t>
  </si>
  <si>
    <t>269-S-101-B</t>
  </si>
  <si>
    <t xml:space="preserve">GRADE SLAB </t>
  </si>
  <si>
    <t>Included in Raft 1</t>
  </si>
  <si>
    <t>Wall</t>
  </si>
  <si>
    <t>Ceiling</t>
  </si>
  <si>
    <t>SUBSTRUCTURE CONCRETE</t>
  </si>
  <si>
    <t>Neck Columns</t>
  </si>
  <si>
    <t>Top Slab</t>
  </si>
  <si>
    <t>height</t>
  </si>
  <si>
    <t>Bottom Slab/Raft</t>
  </si>
  <si>
    <t>Depth</t>
  </si>
  <si>
    <t>SSL</t>
  </si>
  <si>
    <t>Raft Thickness</t>
  </si>
  <si>
    <t>Protection Screed</t>
  </si>
  <si>
    <t>Blinding</t>
  </si>
  <si>
    <t>Total Depth</t>
  </si>
  <si>
    <t>As per Structural Plan</t>
  </si>
  <si>
    <t>As per Sectional Plan</t>
  </si>
  <si>
    <t>Asphalt Road</t>
  </si>
  <si>
    <t>Min</t>
  </si>
  <si>
    <t>Max</t>
  </si>
  <si>
    <t>Water Tank Footing level(-3.95)</t>
  </si>
  <si>
    <t>C1</t>
  </si>
  <si>
    <t>C4</t>
  </si>
  <si>
    <t>C5</t>
  </si>
  <si>
    <t>C4*</t>
  </si>
  <si>
    <t>C4**</t>
  </si>
  <si>
    <t>C6*</t>
  </si>
  <si>
    <t>C6</t>
  </si>
  <si>
    <t>C2</t>
  </si>
  <si>
    <t>C3</t>
  </si>
  <si>
    <t>C1*</t>
  </si>
  <si>
    <t>PCC + Blinding 50mm</t>
  </si>
  <si>
    <t>As per Setting out Plan Drg Ref, 30cm above road level</t>
  </si>
  <si>
    <t>Lift Pit Wall</t>
  </si>
  <si>
    <t>269-S-101-A / 269-S-301</t>
  </si>
  <si>
    <t>W1</t>
  </si>
  <si>
    <t>W2</t>
  </si>
  <si>
    <t>W3</t>
  </si>
  <si>
    <t>269-S-101-A / 269-S-202</t>
  </si>
  <si>
    <t>269-S-101-A / 269-S-201</t>
  </si>
  <si>
    <t>Columns (GF TO FF)</t>
  </si>
  <si>
    <t>Columns (FF TO RF)</t>
  </si>
  <si>
    <t>C7</t>
  </si>
  <si>
    <t>269-S-102-A / 269-S-201</t>
  </si>
  <si>
    <t>Columns (RF TO URF)</t>
  </si>
  <si>
    <t>C8</t>
  </si>
  <si>
    <t>C9</t>
  </si>
  <si>
    <t>269-S-103-A / 269-S-201</t>
  </si>
  <si>
    <t>Suspended Slab (FF)</t>
  </si>
  <si>
    <t>Suspended Slab 200mm thk</t>
  </si>
  <si>
    <t>Suspended Slab 180mm thk</t>
  </si>
  <si>
    <t>Suspended Slab (RF)</t>
  </si>
  <si>
    <t>Suspended Slab 250mm thk</t>
  </si>
  <si>
    <t>Suspended Slab 275mm thk</t>
  </si>
  <si>
    <t xml:space="preserve">269-S-103-A </t>
  </si>
  <si>
    <t xml:space="preserve">269-S-102-A </t>
  </si>
  <si>
    <t>269-S-104</t>
  </si>
  <si>
    <t>Suspended Slab (URF)</t>
  </si>
  <si>
    <t>Suspended Slab 220mm thk</t>
  </si>
  <si>
    <t>FULL AREA</t>
  </si>
  <si>
    <t>EXCLUDING BEAMS</t>
  </si>
  <si>
    <t>G-FB1</t>
  </si>
  <si>
    <t>G-FB3</t>
  </si>
  <si>
    <t>SUPERSTRUCTURE CONCRETE</t>
  </si>
  <si>
    <t>EARTHWORKS- MAIN VILLA</t>
  </si>
  <si>
    <t>EXCAVATION MAIN VILLA</t>
  </si>
  <si>
    <t>BACKFILL MAIN VILLA</t>
  </si>
  <si>
    <t>VOLUME OF CONCRETE (FOOTING)</t>
  </si>
  <si>
    <t>VOLUME OF NECK COLUMN</t>
  </si>
  <si>
    <t>COLUMNS</t>
  </si>
  <si>
    <t>SUSPENDED SLAB</t>
  </si>
  <si>
    <t>C.</t>
  </si>
  <si>
    <t>BEAMS</t>
  </si>
  <si>
    <t>SITEWORKS</t>
  </si>
  <si>
    <t>CONSTECH</t>
  </si>
  <si>
    <t>BOQ</t>
  </si>
  <si>
    <t>VARIANCE</t>
  </si>
  <si>
    <t>Excavation</t>
  </si>
  <si>
    <t>Backfilling</t>
  </si>
  <si>
    <t>Dewatering</t>
  </si>
  <si>
    <t>Anti-Termite Treatment Horizontal Surfaces</t>
  </si>
  <si>
    <t>Anti-Termite Treatment Vertical Surfaces</t>
  </si>
  <si>
    <t>LS</t>
  </si>
  <si>
    <t xml:space="preserve">ANTI TERMITE </t>
  </si>
  <si>
    <t>VERTICAL</t>
  </si>
  <si>
    <t xml:space="preserve">Footings </t>
  </si>
  <si>
    <t>CONCRETE WORK</t>
  </si>
  <si>
    <t>SUBSTRUCTURE</t>
  </si>
  <si>
    <t>Plain Concrete</t>
  </si>
  <si>
    <t>50mm thick blinding</t>
  </si>
  <si>
    <t>Reinforced Concrete</t>
  </si>
  <si>
    <t>Raft</t>
  </si>
  <si>
    <t>Column Neck</t>
  </si>
  <si>
    <t>Grade Beam</t>
  </si>
  <si>
    <t>Tank Wall</t>
  </si>
  <si>
    <t>Slab on grade</t>
  </si>
  <si>
    <t>Reinforcement</t>
  </si>
  <si>
    <t>To sides of raft</t>
  </si>
  <si>
    <t>To sides of footing</t>
  </si>
  <si>
    <t>To sides of column neck</t>
  </si>
  <si>
    <t>To sides of wall</t>
  </si>
  <si>
    <t>To sides of grade beam</t>
  </si>
  <si>
    <t>To sides of tank wall</t>
  </si>
  <si>
    <t>To sides of lift pit wall</t>
  </si>
  <si>
    <t>SUPERSTRUCTURE</t>
  </si>
  <si>
    <t>Column</t>
  </si>
  <si>
    <t>Suspended slab</t>
  </si>
  <si>
    <t>Beam, Capping beam &amp; Stair beam</t>
  </si>
  <si>
    <t>Shear wall</t>
  </si>
  <si>
    <t>Core wall</t>
  </si>
  <si>
    <t>To sides and soffit of beam, capping beam &amp; stair beam</t>
  </si>
  <si>
    <t>To sides of column</t>
  </si>
  <si>
    <t>To sides and soffit of suspended slab</t>
  </si>
  <si>
    <t>To sides of shear wall</t>
  </si>
  <si>
    <t>To sides of core wall</t>
  </si>
  <si>
    <t>To sides of upstand</t>
  </si>
  <si>
    <t>Lightweight Concrete</t>
  </si>
  <si>
    <t>Beams, First Floor</t>
  </si>
  <si>
    <t>G-FB2</t>
  </si>
  <si>
    <t>G-FB4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</si>
  <si>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</si>
  <si>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</si>
  <si>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</si>
  <si>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</si>
  <si>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</si>
  <si>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</si>
  <si>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</si>
  <si>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</si>
  <si>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</si>
  <si>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</si>
  <si>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</si>
  <si>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</si>
  <si>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</si>
  <si>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</si>
  <si>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</si>
  <si>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</si>
  <si>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</si>
  <si>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FB18</t>
  </si>
  <si>
    <t>FB19</t>
  </si>
  <si>
    <t>FB20</t>
  </si>
  <si>
    <t>FB21</t>
  </si>
  <si>
    <t>FB22</t>
  </si>
  <si>
    <t>FB23</t>
  </si>
  <si>
    <t>FB24</t>
  </si>
  <si>
    <t>FB25</t>
  </si>
  <si>
    <t>FB26</t>
  </si>
  <si>
    <t>FB27</t>
  </si>
  <si>
    <t>FB28</t>
  </si>
  <si>
    <t>Beams, Roof Floor</t>
  </si>
  <si>
    <t>Beams, Upper Roof Floor</t>
  </si>
  <si>
    <t>URB10</t>
  </si>
  <si>
    <t>URB11</t>
  </si>
  <si>
    <t>STAIR BEAMS</t>
  </si>
  <si>
    <t>CORE WALL</t>
  </si>
  <si>
    <t>269-S-202</t>
  </si>
  <si>
    <t>Ground Floor to Roof Floor</t>
  </si>
  <si>
    <t>SHEAR WALL</t>
  </si>
  <si>
    <t>D.</t>
  </si>
  <si>
    <t>E.</t>
  </si>
  <si>
    <t>MASONRY WORKS</t>
  </si>
  <si>
    <t>SUPERSTUCTURE COLUMN</t>
  </si>
  <si>
    <t>269-A-06-01</t>
  </si>
  <si>
    <t>Boundary Wall</t>
  </si>
  <si>
    <t>Solid Block 200mm</t>
  </si>
  <si>
    <t>Capping Beam</t>
  </si>
  <si>
    <t>GROUND FLOOR</t>
  </si>
  <si>
    <t>Solid Block 250mm</t>
  </si>
  <si>
    <t>Garage</t>
  </si>
  <si>
    <t>Door Wood Hinged</t>
  </si>
  <si>
    <t>Drivers Room</t>
  </si>
  <si>
    <t>Thermal Block 300mm</t>
  </si>
  <si>
    <t>Front</t>
  </si>
  <si>
    <t>Back</t>
  </si>
  <si>
    <t>Solid Block 100mm</t>
  </si>
  <si>
    <t>Sides</t>
  </si>
  <si>
    <t>Solid Block 250mm, EXT-GF-19</t>
  </si>
  <si>
    <t>Thermal Block 300mm, EXT-GF-20</t>
  </si>
  <si>
    <t>Thermal Block 300mm, EXT-GF-05</t>
  </si>
  <si>
    <t>Solid Block 150mm</t>
  </si>
  <si>
    <t>Solid Block 150mm, B-GD-05</t>
  </si>
  <si>
    <t>BOH Kitchen</t>
  </si>
  <si>
    <t>Thermal Block 300mm, EXT-GF-21</t>
  </si>
  <si>
    <t>Alumininum Door</t>
  </si>
  <si>
    <t>Solid Block 150mm, EXT-GF-22</t>
  </si>
  <si>
    <t>White Oak Veneer</t>
  </si>
  <si>
    <t>Stone Cladding (A-ST-02 Finish)</t>
  </si>
  <si>
    <t>HEIGHT</t>
  </si>
  <si>
    <t xml:space="preserve">Alumininum </t>
  </si>
  <si>
    <t>Thermal Block 300mm, EXT-GF-06</t>
  </si>
  <si>
    <t>Maid's Room + Laundry</t>
  </si>
  <si>
    <t>Thermal Block 300mm, EXT-GF-07</t>
  </si>
  <si>
    <t>Thermal Block 300mm, EXT-GF-08</t>
  </si>
  <si>
    <t>Solid Block 300mm</t>
  </si>
  <si>
    <t>Solid Block 250mm, B-GD-03</t>
  </si>
  <si>
    <t>Window Hinged</t>
  </si>
  <si>
    <t>Door Glass Pivot</t>
  </si>
  <si>
    <t>Solid Block 250mm, GD-10</t>
  </si>
  <si>
    <t>Solid Block 150mm, B-GD-02</t>
  </si>
  <si>
    <t>Solid Block 150mm, B-GD-01</t>
  </si>
  <si>
    <t>Maid's Bathroom</t>
  </si>
  <si>
    <t>Solid Block 150mm, B-GD-04</t>
  </si>
  <si>
    <t>Solid Block 250mm, EXT-GF-04</t>
  </si>
  <si>
    <t>Window Fixed</t>
  </si>
  <si>
    <t>Office</t>
  </si>
  <si>
    <t>Solid Block 250mm, EXT-GF-03</t>
  </si>
  <si>
    <t>Solid Block 350mm</t>
  </si>
  <si>
    <t>Sliding Door</t>
  </si>
  <si>
    <t>Staircase Side</t>
  </si>
  <si>
    <t>Beam for Steps</t>
  </si>
  <si>
    <t>Guest Room</t>
  </si>
  <si>
    <t>Solid Block 150mm, GD01</t>
  </si>
  <si>
    <t>Solid Block 150mm, GD02</t>
  </si>
  <si>
    <t>Right Wing</t>
  </si>
  <si>
    <t>Thermal Block 300mm, EXT-GF-15</t>
  </si>
  <si>
    <t>Thermal Block 300mm, EXT-GF-14</t>
  </si>
  <si>
    <t>Thermal Block 300mm, EXT-GF-13</t>
  </si>
  <si>
    <t>Thermal Block 300mm, EXT-GF-09</t>
  </si>
  <si>
    <t>Solid Block 250mm, GW-01</t>
  </si>
  <si>
    <t>Solid Block 250mm, GD-06</t>
  </si>
  <si>
    <t>Solid Block 150mm, GD-04</t>
  </si>
  <si>
    <t>Solid Block 150mm, GD-05</t>
  </si>
  <si>
    <t>FIRST FLOOR</t>
  </si>
  <si>
    <t>Externally</t>
  </si>
  <si>
    <t>269-A-06-02</t>
  </si>
  <si>
    <t>Internally</t>
  </si>
  <si>
    <t>FD-09</t>
  </si>
  <si>
    <t>FD-10</t>
  </si>
  <si>
    <t>LIFT</t>
  </si>
  <si>
    <t>FD-13</t>
  </si>
  <si>
    <t>FD-14</t>
  </si>
  <si>
    <t>FD-12</t>
  </si>
  <si>
    <t>FD-04</t>
  </si>
  <si>
    <t>FD-05</t>
  </si>
  <si>
    <t>FD-01</t>
  </si>
  <si>
    <t>FD-02</t>
  </si>
  <si>
    <t>ROOF FLOOR</t>
  </si>
  <si>
    <t>Rebars</t>
  </si>
  <si>
    <t>Mark</t>
  </si>
  <si>
    <t>Member</t>
  </si>
  <si>
    <t>Bar Name</t>
  </si>
  <si>
    <t>Bar</t>
  </si>
  <si>
    <t>Spacing</t>
  </si>
  <si>
    <t>Length</t>
  </si>
  <si>
    <t>Width</t>
  </si>
  <si>
    <t>Thk</t>
  </si>
  <si>
    <t>Qty</t>
  </si>
  <si>
    <t>Timesing</t>
  </si>
  <si>
    <t>a</t>
  </si>
  <si>
    <t>b</t>
  </si>
  <si>
    <t>c</t>
  </si>
  <si>
    <t>d</t>
  </si>
  <si>
    <t>e</t>
  </si>
  <si>
    <t>Length per Bar</t>
  </si>
  <si>
    <t>Total Length</t>
  </si>
  <si>
    <t>wt/m</t>
  </si>
  <si>
    <t>Total Weight</t>
  </si>
  <si>
    <t>F-01</t>
  </si>
  <si>
    <t>Isolated Footing</t>
  </si>
  <si>
    <t>F-02</t>
  </si>
  <si>
    <t>F-03</t>
  </si>
  <si>
    <t>F-04</t>
  </si>
  <si>
    <t>F-05</t>
  </si>
  <si>
    <t>F-06</t>
  </si>
  <si>
    <t>F-07</t>
  </si>
  <si>
    <t>WEIGHT OF REBAR PER FOOTING</t>
  </si>
  <si>
    <t>SUMMARY</t>
  </si>
  <si>
    <t>FOOTING MARK</t>
  </si>
  <si>
    <t>WEIGHT</t>
  </si>
  <si>
    <t>CF3</t>
  </si>
  <si>
    <t>At Short Span (Bottom)</t>
  </si>
  <si>
    <t>At Long Span (Bottom)</t>
  </si>
  <si>
    <t>At Short Span (Top)</t>
  </si>
  <si>
    <t>At Long Span (Top)</t>
  </si>
  <si>
    <t xml:space="preserve">Combined Footing </t>
  </si>
  <si>
    <t>Area</t>
  </si>
  <si>
    <t>KGS</t>
  </si>
  <si>
    <t>COLUMN NECK</t>
  </si>
  <si>
    <t>Vertical Bars</t>
  </si>
  <si>
    <t>Column Ties</t>
  </si>
  <si>
    <t>Neck Column</t>
  </si>
  <si>
    <t>as shown</t>
  </si>
  <si>
    <t xml:space="preserve">Height </t>
  </si>
  <si>
    <t>NECK COLUMNS</t>
  </si>
  <si>
    <t>WALL</t>
  </si>
  <si>
    <t>Main Vertical Bars</t>
  </si>
  <si>
    <t>Intermediate Vertical Bars</t>
  </si>
  <si>
    <t>Column Ties Main Bars</t>
  </si>
  <si>
    <t>C Bar Main Bars</t>
  </si>
  <si>
    <t>C Bars Intermediatte</t>
  </si>
  <si>
    <t>WALL MARK</t>
  </si>
  <si>
    <t>WEIGHT OF REBAR PER WALL</t>
  </si>
  <si>
    <t>Bottom Bars</t>
  </si>
  <si>
    <t>Top Bars</t>
  </si>
  <si>
    <t>Side Bars</t>
  </si>
  <si>
    <t>GRADE BEAMS</t>
  </si>
  <si>
    <t>GB-1</t>
  </si>
  <si>
    <t>Links</t>
  </si>
  <si>
    <t>GB-2</t>
  </si>
  <si>
    <t>GB-3</t>
  </si>
  <si>
    <t>GB-4</t>
  </si>
  <si>
    <t>GB-5</t>
  </si>
  <si>
    <t>GB-6</t>
  </si>
  <si>
    <t>GB-7</t>
  </si>
  <si>
    <t>SB-1</t>
  </si>
  <si>
    <t>Strap Beams</t>
  </si>
  <si>
    <t>GRADE BEAM</t>
  </si>
  <si>
    <t>TANK WALL</t>
  </si>
  <si>
    <t>Horizontal</t>
  </si>
  <si>
    <t>Height</t>
  </si>
  <si>
    <t>Vertical</t>
  </si>
  <si>
    <t>LIFT PIT WALL</t>
  </si>
  <si>
    <t>Link</t>
  </si>
  <si>
    <t>Link 1</t>
  </si>
  <si>
    <t>Link 2</t>
  </si>
  <si>
    <t>C- Bars</t>
  </si>
  <si>
    <t>ok</t>
  </si>
  <si>
    <t>SLAB ON GRADE</t>
  </si>
  <si>
    <t>A = 470</t>
  </si>
  <si>
    <t>At Long Side</t>
  </si>
  <si>
    <t>At Short Side</t>
  </si>
  <si>
    <t>kanan</t>
  </si>
  <si>
    <t>FF TO RF</t>
  </si>
  <si>
    <t>TERMINATED</t>
  </si>
  <si>
    <t>FF TO RF
Planted Column</t>
  </si>
  <si>
    <t>RF TO URF</t>
  </si>
  <si>
    <t>RF TO URF
Planted Column</t>
  </si>
  <si>
    <t>Circular Ties</t>
  </si>
  <si>
    <t>FIRST  FLOOR</t>
  </si>
  <si>
    <t>TOTAL WEIGHT</t>
  </si>
  <si>
    <t>At Long Side Bottom Bars</t>
  </si>
  <si>
    <t>At Short Side Bottom Bars</t>
  </si>
  <si>
    <t>At Long Side Top Bars</t>
  </si>
  <si>
    <t>At Short Side Top Bars</t>
  </si>
  <si>
    <t>SUSPENDED SLAB RF</t>
  </si>
  <si>
    <t>SUSPENDED SLAB FF</t>
  </si>
  <si>
    <t xml:space="preserve">COLUMN </t>
  </si>
  <si>
    <t>Shear Wall</t>
  </si>
  <si>
    <t>SUSPENDED BEAMS</t>
  </si>
  <si>
    <t>FF TO FF</t>
  </si>
  <si>
    <t>WATERPROOFING WORKS</t>
  </si>
  <si>
    <t>THERMAL AND MOISTURE PROTECTION</t>
  </si>
  <si>
    <t>Two layers bituminous paint waterproofing, complete; all in accordance with the drawings and specification</t>
  </si>
  <si>
    <t>Laid horizontally</t>
  </si>
  <si>
    <t>Laid vertically</t>
  </si>
  <si>
    <t>Approved membrane waterproofing, complete; all in accordance with the drawings and specification</t>
  </si>
  <si>
    <t>To Underground Water Tank</t>
  </si>
  <si>
    <t>WET AREAS</t>
  </si>
  <si>
    <t>Guest Bathroom</t>
  </si>
  <si>
    <t>Vertical @ Shower Area</t>
  </si>
  <si>
    <t>Vertical @ WC Area</t>
  </si>
  <si>
    <t>Vertical @ Sink Area</t>
  </si>
  <si>
    <t>150mm above FFL</t>
  </si>
  <si>
    <t>Maids Bathroom</t>
  </si>
  <si>
    <t>Drivers Bathroom</t>
  </si>
  <si>
    <t>Laundry Area</t>
  </si>
  <si>
    <t>Vertical @ Machine Area</t>
  </si>
  <si>
    <t>Powder Room 01</t>
  </si>
  <si>
    <t>Powder Room 02</t>
  </si>
  <si>
    <t xml:space="preserve">Bathroom 5 / Ameeras </t>
  </si>
  <si>
    <t>Bathroom 4 / Alias</t>
  </si>
  <si>
    <t>Master 1 Bathroom</t>
  </si>
  <si>
    <t>Master 2 Bathroom</t>
  </si>
  <si>
    <t>Terrace</t>
  </si>
  <si>
    <t>Roof Gravel/ Planters</t>
  </si>
  <si>
    <t>Garage Roof</t>
  </si>
  <si>
    <t>Bathroom 6</t>
  </si>
  <si>
    <t>MEP Zone</t>
  </si>
  <si>
    <t xml:space="preserve">Roof Garden </t>
  </si>
  <si>
    <t>Roof Gravel</t>
  </si>
  <si>
    <t>UPPER ROOF FLOOR</t>
  </si>
  <si>
    <t>Water stop bars, complete; all in accordance with the drawings and specification</t>
  </si>
  <si>
    <t>Protection screed, complete; all in accordance with the drawings and specification</t>
  </si>
  <si>
    <t>50mm thick protection screed</t>
  </si>
  <si>
    <t>Protection board; all in accordance with the drawings and specification</t>
  </si>
  <si>
    <t>Internally - Ref. A-GRP-01, GRP Lining</t>
  </si>
  <si>
    <t>To water tank (floor, wall &amp; ceiling)</t>
  </si>
  <si>
    <t>GRP LINING</t>
  </si>
  <si>
    <t>Floor</t>
  </si>
  <si>
    <t>Walls</t>
  </si>
  <si>
    <t>WET AREAS WATERPROOFING</t>
  </si>
  <si>
    <t>Horizontally</t>
  </si>
  <si>
    <t>To Shower Areas</t>
  </si>
  <si>
    <t>To wc areas (vertically)</t>
  </si>
  <si>
    <t>To washbasin areas (vertically)</t>
  </si>
  <si>
    <t>Vertically, 150mm above FFL</t>
  </si>
  <si>
    <t>To shower areas (vertically)</t>
  </si>
  <si>
    <t>A-WP-03, Balcony Waterproofing</t>
  </si>
  <si>
    <t>A-WP-01, To MEP Zone</t>
  </si>
  <si>
    <t>Roof Waterproofing System</t>
  </si>
  <si>
    <t>A-WP-01, To Roof</t>
  </si>
  <si>
    <t>A-WP-01, To Garage Roof</t>
  </si>
  <si>
    <t>A-RGF-01, Roof Gravel</t>
  </si>
  <si>
    <t>Balcony</t>
  </si>
  <si>
    <t>VOLUME OF LIFT PIT</t>
  </si>
  <si>
    <t>DISPOSAL</t>
  </si>
  <si>
    <t>F.</t>
  </si>
  <si>
    <t>LIGHTWEIGHT CONCRETE</t>
  </si>
  <si>
    <t xml:space="preserve">Ground Floor </t>
  </si>
  <si>
    <t>Concrete Infill Stairs Area</t>
  </si>
  <si>
    <t>KHANNA VILLA</t>
  </si>
  <si>
    <t>ALBASTAKI</t>
  </si>
  <si>
    <t>VILLA 5E</t>
  </si>
  <si>
    <t>Concrete</t>
  </si>
  <si>
    <t>Rebar</t>
  </si>
  <si>
    <t>kgs/m3</t>
  </si>
  <si>
    <t>Staircase</t>
  </si>
  <si>
    <t>Coping Beam</t>
  </si>
  <si>
    <t>Raft Footing</t>
  </si>
  <si>
    <t>VILLA 4K</t>
  </si>
  <si>
    <t xml:space="preserve">Additional Top Bar </t>
  </si>
  <si>
    <t>Additional Bottom Bar</t>
  </si>
  <si>
    <t>Additional Top Bar</t>
  </si>
  <si>
    <t>Depth Of Excavation</t>
  </si>
  <si>
    <t>height to landing only</t>
  </si>
  <si>
    <t>must be the height</t>
  </si>
  <si>
    <t>FF</t>
  </si>
  <si>
    <t>rf</t>
  </si>
  <si>
    <t>RF</t>
  </si>
  <si>
    <t>Total Area</t>
  </si>
  <si>
    <t>SUSPENDED SLAB URF</t>
  </si>
  <si>
    <t>URF</t>
  </si>
  <si>
    <t>TOTAL AREA</t>
  </si>
  <si>
    <t>KG/M2</t>
  </si>
  <si>
    <t>KHANNA VILLA UPDATED</t>
  </si>
  <si>
    <t>Roof Floor</t>
  </si>
  <si>
    <t>Formworks</t>
  </si>
  <si>
    <t>kgs</t>
  </si>
  <si>
    <t>LESS 300M3 TO RETAIN</t>
  </si>
  <si>
    <t>+30% Shrinkage factor</t>
  </si>
  <si>
    <t>Gravel Area</t>
  </si>
  <si>
    <t>Garage Roof Horizontal</t>
  </si>
  <si>
    <t>Garage Roof Vertical</t>
  </si>
  <si>
    <t>Roof Vertical</t>
  </si>
  <si>
    <t>Roof Floor Horizontal</t>
  </si>
  <si>
    <t>Roof Floor Vertical</t>
  </si>
  <si>
    <t>Balcony; Roof Garden</t>
  </si>
  <si>
    <t>BA</t>
  </si>
  <si>
    <t>Decorative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</si>
</sst>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_ ;[Red]\-#,##0.00\ "/>
    <numFmt numFmtId="165" formatCode="_(* #,##0.00_);_(* \(#,##0.00\);_(* &quot;-&quot;??_);_(@_)"/>
    <numFmt numFmtId="166" formatCode="#,##0.000"/>
    <numFmt numFmtId="167" formatCode="#&quot;mm&quot;"/>
    <numFmt numFmtId="168" formatCode="#&quot;as shown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 Narrow"/>
      <family val="2"/>
    </font>
    <font>
      <sz val="10"/>
      <color theme="1"/>
      <name val="Arial Narrow"/>
      <family val="2"/>
    </font>
    <font>
      <sz val="10"/>
      <name val="Arial"/>
      <family val="2"/>
    </font>
    <font>
      <b/>
      <u/>
      <sz val="14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Calibri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Arial Narrow"/>
      <family val="2"/>
    </font>
    <font>
      <b/>
      <sz val="12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Aptos Narrow"/>
      <family val="2"/>
    </font>
    <font>
      <b/>
      <u/>
      <sz val="20"/>
      <color theme="1"/>
      <name val="Aptos Narrow"/>
      <family val="2"/>
    </font>
    <font>
      <b/>
      <sz val="12"/>
      <color rgb="FFFF0000"/>
      <name val="Aptos Narrow"/>
      <family val="2"/>
    </font>
    <font>
      <b/>
      <sz val="11"/>
      <color theme="0"/>
      <name val="Aptos Narrow"/>
      <family val="2"/>
    </font>
    <font>
      <b/>
      <sz val="11"/>
      <color rgb="FFFFFF00"/>
      <name val="Aptos Narrow"/>
      <family val="2"/>
    </font>
    <font>
      <b/>
      <sz val="11"/>
      <color theme="1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7CEEF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auto="1"/>
      </bottom>
      <diagonal/>
    </border>
    <border>
      <left/>
      <right/>
      <top style="double">
        <color indexed="64"/>
      </top>
      <bottom style="double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0" fontId="4" fillId="2" borderId="0" applyNumberFormat="0" applyBorder="0" applyAlignment="0" applyProtection="0"/>
    <xf numFmtId="0" fontId="1" fillId="0" borderId="0"/>
    <xf numFmtId="0" fontId="7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164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64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0" fontId="5" fillId="0" borderId="0" xfId="3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2" fillId="2" borderId="9" xfId="1" applyFont="1" applyBorder="1" applyAlignment="1">
      <alignment horizontal="center" vertical="center"/>
    </xf>
    <xf numFmtId="0" fontId="2" fillId="2" borderId="10" xfId="1" applyFont="1" applyBorder="1" applyAlignment="1">
      <alignment horizontal="center" vertical="center"/>
    </xf>
    <xf numFmtId="164" fontId="2" fillId="2" borderId="10" xfId="1" applyNumberFormat="1" applyFont="1" applyBorder="1" applyAlignment="1">
      <alignment horizontal="center" vertical="center"/>
    </xf>
    <xf numFmtId="0" fontId="2" fillId="2" borderId="1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8" fillId="6" borderId="0" xfId="3" applyFont="1" applyFill="1" applyAlignment="1">
      <alignment horizontal="centerContinuous" vertical="center"/>
    </xf>
    <xf numFmtId="0" fontId="6" fillId="6" borderId="0" xfId="2" applyFont="1" applyFill="1" applyAlignment="1">
      <alignment horizontal="centerContinuous" vertical="center"/>
    </xf>
    <xf numFmtId="0" fontId="9" fillId="0" borderId="14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6" fillId="0" borderId="15" xfId="2" applyFont="1" applyBorder="1" applyAlignment="1">
      <alignment vertical="center"/>
    </xf>
    <xf numFmtId="0" fontId="9" fillId="0" borderId="16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0" fontId="6" fillId="0" borderId="16" xfId="2" applyFont="1" applyBorder="1" applyAlignment="1">
      <alignment horizontal="center" vertical="center"/>
    </xf>
    <xf numFmtId="165" fontId="6" fillId="0" borderId="16" xfId="4" applyFont="1" applyBorder="1" applyAlignment="1">
      <alignment horizontal="center" vertical="center"/>
    </xf>
    <xf numFmtId="165" fontId="9" fillId="5" borderId="16" xfId="4" applyFont="1" applyFill="1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165" fontId="6" fillId="0" borderId="16" xfId="4" applyFont="1" applyBorder="1" applyAlignment="1">
      <alignment horizontal="center" vertical="center" wrapText="1"/>
    </xf>
    <xf numFmtId="0" fontId="11" fillId="0" borderId="16" xfId="2" applyFont="1" applyBorder="1" applyAlignment="1">
      <alignment horizontal="left" vertical="center" wrapText="1"/>
    </xf>
    <xf numFmtId="0" fontId="6" fillId="0" borderId="19" xfId="2" applyFont="1" applyBorder="1" applyAlignment="1">
      <alignment vertical="center"/>
    </xf>
    <xf numFmtId="0" fontId="6" fillId="0" borderId="19" xfId="2" applyFont="1" applyBorder="1" applyAlignment="1">
      <alignment horizontal="left" vertical="center" wrapText="1"/>
    </xf>
    <xf numFmtId="165" fontId="6" fillId="0" borderId="19" xfId="4" applyFont="1" applyBorder="1" applyAlignment="1">
      <alignment horizontal="left" vertical="center" wrapText="1"/>
    </xf>
    <xf numFmtId="165" fontId="6" fillId="0" borderId="19" xfId="4" applyFont="1" applyBorder="1" applyAlignment="1">
      <alignment horizontal="center" vertical="center"/>
    </xf>
    <xf numFmtId="165" fontId="6" fillId="0" borderId="19" xfId="4" applyFont="1" applyBorder="1" applyAlignment="1">
      <alignment vertical="center"/>
    </xf>
    <xf numFmtId="0" fontId="6" fillId="0" borderId="20" xfId="2" applyFont="1" applyBorder="1" applyAlignment="1">
      <alignment vertical="center"/>
    </xf>
    <xf numFmtId="0" fontId="6" fillId="0" borderId="21" xfId="2" applyFont="1" applyBorder="1" applyAlignment="1">
      <alignment vertical="center"/>
    </xf>
    <xf numFmtId="0" fontId="12" fillId="0" borderId="21" xfId="2" applyFont="1" applyBorder="1" applyAlignment="1">
      <alignment horizontal="center" vertical="center" wrapText="1"/>
    </xf>
    <xf numFmtId="165" fontId="12" fillId="0" borderId="21" xfId="4" applyFont="1" applyBorder="1" applyAlignment="1">
      <alignment horizontal="center" vertical="center" wrapText="1"/>
    </xf>
    <xf numFmtId="165" fontId="6" fillId="0" borderId="21" xfId="4" applyFont="1" applyBorder="1" applyAlignment="1">
      <alignment horizontal="center" vertical="center"/>
    </xf>
    <xf numFmtId="165" fontId="6" fillId="0" borderId="22" xfId="4" applyFont="1" applyBorder="1" applyAlignment="1">
      <alignment horizontal="center" vertical="center"/>
    </xf>
    <xf numFmtId="165" fontId="9" fillId="0" borderId="13" xfId="4" applyFont="1" applyBorder="1" applyAlignment="1">
      <alignment horizontal="center" vertical="center"/>
    </xf>
    <xf numFmtId="165" fontId="9" fillId="7" borderId="13" xfId="4" applyFont="1" applyFill="1" applyBorder="1" applyAlignment="1">
      <alignment horizontal="center" vertical="center"/>
    </xf>
    <xf numFmtId="0" fontId="6" fillId="0" borderId="13" xfId="2" applyFont="1" applyBorder="1" applyAlignment="1">
      <alignment vertical="center"/>
    </xf>
    <xf numFmtId="0" fontId="6" fillId="0" borderId="22" xfId="2" applyFont="1" applyBorder="1" applyAlignment="1">
      <alignment vertical="center"/>
    </xf>
    <xf numFmtId="165" fontId="6" fillId="0" borderId="0" xfId="4" applyFont="1" applyAlignment="1">
      <alignment vertical="center"/>
    </xf>
    <xf numFmtId="165" fontId="6" fillId="0" borderId="0" xfId="2" applyNumberFormat="1" applyFont="1" applyAlignment="1">
      <alignment vertical="center"/>
    </xf>
    <xf numFmtId="43" fontId="6" fillId="0" borderId="0" xfId="2" applyNumberFormat="1" applyFont="1" applyAlignment="1">
      <alignment vertical="center"/>
    </xf>
    <xf numFmtId="0" fontId="6" fillId="0" borderId="19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left" vertical="center" wrapText="1"/>
    </xf>
    <xf numFmtId="0" fontId="13" fillId="0" borderId="19" xfId="2" applyFont="1" applyBorder="1" applyAlignment="1">
      <alignment horizontal="center" vertical="center"/>
    </xf>
    <xf numFmtId="0" fontId="9" fillId="9" borderId="13" xfId="2" applyFont="1" applyFill="1" applyBorder="1" applyAlignment="1">
      <alignment horizontal="center" vertical="center" wrapText="1"/>
    </xf>
    <xf numFmtId="0" fontId="9" fillId="9" borderId="13" xfId="2" applyFont="1" applyFill="1" applyBorder="1" applyAlignment="1">
      <alignment horizontal="center" vertical="center"/>
    </xf>
    <xf numFmtId="0" fontId="6" fillId="10" borderId="15" xfId="2" applyFont="1" applyFill="1" applyBorder="1" applyAlignment="1">
      <alignment vertical="center"/>
    </xf>
    <xf numFmtId="0" fontId="6" fillId="8" borderId="15" xfId="2" applyFont="1" applyFill="1" applyBorder="1" applyAlignment="1">
      <alignment vertical="center"/>
    </xf>
    <xf numFmtId="0" fontId="6" fillId="11" borderId="15" xfId="2" applyFont="1" applyFill="1" applyBorder="1" applyAlignment="1">
      <alignment vertical="center"/>
    </xf>
    <xf numFmtId="0" fontId="9" fillId="12" borderId="16" xfId="2" applyFont="1" applyFill="1" applyBorder="1" applyAlignment="1">
      <alignment horizontal="center" vertical="center"/>
    </xf>
    <xf numFmtId="165" fontId="6" fillId="12" borderId="16" xfId="4" applyFont="1" applyFill="1" applyBorder="1" applyAlignment="1">
      <alignment horizontal="center" vertical="center"/>
    </xf>
    <xf numFmtId="165" fontId="9" fillId="12" borderId="16" xfId="4" applyFont="1" applyFill="1" applyBorder="1" applyAlignment="1">
      <alignment horizontal="center" vertical="center"/>
    </xf>
    <xf numFmtId="43" fontId="6" fillId="0" borderId="16" xfId="5" applyFont="1" applyBorder="1" applyAlignment="1">
      <alignment horizontal="center" vertical="center"/>
    </xf>
    <xf numFmtId="165" fontId="9" fillId="0" borderId="16" xfId="4" applyFont="1" applyFill="1" applyBorder="1" applyAlignment="1">
      <alignment horizontal="center" vertical="center"/>
    </xf>
    <xf numFmtId="165" fontId="9" fillId="3" borderId="16" xfId="4" applyFont="1" applyFill="1" applyBorder="1" applyAlignment="1">
      <alignment horizontal="center" vertical="center"/>
    </xf>
    <xf numFmtId="165" fontId="9" fillId="13" borderId="16" xfId="4" applyFont="1" applyFill="1" applyBorder="1" applyAlignment="1">
      <alignment horizontal="center" vertical="center"/>
    </xf>
    <xf numFmtId="165" fontId="9" fillId="4" borderId="16" xfId="4" applyFont="1" applyFill="1" applyBorder="1" applyAlignment="1">
      <alignment horizontal="center" vertical="center"/>
    </xf>
    <xf numFmtId="165" fontId="9" fillId="10" borderId="16" xfId="4" applyFont="1" applyFill="1" applyBorder="1" applyAlignment="1">
      <alignment horizontal="center" vertical="center"/>
    </xf>
    <xf numFmtId="165" fontId="9" fillId="8" borderId="16" xfId="4" applyFont="1" applyFill="1" applyBorder="1" applyAlignment="1">
      <alignment horizontal="center" vertical="center"/>
    </xf>
    <xf numFmtId="165" fontId="9" fillId="11" borderId="16" xfId="4" applyFont="1" applyFill="1" applyBorder="1" applyAlignment="1">
      <alignment horizontal="center" vertical="center"/>
    </xf>
    <xf numFmtId="43" fontId="6" fillId="0" borderId="0" xfId="2" applyNumberFormat="1" applyFont="1" applyAlignment="1">
      <alignment horizontal="center" vertical="center"/>
    </xf>
    <xf numFmtId="165" fontId="9" fillId="13" borderId="19" xfId="4" applyFont="1" applyFill="1" applyBorder="1" applyAlignment="1">
      <alignment horizontal="center" vertical="center"/>
    </xf>
    <xf numFmtId="165" fontId="9" fillId="4" borderId="19" xfId="4" applyFont="1" applyFill="1" applyBorder="1" applyAlignment="1">
      <alignment horizontal="center" vertical="center"/>
    </xf>
    <xf numFmtId="165" fontId="6" fillId="10" borderId="19" xfId="4" applyFont="1" applyFill="1" applyBorder="1" applyAlignment="1">
      <alignment horizontal="center" vertical="center" wrapText="1"/>
    </xf>
    <xf numFmtId="165" fontId="6" fillId="8" borderId="19" xfId="4" applyFont="1" applyFill="1" applyBorder="1" applyAlignment="1">
      <alignment horizontal="center" vertical="center" wrapText="1"/>
    </xf>
    <xf numFmtId="165" fontId="6" fillId="11" borderId="19" xfId="4" applyFont="1" applyFill="1" applyBorder="1" applyAlignment="1">
      <alignment horizontal="center" vertical="center" wrapText="1"/>
    </xf>
    <xf numFmtId="165" fontId="9" fillId="11" borderId="19" xfId="4" applyFont="1" applyFill="1" applyBorder="1" applyAlignment="1">
      <alignment horizontal="center" vertical="center"/>
    </xf>
    <xf numFmtId="165" fontId="9" fillId="10" borderId="19" xfId="4" applyFont="1" applyFill="1" applyBorder="1" applyAlignment="1">
      <alignment horizontal="center" vertical="center"/>
    </xf>
    <xf numFmtId="165" fontId="9" fillId="8" borderId="19" xfId="4" applyFont="1" applyFill="1" applyBorder="1" applyAlignment="1">
      <alignment horizontal="center" vertical="center"/>
    </xf>
    <xf numFmtId="165" fontId="6" fillId="3" borderId="19" xfId="4" applyFont="1" applyFill="1" applyBorder="1" applyAlignment="1">
      <alignment vertical="center"/>
    </xf>
    <xf numFmtId="165" fontId="6" fillId="13" borderId="19" xfId="4" applyFont="1" applyFill="1" applyBorder="1" applyAlignment="1">
      <alignment vertical="center"/>
    </xf>
    <xf numFmtId="165" fontId="6" fillId="4" borderId="19" xfId="4" applyFont="1" applyFill="1" applyBorder="1" applyAlignment="1">
      <alignment vertical="center"/>
    </xf>
    <xf numFmtId="165" fontId="6" fillId="10" borderId="19" xfId="4" applyFont="1" applyFill="1" applyBorder="1" applyAlignment="1">
      <alignment vertical="center"/>
    </xf>
    <xf numFmtId="165" fontId="6" fillId="8" borderId="19" xfId="4" applyFont="1" applyFill="1" applyBorder="1" applyAlignment="1">
      <alignment vertical="center"/>
    </xf>
    <xf numFmtId="165" fontId="6" fillId="11" borderId="19" xfId="4" applyFont="1" applyFill="1" applyBorder="1" applyAlignment="1">
      <alignment vertical="center"/>
    </xf>
    <xf numFmtId="0" fontId="8" fillId="5" borderId="0" xfId="3" applyFont="1" applyFill="1" applyAlignment="1">
      <alignment horizontal="centerContinuous" vertical="center"/>
    </xf>
    <xf numFmtId="0" fontId="6" fillId="5" borderId="0" xfId="2" applyFont="1" applyFill="1" applyAlignment="1">
      <alignment horizontal="centerContinuous" vertical="center"/>
    </xf>
    <xf numFmtId="165" fontId="6" fillId="0" borderId="16" xfId="4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9" fillId="0" borderId="19" xfId="2" applyFont="1" applyBorder="1" applyAlignment="1">
      <alignment horizontal="left" vertical="center"/>
    </xf>
    <xf numFmtId="0" fontId="12" fillId="0" borderId="24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left" vertical="center"/>
    </xf>
    <xf numFmtId="164" fontId="0" fillId="5" borderId="13" xfId="0" applyNumberFormat="1" applyFill="1" applyBorder="1" applyAlignment="1">
      <alignment horizontal="center" vertical="center"/>
    </xf>
    <xf numFmtId="0" fontId="6" fillId="14" borderId="15" xfId="2" applyFont="1" applyFill="1" applyBorder="1" applyAlignment="1">
      <alignment vertical="center"/>
    </xf>
    <xf numFmtId="165" fontId="9" fillId="14" borderId="16" xfId="4" applyFont="1" applyFill="1" applyBorder="1" applyAlignment="1">
      <alignment horizontal="center" vertical="center"/>
    </xf>
    <xf numFmtId="165" fontId="6" fillId="14" borderId="19" xfId="4" applyFont="1" applyFill="1" applyBorder="1" applyAlignment="1">
      <alignment horizontal="center" vertical="center" wrapText="1"/>
    </xf>
    <xf numFmtId="165" fontId="9" fillId="14" borderId="19" xfId="4" applyFont="1" applyFill="1" applyBorder="1" applyAlignment="1">
      <alignment horizontal="center" vertical="center"/>
    </xf>
    <xf numFmtId="165" fontId="6" fillId="14" borderId="19" xfId="4" applyFont="1" applyFill="1" applyBorder="1" applyAlignment="1">
      <alignment vertical="center"/>
    </xf>
    <xf numFmtId="165" fontId="6" fillId="0" borderId="17" xfId="4" applyFont="1" applyBorder="1" applyAlignment="1">
      <alignment horizontal="center" vertical="center"/>
    </xf>
    <xf numFmtId="165" fontId="6" fillId="0" borderId="18" xfId="4" applyFont="1" applyBorder="1" applyAlignment="1">
      <alignment horizontal="center" vertical="center"/>
    </xf>
    <xf numFmtId="0" fontId="15" fillId="0" borderId="0" xfId="0" applyFont="1"/>
    <xf numFmtId="0" fontId="16" fillId="3" borderId="0" xfId="0" applyFont="1" applyFill="1"/>
    <xf numFmtId="0" fontId="16" fillId="4" borderId="0" xfId="0" applyFont="1" applyFill="1"/>
    <xf numFmtId="0" fontId="15" fillId="3" borderId="0" xfId="0" applyFont="1" applyFill="1"/>
    <xf numFmtId="0" fontId="15" fillId="4" borderId="0" xfId="0" applyFont="1" applyFill="1"/>
    <xf numFmtId="0" fontId="15" fillId="3" borderId="0" xfId="0" applyFont="1" applyFill="1" applyAlignment="1">
      <alignment horizontal="right"/>
    </xf>
    <xf numFmtId="166" fontId="15" fillId="3" borderId="1" xfId="0" applyNumberFormat="1" applyFont="1" applyFill="1" applyBorder="1" applyAlignment="1">
      <alignment horizontal="right" vertical="center"/>
    </xf>
    <xf numFmtId="166" fontId="15" fillId="4" borderId="1" xfId="0" applyNumberFormat="1" applyFont="1" applyFill="1" applyBorder="1" applyAlignment="1">
      <alignment horizontal="left"/>
    </xf>
    <xf numFmtId="166" fontId="15" fillId="3" borderId="2" xfId="0" applyNumberFormat="1" applyFont="1" applyFill="1" applyBorder="1" applyAlignment="1">
      <alignment horizontal="right"/>
    </xf>
    <xf numFmtId="166" fontId="15" fillId="4" borderId="0" xfId="0" applyNumberFormat="1" applyFont="1" applyFill="1"/>
    <xf numFmtId="166" fontId="15" fillId="3" borderId="3" xfId="0" applyNumberFormat="1" applyFont="1" applyFill="1" applyBorder="1" applyAlignment="1">
      <alignment horizontal="right" vertical="center"/>
    </xf>
    <xf numFmtId="166" fontId="15" fillId="4" borderId="4" xfId="0" applyNumberFormat="1" applyFont="1" applyFill="1" applyBorder="1" applyAlignment="1">
      <alignment horizontal="left"/>
    </xf>
    <xf numFmtId="0" fontId="15" fillId="0" borderId="0" xfId="0" applyFont="1" applyAlignment="1">
      <alignment horizontal="right"/>
    </xf>
    <xf numFmtId="166" fontId="15" fillId="3" borderId="3" xfId="0" applyNumberFormat="1" applyFont="1" applyFill="1" applyBorder="1" applyAlignment="1">
      <alignment horizontal="right"/>
    </xf>
    <xf numFmtId="166" fontId="15" fillId="0" borderId="0" xfId="0" applyNumberFormat="1" applyFont="1"/>
    <xf numFmtId="0" fontId="15" fillId="5" borderId="0" xfId="0" applyFont="1" applyFill="1" applyAlignment="1">
      <alignment horizontal="right"/>
    </xf>
    <xf numFmtId="166" fontId="15" fillId="3" borderId="5" xfId="0" applyNumberFormat="1" applyFont="1" applyFill="1" applyBorder="1" applyAlignment="1">
      <alignment horizontal="right"/>
    </xf>
    <xf numFmtId="0" fontId="15" fillId="5" borderId="0" xfId="0" applyFont="1" applyFill="1"/>
    <xf numFmtId="0" fontId="16" fillId="0" borderId="0" xfId="0" applyFont="1"/>
    <xf numFmtId="0" fontId="16" fillId="5" borderId="0" xfId="0" applyFont="1" applyFill="1"/>
    <xf numFmtId="43" fontId="16" fillId="5" borderId="0" xfId="6" applyFont="1" applyFill="1"/>
    <xf numFmtId="43" fontId="15" fillId="0" borderId="0" xfId="6" applyFont="1"/>
    <xf numFmtId="43" fontId="16" fillId="12" borderId="0" xfId="6" applyFont="1" applyFill="1"/>
    <xf numFmtId="0" fontId="16" fillId="12" borderId="0" xfId="0" applyFont="1" applyFill="1"/>
    <xf numFmtId="166" fontId="15" fillId="4" borderId="0" xfId="0" applyNumberFormat="1" applyFont="1" applyFill="1" applyAlignment="1">
      <alignment horizontal="left"/>
    </xf>
    <xf numFmtId="166" fontId="15" fillId="4" borderId="1" xfId="0" applyNumberFormat="1" applyFont="1" applyFill="1" applyBorder="1"/>
    <xf numFmtId="166" fontId="15" fillId="0" borderId="0" xfId="0" applyNumberFormat="1" applyFont="1" applyAlignment="1">
      <alignment horizontal="right" vertical="center"/>
    </xf>
    <xf numFmtId="166" fontId="15" fillId="0" borderId="0" xfId="0" applyNumberFormat="1" applyFont="1" applyAlignment="1">
      <alignment horizontal="left"/>
    </xf>
    <xf numFmtId="166" fontId="15" fillId="0" borderId="0" xfId="0" applyNumberFormat="1" applyFont="1" applyAlignment="1">
      <alignment horizontal="right"/>
    </xf>
    <xf numFmtId="165" fontId="9" fillId="0" borderId="19" xfId="4" applyFont="1" applyFill="1" applyBorder="1" applyAlignment="1">
      <alignment horizontal="center" vertical="center"/>
    </xf>
    <xf numFmtId="165" fontId="9" fillId="3" borderId="19" xfId="4" applyFont="1" applyFill="1" applyBorder="1" applyAlignment="1">
      <alignment horizontal="center" vertical="center"/>
    </xf>
    <xf numFmtId="0" fontId="17" fillId="5" borderId="19" xfId="2" applyFont="1" applyFill="1" applyBorder="1" applyAlignment="1">
      <alignment horizontal="center" vertical="center"/>
    </xf>
    <xf numFmtId="0" fontId="9" fillId="5" borderId="19" xfId="2" applyFont="1" applyFill="1" applyBorder="1" applyAlignment="1">
      <alignment horizontal="center" vertical="center" wrapText="1"/>
    </xf>
    <xf numFmtId="165" fontId="6" fillId="0" borderId="28" xfId="4" applyFont="1" applyBorder="1" applyAlignment="1">
      <alignment horizontal="center" vertical="center"/>
    </xf>
    <xf numFmtId="165" fontId="6" fillId="0" borderId="23" xfId="4" applyFont="1" applyBorder="1" applyAlignment="1">
      <alignment horizontal="center" vertical="center"/>
    </xf>
    <xf numFmtId="0" fontId="3" fillId="15" borderId="0" xfId="0" applyFont="1" applyFill="1"/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164" fontId="19" fillId="0" borderId="0" xfId="2" applyNumberFormat="1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0" xfId="2" applyFont="1" applyAlignment="1">
      <alignment vertical="center"/>
    </xf>
    <xf numFmtId="0" fontId="18" fillId="0" borderId="0" xfId="3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0" fillId="0" borderId="0" xfId="0" applyFont="1"/>
    <xf numFmtId="0" fontId="21" fillId="2" borderId="9" xfId="1" applyFont="1" applyBorder="1" applyAlignment="1">
      <alignment horizontal="center" vertical="center"/>
    </xf>
    <xf numFmtId="0" fontId="21" fillId="2" borderId="10" xfId="1" applyFont="1" applyBorder="1" applyAlignment="1">
      <alignment horizontal="center" vertical="center"/>
    </xf>
    <xf numFmtId="164" fontId="21" fillId="2" borderId="10" xfId="1" applyNumberFormat="1" applyFont="1" applyBorder="1" applyAlignment="1">
      <alignment horizontal="center" vertical="center"/>
    </xf>
    <xf numFmtId="164" fontId="21" fillId="2" borderId="26" xfId="1" applyNumberFormat="1" applyFont="1" applyBorder="1" applyAlignment="1">
      <alignment horizontal="center" vertical="center"/>
    </xf>
    <xf numFmtId="0" fontId="21" fillId="2" borderId="11" xfId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 vertical="center"/>
    </xf>
    <xf numFmtId="0" fontId="20" fillId="15" borderId="12" xfId="0" applyFont="1" applyFill="1" applyBorder="1" applyAlignment="1">
      <alignment horizontal="center" vertical="center"/>
    </xf>
    <xf numFmtId="164" fontId="20" fillId="15" borderId="12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164" fontId="20" fillId="3" borderId="13" xfId="0" applyNumberFormat="1" applyFont="1" applyFill="1" applyBorder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 indent="1"/>
    </xf>
    <xf numFmtId="14" fontId="6" fillId="0" borderId="0" xfId="2" applyNumberFormat="1" applyFont="1" applyAlignment="1">
      <alignment horizontal="center" vertical="center"/>
    </xf>
    <xf numFmtId="165" fontId="6" fillId="5" borderId="19" xfId="4" applyFont="1" applyFill="1" applyBorder="1" applyAlignment="1">
      <alignment horizontal="center" vertical="center"/>
    </xf>
    <xf numFmtId="0" fontId="6" fillId="0" borderId="0" xfId="2" applyFont="1" applyAlignment="1">
      <alignment horizontal="right" vertical="center" indent="2"/>
    </xf>
    <xf numFmtId="0" fontId="9" fillId="0" borderId="0" xfId="2" applyFont="1" applyAlignment="1">
      <alignment horizontal="right" vertical="center" indent="2"/>
    </xf>
    <xf numFmtId="0" fontId="12" fillId="0" borderId="0" xfId="2" applyFont="1" applyAlignment="1">
      <alignment horizontal="right" vertical="center" wrapText="1" indent="2"/>
    </xf>
    <xf numFmtId="0" fontId="0" fillId="0" borderId="0" xfId="0" applyAlignment="1">
      <alignment horizontal="right" indent="2"/>
    </xf>
    <xf numFmtId="0" fontId="23" fillId="0" borderId="0" xfId="0" applyFont="1"/>
    <xf numFmtId="165" fontId="23" fillId="0" borderId="0" xfId="4" applyFont="1"/>
    <xf numFmtId="0" fontId="25" fillId="5" borderId="29" xfId="0" applyFont="1" applyFill="1" applyBorder="1" applyAlignment="1">
      <alignment horizontal="center"/>
    </xf>
    <xf numFmtId="0" fontId="25" fillId="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6" fillId="16" borderId="0" xfId="0" applyFont="1" applyFill="1" applyAlignment="1">
      <alignment horizontal="center"/>
    </xf>
    <xf numFmtId="165" fontId="26" fillId="16" borderId="0" xfId="4" applyFont="1" applyFill="1" applyAlignment="1">
      <alignment horizontal="center"/>
    </xf>
    <xf numFmtId="165" fontId="26" fillId="16" borderId="0" xfId="4" applyFont="1" applyFill="1"/>
    <xf numFmtId="0" fontId="26" fillId="16" borderId="0" xfId="0" applyFont="1" applyFill="1"/>
    <xf numFmtId="0" fontId="23" fillId="17" borderId="0" xfId="0" applyFont="1" applyFill="1"/>
    <xf numFmtId="167" fontId="23" fillId="17" borderId="0" xfId="0" applyNumberFormat="1" applyFont="1" applyFill="1"/>
    <xf numFmtId="167" fontId="23" fillId="17" borderId="0" xfId="0" applyNumberFormat="1" applyFont="1" applyFill="1" applyAlignment="1">
      <alignment horizontal="center"/>
    </xf>
    <xf numFmtId="165" fontId="23" fillId="17" borderId="0" xfId="4" applyFont="1" applyFill="1"/>
    <xf numFmtId="0" fontId="23" fillId="13" borderId="0" xfId="0" applyFont="1" applyFill="1"/>
    <xf numFmtId="167" fontId="23" fillId="13" borderId="0" xfId="0" applyNumberFormat="1" applyFont="1" applyFill="1"/>
    <xf numFmtId="167" fontId="23" fillId="13" borderId="0" xfId="0" applyNumberFormat="1" applyFont="1" applyFill="1" applyAlignment="1">
      <alignment horizontal="center"/>
    </xf>
    <xf numFmtId="165" fontId="23" fillId="13" borderId="0" xfId="4" applyFont="1" applyFill="1"/>
    <xf numFmtId="0" fontId="27" fillId="16" borderId="0" xfId="0" applyFont="1" applyFill="1"/>
    <xf numFmtId="165" fontId="27" fillId="16" borderId="0" xfId="0" applyNumberFormat="1" applyFont="1" applyFill="1"/>
    <xf numFmtId="0" fontId="28" fillId="18" borderId="0" xfId="0" applyFont="1" applyFill="1" applyAlignment="1">
      <alignment horizontal="center"/>
    </xf>
    <xf numFmtId="165" fontId="23" fillId="8" borderId="0" xfId="0" applyNumberFormat="1" applyFont="1" applyFill="1"/>
    <xf numFmtId="0" fontId="23" fillId="0" borderId="0" xfId="0" applyFont="1" applyAlignment="1">
      <alignment wrapText="1"/>
    </xf>
    <xf numFmtId="0" fontId="25" fillId="5" borderId="0" xfId="0" applyFont="1" applyFill="1" applyAlignment="1">
      <alignment horizontal="center" wrapText="1"/>
    </xf>
    <xf numFmtId="0" fontId="26" fillId="16" borderId="0" xfId="0" applyFont="1" applyFill="1" applyAlignment="1">
      <alignment horizontal="center" wrapText="1"/>
    </xf>
    <xf numFmtId="0" fontId="27" fillId="16" borderId="0" xfId="0" applyFont="1" applyFill="1" applyAlignment="1">
      <alignment wrapText="1"/>
    </xf>
    <xf numFmtId="0" fontId="28" fillId="18" borderId="0" xfId="0" applyFont="1" applyFill="1" applyAlignment="1">
      <alignment horizontal="center" wrapText="1"/>
    </xf>
    <xf numFmtId="0" fontId="23" fillId="8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23" fillId="17" borderId="0" xfId="0" applyFont="1" applyFill="1" applyAlignment="1">
      <alignment vertical="center" wrapText="1"/>
    </xf>
    <xf numFmtId="43" fontId="0" fillId="0" borderId="0" xfId="0" applyNumberFormat="1"/>
    <xf numFmtId="43" fontId="0" fillId="5" borderId="0" xfId="0" applyNumberFormat="1" applyFill="1"/>
    <xf numFmtId="0" fontId="0" fillId="5" borderId="0" xfId="0" applyFill="1"/>
    <xf numFmtId="0" fontId="23" fillId="5" borderId="0" xfId="0" applyFont="1" applyFill="1"/>
    <xf numFmtId="0" fontId="23" fillId="12" borderId="0" xfId="0" applyFont="1" applyFill="1"/>
    <xf numFmtId="0" fontId="28" fillId="5" borderId="0" xfId="0" applyFont="1" applyFill="1" applyAlignment="1">
      <alignment wrapText="1"/>
    </xf>
    <xf numFmtId="0" fontId="28" fillId="12" borderId="0" xfId="0" applyFont="1" applyFill="1" applyAlignment="1">
      <alignment wrapText="1"/>
    </xf>
    <xf numFmtId="165" fontId="23" fillId="5" borderId="0" xfId="0" applyNumberFormat="1" applyFont="1" applyFill="1"/>
    <xf numFmtId="165" fontId="23" fillId="12" borderId="0" xfId="0" applyNumberFormat="1" applyFont="1" applyFill="1"/>
    <xf numFmtId="0" fontId="23" fillId="19" borderId="0" xfId="0" applyFont="1" applyFill="1" applyAlignment="1">
      <alignment vertical="center" wrapText="1"/>
    </xf>
    <xf numFmtId="0" fontId="23" fillId="19" borderId="0" xfId="0" applyFont="1" applyFill="1"/>
    <xf numFmtId="167" fontId="23" fillId="19" borderId="0" xfId="0" applyNumberFormat="1" applyFont="1" applyFill="1"/>
    <xf numFmtId="167" fontId="23" fillId="19" borderId="0" xfId="0" applyNumberFormat="1" applyFont="1" applyFill="1" applyAlignment="1">
      <alignment horizontal="center"/>
    </xf>
    <xf numFmtId="165" fontId="23" fillId="19" borderId="0" xfId="4" applyFont="1" applyFill="1"/>
    <xf numFmtId="0" fontId="28" fillId="0" borderId="0" xfId="0" applyFont="1"/>
    <xf numFmtId="168" fontId="23" fillId="17" borderId="0" xfId="0" applyNumberFormat="1" applyFont="1" applyFill="1" applyAlignment="1">
      <alignment horizontal="center"/>
    </xf>
    <xf numFmtId="168" fontId="23" fillId="19" borderId="0" xfId="0" applyNumberFormat="1" applyFont="1" applyFill="1" applyAlignment="1">
      <alignment horizontal="center"/>
    </xf>
    <xf numFmtId="167" fontId="23" fillId="17" borderId="0" xfId="0" applyNumberFormat="1" applyFont="1" applyFill="1" applyAlignment="1">
      <alignment vertical="center"/>
    </xf>
    <xf numFmtId="0" fontId="0" fillId="6" borderId="0" xfId="0" applyFill="1" applyAlignment="1">
      <alignment wrapText="1"/>
    </xf>
    <xf numFmtId="0" fontId="0" fillId="6" borderId="0" xfId="0" applyFill="1"/>
    <xf numFmtId="165" fontId="28" fillId="5" borderId="0" xfId="0" applyNumberFormat="1" applyFont="1" applyFill="1"/>
    <xf numFmtId="43" fontId="0" fillId="6" borderId="0" xfId="0" applyNumberFormat="1" applyFill="1"/>
    <xf numFmtId="0" fontId="20" fillId="0" borderId="13" xfId="0" applyFont="1" applyBorder="1" applyAlignment="1">
      <alignment horizontal="left" vertical="center" wrapText="1" indent="1"/>
    </xf>
    <xf numFmtId="0" fontId="22" fillId="0" borderId="13" xfId="0" applyFont="1" applyBorder="1" applyAlignment="1">
      <alignment horizontal="left" vertical="center" wrapText="1" indent="1"/>
    </xf>
    <xf numFmtId="0" fontId="22" fillId="0" borderId="13" xfId="0" applyFont="1" applyBorder="1" applyAlignment="1">
      <alignment horizontal="left" vertical="center" indent="1"/>
    </xf>
    <xf numFmtId="0" fontId="9" fillId="5" borderId="16" xfId="2" applyFont="1" applyFill="1" applyBorder="1" applyAlignment="1">
      <alignment horizontal="left" vertical="center"/>
    </xf>
    <xf numFmtId="0" fontId="22" fillId="5" borderId="13" xfId="0" applyFont="1" applyFill="1" applyBorder="1" applyAlignment="1">
      <alignment horizontal="left" vertical="center" indent="1"/>
    </xf>
    <xf numFmtId="0" fontId="6" fillId="5" borderId="0" xfId="2" applyFont="1" applyFill="1" applyAlignment="1">
      <alignment vertical="center"/>
    </xf>
    <xf numFmtId="165" fontId="6" fillId="5" borderId="0" xfId="4" applyFont="1" applyFill="1" applyAlignment="1">
      <alignment vertical="center"/>
    </xf>
    <xf numFmtId="165" fontId="6" fillId="5" borderId="0" xfId="2" applyNumberFormat="1" applyFont="1" applyFill="1" applyAlignment="1">
      <alignment vertical="center"/>
    </xf>
    <xf numFmtId="0" fontId="9" fillId="5" borderId="0" xfId="2" applyFont="1" applyFill="1" applyAlignment="1">
      <alignment vertical="center"/>
    </xf>
    <xf numFmtId="43" fontId="9" fillId="7" borderId="0" xfId="2" applyNumberFormat="1" applyFont="1" applyFill="1" applyAlignment="1">
      <alignment vertical="center"/>
    </xf>
    <xf numFmtId="0" fontId="0" fillId="0" borderId="0" xfId="0" applyAlignment="1">
      <alignment horizontal="center"/>
    </xf>
    <xf numFmtId="43" fontId="0" fillId="0" borderId="0" xfId="6" applyFont="1"/>
    <xf numFmtId="43" fontId="0" fillId="5" borderId="0" xfId="6" applyFont="1" applyFill="1"/>
    <xf numFmtId="43" fontId="0" fillId="0" borderId="0" xfId="6" applyFont="1" applyAlignment="1">
      <alignment horizontal="center"/>
    </xf>
    <xf numFmtId="43" fontId="0" fillId="20" borderId="0" xfId="6" applyFont="1" applyFill="1"/>
    <xf numFmtId="0" fontId="23" fillId="17" borderId="0" xfId="0" applyFont="1" applyFill="1" applyAlignment="1">
      <alignment horizontal="center" vertical="center" wrapText="1"/>
    </xf>
    <xf numFmtId="0" fontId="23" fillId="19" borderId="0" xfId="0" applyFont="1" applyFill="1" applyAlignment="1">
      <alignment horizontal="center" vertical="center" wrapText="1"/>
    </xf>
    <xf numFmtId="165" fontId="0" fillId="5" borderId="0" xfId="0" applyNumberFormat="1" applyFill="1"/>
    <xf numFmtId="43" fontId="23" fillId="0" borderId="0" xfId="6" applyFont="1"/>
    <xf numFmtId="43" fontId="23" fillId="0" borderId="0" xfId="6" applyFont="1" applyFill="1"/>
    <xf numFmtId="43" fontId="23" fillId="0" borderId="0" xfId="0" applyNumberFormat="1" applyFont="1"/>
    <xf numFmtId="165" fontId="23" fillId="20" borderId="0" xfId="4" applyFont="1" applyFill="1"/>
    <xf numFmtId="43" fontId="3" fillId="4" borderId="0" xfId="0" applyNumberFormat="1" applyFont="1" applyFill="1"/>
    <xf numFmtId="43" fontId="0" fillId="4" borderId="0" xfId="6" applyFont="1" applyFill="1"/>
    <xf numFmtId="43" fontId="0" fillId="0" borderId="0" xfId="6" applyFont="1" applyFill="1"/>
    <xf numFmtId="9" fontId="15" fillId="0" borderId="0" xfId="0" applyNumberFormat="1" applyFont="1"/>
    <xf numFmtId="165" fontId="9" fillId="17" borderId="13" xfId="4" applyFont="1" applyFill="1" applyBorder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9" fontId="6" fillId="0" borderId="0" xfId="7" applyFont="1" applyAlignment="1">
      <alignment horizontal="center" vertical="center"/>
    </xf>
    <xf numFmtId="0" fontId="21" fillId="2" borderId="6" xfId="1" applyFont="1" applyBorder="1" applyAlignment="1">
      <alignment horizontal="center" vertical="center"/>
    </xf>
    <xf numFmtId="0" fontId="21" fillId="2" borderId="7" xfId="1" applyFont="1" applyBorder="1" applyAlignment="1">
      <alignment horizontal="center" vertical="center"/>
    </xf>
    <xf numFmtId="0" fontId="21" fillId="2" borderId="8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" fillId="2" borderId="6" xfId="1" applyFont="1" applyBorder="1" applyAlignment="1">
      <alignment horizontal="center" vertical="center"/>
    </xf>
    <xf numFmtId="0" fontId="2" fillId="2" borderId="7" xfId="1" applyFont="1" applyBorder="1" applyAlignment="1">
      <alignment horizontal="center" vertical="center"/>
    </xf>
    <xf numFmtId="0" fontId="2" fillId="2" borderId="8" xfId="1" applyFont="1" applyBorder="1" applyAlignment="1">
      <alignment horizontal="center" vertical="center"/>
    </xf>
    <xf numFmtId="0" fontId="9" fillId="0" borderId="14" xfId="2" quotePrefix="1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165" fontId="6" fillId="0" borderId="17" xfId="4" applyFont="1" applyBorder="1" applyAlignment="1">
      <alignment horizontal="center" vertical="center"/>
    </xf>
    <xf numFmtId="165" fontId="6" fillId="0" borderId="23" xfId="4" applyFont="1" applyBorder="1" applyAlignment="1">
      <alignment horizontal="center" vertical="center"/>
    </xf>
    <xf numFmtId="165" fontId="6" fillId="0" borderId="18" xfId="4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 wrapText="1"/>
    </xf>
    <xf numFmtId="0" fontId="9" fillId="12" borderId="17" xfId="2" applyFont="1" applyFill="1" applyBorder="1" applyAlignment="1">
      <alignment horizontal="left" vertical="center"/>
    </xf>
    <xf numFmtId="0" fontId="9" fillId="12" borderId="23" xfId="2" applyFont="1" applyFill="1" applyBorder="1" applyAlignment="1">
      <alignment horizontal="left" vertical="center"/>
    </xf>
    <xf numFmtId="0" fontId="9" fillId="12" borderId="18" xfId="2" applyFont="1" applyFill="1" applyBorder="1" applyAlignment="1">
      <alignment horizontal="left" vertical="center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23" fillId="17" borderId="0" xfId="0" applyFont="1" applyFill="1" applyAlignment="1">
      <alignment horizontal="center" vertical="center" wrapText="1"/>
    </xf>
    <xf numFmtId="0" fontId="28" fillId="12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23" fillId="19" borderId="0" xfId="0" applyFont="1" applyFill="1" applyAlignment="1">
      <alignment horizontal="center" vertical="center" wrapText="1"/>
    </xf>
    <xf numFmtId="167" fontId="23" fillId="17" borderId="0" xfId="0" applyNumberFormat="1" applyFont="1" applyFill="1" applyAlignment="1">
      <alignment horizontal="center" vertical="center"/>
    </xf>
    <xf numFmtId="167" fontId="23" fillId="13" borderId="0" xfId="0" applyNumberFormat="1" applyFont="1" applyFill="1" applyAlignment="1">
      <alignment horizontal="center"/>
    </xf>
    <xf numFmtId="167" fontId="23" fillId="1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7" xfId="2" applyFont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/>
    </xf>
    <xf numFmtId="0" fontId="6" fillId="0" borderId="27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</cellXfs>
  <cellStyles count="8">
    <cellStyle name="Accent2" xfId="1" builtinId="33"/>
    <cellStyle name="Comma" xfId="6" builtinId="3"/>
    <cellStyle name="Comma 2" xfId="4" xr:uid="{6F3DC1E9-CE4D-4BD8-B9AD-08DB413F59B9}"/>
    <cellStyle name="Comma 3" xfId="5" xr:uid="{DD798CA6-7F4E-4C31-A653-E467215481D9}"/>
    <cellStyle name="Normal" xfId="0" builtinId="0"/>
    <cellStyle name="Normal 2 2" xfId="3" xr:uid="{61876EE4-A9B9-45AE-813B-8B1990C3022D}"/>
    <cellStyle name="Normal 2 4" xfId="2" xr:uid="{C830FE48-656D-4BD8-87CE-A6EF4BCAB442}"/>
    <cellStyle name="Percent" xfId="7" builtinId="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1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537881</xdr:colOff>
      <xdr:row>14</xdr:row>
      <xdr:rowOff>89646</xdr:rowOff>
    </xdr:from>
    <xdr:to>
      <xdr:col>24</xdr:col>
      <xdr:colOff>871643</xdr:colOff>
      <xdr:row>20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C1ADDD-43F4-B2CD-F5D7-61151461D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2616" y="2756646"/>
          <a:ext cx="2754233" cy="1143160"/>
        </a:xfrm>
        <a:prstGeom prst="rect">
          <a:avLst/>
        </a:prstGeom>
      </xdr:spPr>
    </xdr:pic>
    <xdr:clientData/>
  </xdr:twoCellAnchor>
  <xdr:twoCellAnchor editAs="oneCell">
    <xdr:from>
      <xdr:col>39</xdr:col>
      <xdr:colOff>497133</xdr:colOff>
      <xdr:row>15</xdr:row>
      <xdr:rowOff>89648</xdr:rowOff>
    </xdr:from>
    <xdr:to>
      <xdr:col>50</xdr:col>
      <xdr:colOff>273920</xdr:colOff>
      <xdr:row>20</xdr:row>
      <xdr:rowOff>127886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7DB64E-B8C0-75AB-7A25-CCCDE018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92860" y="2756648"/>
          <a:ext cx="6444287" cy="990738"/>
        </a:xfrm>
        <a:prstGeom prst="rect">
          <a:avLst/>
        </a:prstGeom>
      </xdr:spPr>
    </xdr:pic>
    <xdr:clientData/>
  </xdr:twoCellAnchor>
  <xdr:twoCellAnchor editAs="oneCell">
    <xdr:from>
      <xdr:col>40</xdr:col>
      <xdr:colOff>355075</xdr:colOff>
      <xdr:row>30</xdr:row>
      <xdr:rowOff>135031</xdr:rowOff>
    </xdr:from>
    <xdr:to>
      <xdr:col>50</xdr:col>
      <xdr:colOff>131777</xdr:colOff>
      <xdr:row>34</xdr:row>
      <xdr:rowOff>11295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6201F0-22D4-C94B-927C-A603839F8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56939" y="5278531"/>
          <a:ext cx="5838065" cy="638264"/>
        </a:xfrm>
        <a:prstGeom prst="rect">
          <a:avLst/>
        </a:prstGeom>
      </xdr:spPr>
    </xdr:pic>
    <xdr:clientData/>
  </xdr:twoCellAnchor>
  <xdr:twoCellAnchor editAs="oneCell">
    <xdr:from>
      <xdr:col>39</xdr:col>
      <xdr:colOff>558832</xdr:colOff>
      <xdr:row>35</xdr:row>
      <xdr:rowOff>143029</xdr:rowOff>
    </xdr:from>
    <xdr:to>
      <xdr:col>50</xdr:col>
      <xdr:colOff>109309</xdr:colOff>
      <xdr:row>45</xdr:row>
      <xdr:rowOff>105190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426264-FB5B-4BD2-1E5D-99BB1A1DE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254559" y="6239029"/>
          <a:ext cx="6217977" cy="1867161"/>
        </a:xfrm>
        <a:prstGeom prst="rect">
          <a:avLst/>
        </a:prstGeom>
      </xdr:spPr>
    </xdr:pic>
    <xdr:clientData/>
  </xdr:twoCellAnchor>
  <xdr:twoCellAnchor editAs="oneCell">
    <xdr:from>
      <xdr:col>40</xdr:col>
      <xdr:colOff>68965</xdr:colOff>
      <xdr:row>48</xdr:row>
      <xdr:rowOff>128001</xdr:rowOff>
    </xdr:from>
    <xdr:to>
      <xdr:col>49</xdr:col>
      <xdr:colOff>455889</xdr:colOff>
      <xdr:row>72</xdr:row>
      <xdr:rowOff>100060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78B417-3DE6-56AF-7A98-732CA84CB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70829" y="8700501"/>
          <a:ext cx="5842151" cy="4544059"/>
        </a:xfrm>
        <a:prstGeom prst="rect">
          <a:avLst/>
        </a:prstGeom>
      </xdr:spPr>
    </xdr:pic>
    <xdr:clientData/>
  </xdr:twoCellAnchor>
  <xdr:twoCellAnchor editAs="oneCell">
    <xdr:from>
      <xdr:col>43</xdr:col>
      <xdr:colOff>462549</xdr:colOff>
      <xdr:row>22</xdr:row>
      <xdr:rowOff>165236</xdr:rowOff>
    </xdr:from>
    <xdr:to>
      <xdr:col>47</xdr:col>
      <xdr:colOff>240101</xdr:colOff>
      <xdr:row>24</xdr:row>
      <xdr:rowOff>89079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363228-D2B4-1AF3-5FB9-5136D84A4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582822" y="3975236"/>
          <a:ext cx="2202097" cy="304843"/>
        </a:xfrm>
        <a:prstGeom prst="rect">
          <a:avLst/>
        </a:prstGeom>
      </xdr:spPr>
    </xdr:pic>
    <xdr:clientData/>
  </xdr:twoCellAnchor>
  <xdr:twoCellAnchor editAs="oneCell">
    <xdr:from>
      <xdr:col>17</xdr:col>
      <xdr:colOff>155865</xdr:colOff>
      <xdr:row>2</xdr:row>
      <xdr:rowOff>133452</xdr:rowOff>
    </xdr:from>
    <xdr:to>
      <xdr:col>25</xdr:col>
      <xdr:colOff>802799</xdr:colOff>
      <xdr:row>14</xdr:row>
      <xdr:rowOff>171876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E78121-4AAD-3DA5-6FD0-36284D669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16592" y="514452"/>
          <a:ext cx="6574846" cy="2324424"/>
        </a:xfrm>
        <a:prstGeom prst="rect">
          <a:avLst/>
        </a:prstGeom>
      </xdr:spPr>
    </xdr:pic>
    <xdr:clientData/>
  </xdr:twoCellAnchor>
  <xdr:twoCellAnchor editAs="oneCell">
    <xdr:from>
      <xdr:col>11</xdr:col>
      <xdr:colOff>401732</xdr:colOff>
      <xdr:row>17</xdr:row>
      <xdr:rowOff>173691</xdr:rowOff>
    </xdr:from>
    <xdr:to>
      <xdr:col>22</xdr:col>
      <xdr:colOff>188819</xdr:colOff>
      <xdr:row>26</xdr:row>
      <xdr:rowOff>21132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D54661-9D58-45A7-ECB0-F98FB714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59907" y="3412191"/>
          <a:ext cx="7178487" cy="1561941"/>
        </a:xfrm>
        <a:prstGeom prst="rect">
          <a:avLst/>
        </a:prstGeom>
      </xdr:spPr>
    </xdr:pic>
    <xdr:clientData/>
  </xdr:twoCellAnchor>
  <xdr:twoCellAnchor editAs="oneCell">
    <xdr:from>
      <xdr:col>11</xdr:col>
      <xdr:colOff>425266</xdr:colOff>
      <xdr:row>26</xdr:row>
      <xdr:rowOff>150719</xdr:rowOff>
    </xdr:from>
    <xdr:to>
      <xdr:col>21</xdr:col>
      <xdr:colOff>436556</xdr:colOff>
      <xdr:row>44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1CF8DC-4B3B-845D-F84B-89AEADC8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83441" y="5103719"/>
          <a:ext cx="6793090" cy="3402106"/>
        </a:xfrm>
        <a:prstGeom prst="rect">
          <a:avLst/>
        </a:prstGeom>
      </xdr:spPr>
    </xdr:pic>
    <xdr:clientData/>
  </xdr:twoCellAnchor>
  <xdr:twoCellAnchor editAs="oneCell">
    <xdr:from>
      <xdr:col>11</xdr:col>
      <xdr:colOff>498397</xdr:colOff>
      <xdr:row>1</xdr:row>
      <xdr:rowOff>19049</xdr:rowOff>
    </xdr:from>
    <xdr:to>
      <xdr:col>16</xdr:col>
      <xdr:colOff>210567</xdr:colOff>
      <xdr:row>8</xdr:row>
      <xdr:rowOff>57152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9BD0518-9384-4AAB-06AC-FACF20DE0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9793755" y="-827634"/>
          <a:ext cx="1371603" cy="3445970"/>
        </a:xfrm>
        <a:prstGeom prst="rect">
          <a:avLst/>
        </a:prstGeom>
      </xdr:spPr>
    </xdr:pic>
    <xdr:clientData/>
  </xdr:twoCellAnchor>
  <xdr:twoCellAnchor editAs="oneCell">
    <xdr:from>
      <xdr:col>11</xdr:col>
      <xdr:colOff>488016</xdr:colOff>
      <xdr:row>46</xdr:row>
      <xdr:rowOff>91888</xdr:rowOff>
    </xdr:from>
    <xdr:to>
      <xdr:col>20</xdr:col>
      <xdr:colOff>362789</xdr:colOff>
      <xdr:row>51</xdr:row>
      <xdr:rowOff>158705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E95C4A-C6FE-F650-83EF-6E2CA5F07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46191" y="8854888"/>
          <a:ext cx="6046973" cy="10193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497133</xdr:colOff>
      <xdr:row>15</xdr:row>
      <xdr:rowOff>89648</xdr:rowOff>
    </xdr:from>
    <xdr:to>
      <xdr:col>46</xdr:col>
      <xdr:colOff>273920</xdr:colOff>
      <xdr:row>20</xdr:row>
      <xdr:rowOff>127886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2CD396-F474-4080-8721-859E992FD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8183" y="2947148"/>
          <a:ext cx="6482387" cy="990738"/>
        </a:xfrm>
        <a:prstGeom prst="rect">
          <a:avLst/>
        </a:prstGeom>
      </xdr:spPr>
    </xdr:pic>
    <xdr:clientData/>
  </xdr:twoCellAnchor>
  <xdr:twoCellAnchor editAs="oneCell">
    <xdr:from>
      <xdr:col>36</xdr:col>
      <xdr:colOff>355075</xdr:colOff>
      <xdr:row>30</xdr:row>
      <xdr:rowOff>135031</xdr:rowOff>
    </xdr:from>
    <xdr:to>
      <xdr:col>46</xdr:col>
      <xdr:colOff>131777</xdr:colOff>
      <xdr:row>34</xdr:row>
      <xdr:rowOff>11295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A94079-E6F1-42B6-8B68-02D406EC5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15725" y="5850031"/>
          <a:ext cx="5872702" cy="638264"/>
        </a:xfrm>
        <a:prstGeom prst="rect">
          <a:avLst/>
        </a:prstGeom>
      </xdr:spPr>
    </xdr:pic>
    <xdr:clientData/>
  </xdr:twoCellAnchor>
  <xdr:twoCellAnchor editAs="oneCell">
    <xdr:from>
      <xdr:col>35</xdr:col>
      <xdr:colOff>558832</xdr:colOff>
      <xdr:row>35</xdr:row>
      <xdr:rowOff>143029</xdr:rowOff>
    </xdr:from>
    <xdr:to>
      <xdr:col>46</xdr:col>
      <xdr:colOff>109309</xdr:colOff>
      <xdr:row>45</xdr:row>
      <xdr:rowOff>105190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5C7F18-B5C6-4A7D-A40E-5D047E7AC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09882" y="6810529"/>
          <a:ext cx="6256077" cy="1867161"/>
        </a:xfrm>
        <a:prstGeom prst="rect">
          <a:avLst/>
        </a:prstGeom>
      </xdr:spPr>
    </xdr:pic>
    <xdr:clientData/>
  </xdr:twoCellAnchor>
  <xdr:twoCellAnchor editAs="oneCell">
    <xdr:from>
      <xdr:col>36</xdr:col>
      <xdr:colOff>68965</xdr:colOff>
      <xdr:row>48</xdr:row>
      <xdr:rowOff>128001</xdr:rowOff>
    </xdr:from>
    <xdr:to>
      <xdr:col>45</xdr:col>
      <xdr:colOff>455889</xdr:colOff>
      <xdr:row>72</xdr:row>
      <xdr:rowOff>100060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28CA15-FEE3-476E-B817-B878FF8A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29615" y="9272001"/>
          <a:ext cx="5873324" cy="4544059"/>
        </a:xfrm>
        <a:prstGeom prst="rect">
          <a:avLst/>
        </a:prstGeom>
      </xdr:spPr>
    </xdr:pic>
    <xdr:clientData/>
  </xdr:twoCellAnchor>
  <xdr:twoCellAnchor editAs="oneCell">
    <xdr:from>
      <xdr:col>39</xdr:col>
      <xdr:colOff>462549</xdr:colOff>
      <xdr:row>22</xdr:row>
      <xdr:rowOff>165236</xdr:rowOff>
    </xdr:from>
    <xdr:to>
      <xdr:col>43</xdr:col>
      <xdr:colOff>240101</xdr:colOff>
      <xdr:row>24</xdr:row>
      <xdr:rowOff>89079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3B0884-54DC-4529-B61D-D9025CD78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351999" y="4356236"/>
          <a:ext cx="2215952" cy="30484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91888</xdr:rowOff>
    </xdr:from>
    <xdr:to>
      <xdr:col>20</xdr:col>
      <xdr:colOff>93848</xdr:colOff>
      <xdr:row>51</xdr:row>
      <xdr:rowOff>158705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44D0282-819D-4FDF-BC8D-4B244C723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46191" y="8854888"/>
          <a:ext cx="6046973" cy="10193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560294</xdr:colOff>
      <xdr:row>43</xdr:row>
      <xdr:rowOff>190500</xdr:rowOff>
    </xdr:from>
    <xdr:to>
      <xdr:col>25</xdr:col>
      <xdr:colOff>135785</xdr:colOff>
      <xdr:row>52</xdr:row>
      <xdr:rowOff>157121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A8C9E-2463-48FA-9345-EE5B973BD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10244" y="9382125"/>
          <a:ext cx="1404291" cy="1718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560294</xdr:colOff>
      <xdr:row>42</xdr:row>
      <xdr:rowOff>190500</xdr:rowOff>
    </xdr:from>
    <xdr:to>
      <xdr:col>25</xdr:col>
      <xdr:colOff>135785</xdr:colOff>
      <xdr:row>51</xdr:row>
      <xdr:rowOff>22650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9AD95-0180-E363-F77D-2AE6D092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0265" y="9300882"/>
          <a:ext cx="1390844" cy="17147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560294</xdr:colOff>
      <xdr:row>12</xdr:row>
      <xdr:rowOff>0</xdr:rowOff>
    </xdr:from>
    <xdr:to>
      <xdr:col>25</xdr:col>
      <xdr:colOff>135785</xdr:colOff>
      <xdr:row>20</xdr:row>
      <xdr:rowOff>89886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EA6F6-3135-43D2-ADA0-D324E4145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10244" y="9382125"/>
          <a:ext cx="1404291" cy="1718100"/>
        </a:xfrm>
        <a:prstGeom prst="rect">
          <a:avLst/>
        </a:prstGeom>
      </xdr:spPr>
    </xdr:pic>
    <xdr:clientData/>
  </xdr:twoCellAnchor>
  <xdr:oneCellAnchor>
    <xdr:from>
      <xdr:col>22</xdr:col>
      <xdr:colOff>560294</xdr:colOff>
      <xdr:row>26</xdr:row>
      <xdr:rowOff>0</xdr:rowOff>
    </xdr:from>
    <xdr:ext cx="1390844" cy="1714739"/>
    <xdr:pic>
      <xdr:nvPicPr>
        <xdr:cNvPr id="3" name="Picture 2">
          <a:extLst>
            <a:ext uri="{FF2B5EF4-FFF2-40B4-BE49-F238E27FC236}">
              <a16:creationId xmlns:a16="http://schemas.microsoft.com/office/drawing/2014/main" id="{7ACC8E62-8292-4BFA-A2E7-9F0EB19EE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2059" y="3171265"/>
          <a:ext cx="1390844" cy="1714739"/>
        </a:xfrm>
        <a:prstGeom prst="rect">
          <a:avLst/>
        </a:prstGeom>
      </xdr:spPr>
    </xdr:pic>
    <xdr:clientData/>
  </xdr:oneCellAnchor>
  <xdr:oneCellAnchor>
    <xdr:from>
      <xdr:col>22</xdr:col>
      <xdr:colOff>560294</xdr:colOff>
      <xdr:row>41</xdr:row>
      <xdr:rowOff>0</xdr:rowOff>
    </xdr:from>
    <xdr:ext cx="1390844" cy="1714739"/>
    <xdr:pic>
      <xdr:nvPicPr>
        <xdr:cNvPr id="4" name="Picture 3">
          <a:extLst>
            <a:ext uri="{FF2B5EF4-FFF2-40B4-BE49-F238E27FC236}">
              <a16:creationId xmlns:a16="http://schemas.microsoft.com/office/drawing/2014/main" id="{CED404F3-D235-44BE-B6CA-E5604B02B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2059" y="5972735"/>
          <a:ext cx="1390844" cy="171473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394448</xdr:colOff>
      <xdr:row>45</xdr:row>
      <xdr:rowOff>184898</xdr:rowOff>
    </xdr:from>
    <xdr:to>
      <xdr:col>40</xdr:col>
      <xdr:colOff>313764</xdr:colOff>
      <xdr:row>66</xdr:row>
      <xdr:rowOff>25243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57C00-A5BD-AF75-27CB-D0D405F5F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08772" y="9104780"/>
          <a:ext cx="6956610" cy="3840845"/>
        </a:xfrm>
        <a:prstGeom prst="rect">
          <a:avLst/>
        </a:prstGeom>
      </xdr:spPr>
    </xdr:pic>
    <xdr:clientData/>
  </xdr:twoCellAnchor>
  <xdr:oneCellAnchor>
    <xdr:from>
      <xdr:col>51</xdr:col>
      <xdr:colOff>304801</xdr:colOff>
      <xdr:row>24</xdr:row>
      <xdr:rowOff>184897</xdr:rowOff>
    </xdr:from>
    <xdr:ext cx="7459116" cy="4096322"/>
    <xdr:pic>
      <xdr:nvPicPr>
        <xdr:cNvPr id="3" name="Picture 2">
          <a:extLst>
            <a:ext uri="{FF2B5EF4-FFF2-40B4-BE49-F238E27FC236}">
              <a16:creationId xmlns:a16="http://schemas.microsoft.com/office/drawing/2014/main" id="{96EA6D6B-20D5-4AB3-A92B-8DA603C19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56448" y="5104279"/>
          <a:ext cx="7459116" cy="409632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170329</xdr:colOff>
      <xdr:row>139</xdr:row>
      <xdr:rowOff>16809</xdr:rowOff>
    </xdr:from>
    <xdr:to>
      <xdr:col>24</xdr:col>
      <xdr:colOff>261017</xdr:colOff>
      <xdr:row>160</xdr:row>
      <xdr:rowOff>112631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27F6F-D703-48F9-A36E-AB74958F1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5976" y="26843691"/>
          <a:ext cx="7419335" cy="4096322"/>
        </a:xfrm>
        <a:prstGeom prst="rect">
          <a:avLst/>
        </a:prstGeom>
      </xdr:spPr>
    </xdr:pic>
    <xdr:clientData/>
  </xdr:twoCellAnchor>
  <xdr:oneCellAnchor>
    <xdr:from>
      <xdr:col>24</xdr:col>
      <xdr:colOff>454479</xdr:colOff>
      <xdr:row>49</xdr:row>
      <xdr:rowOff>95250</xdr:rowOff>
    </xdr:from>
    <xdr:ext cx="7459116" cy="4096322"/>
    <xdr:pic>
      <xdr:nvPicPr>
        <xdr:cNvPr id="3" name="Picture 2">
          <a:extLst>
            <a:ext uri="{FF2B5EF4-FFF2-40B4-BE49-F238E27FC236}">
              <a16:creationId xmlns:a16="http://schemas.microsoft.com/office/drawing/2014/main" id="{21909B60-B8EB-4E8C-87CF-30CEC7395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6050" y="6517821"/>
          <a:ext cx="7459116" cy="40963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A91B-9189-4BFB-A097-485F65E071DD}">
  <dimension ref="B4:B10"/>
  <sheetViews>
    <sheetView workbookViewId="0">
      <selection activeCell="C24" sqref="C24"/>
    </sheetView>
  </sheetViews>
  <sheetFormatPr defaultRowHeight="15" x14ac:dyDescent="0.25"/>
  <cols>
    <col min="2" max="2" width="41" customWidth="1"/>
    <col min="9" max="9" width="12.140625" customWidth="1"/>
  </cols>
  <sheetData>
    <row r="4" spans="2:2" x14ac:dyDescent="0.25">
      <c r="B4" s="102" t="s">
        <v>56</v>
      </c>
    </row>
    <row r="5" spans="2:2" x14ac:dyDescent="0.25">
      <c r="B5" t="s">
        <v>93</v>
      </c>
    </row>
    <row r="6" spans="2:2" x14ac:dyDescent="0.25">
      <c r="B6" t="s">
        <v>94</v>
      </c>
    </row>
    <row r="8" spans="2:2" x14ac:dyDescent="0.25">
      <c r="B8" s="102" t="s">
        <v>90</v>
      </c>
    </row>
    <row r="9" spans="2:2" x14ac:dyDescent="0.25">
      <c r="B9" t="s">
        <v>91</v>
      </c>
    </row>
    <row r="10" spans="2:2" x14ac:dyDescent="0.25">
      <c r="B10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6867-369B-4DFE-86F9-B2094F85292D}">
  <sheetPr>
    <tabColor rgb="FFFF0000"/>
  </sheetPr>
  <dimension ref="B3:Z62"/>
  <sheetViews>
    <sheetView topLeftCell="A13" zoomScaleNormal="100" workbookViewId="0">
      <selection activeCell="H37" sqref="H37"/>
    </sheetView>
  </sheetViews>
  <sheetFormatPr defaultRowHeight="15" x14ac:dyDescent="0.25"/>
  <cols>
    <col min="1" max="3" width="9.140625" style="112"/>
    <col min="4" max="4" width="25.42578125" style="112" customWidth="1"/>
    <col min="5" max="5" width="12.140625" style="112" customWidth="1"/>
    <col min="6" max="6" width="13.140625" style="112" customWidth="1"/>
    <col min="7" max="10" width="9.140625" style="112"/>
    <col min="11" max="11" width="16.85546875" style="112" customWidth="1"/>
    <col min="12" max="12" width="19.42578125" style="112" customWidth="1"/>
    <col min="13" max="24" width="9.140625" style="112"/>
    <col min="25" max="25" width="25.140625" style="112" customWidth="1"/>
    <col min="26" max="26" width="14.7109375" style="112" customWidth="1"/>
    <col min="27" max="16384" width="9.140625" style="112"/>
  </cols>
  <sheetData>
    <row r="3" spans="2:14" x14ac:dyDescent="0.25">
      <c r="E3" s="113" t="s">
        <v>0</v>
      </c>
      <c r="F3" s="114" t="s">
        <v>1</v>
      </c>
    </row>
    <row r="4" spans="2:14" x14ac:dyDescent="0.25">
      <c r="E4" s="115"/>
      <c r="F4" s="116"/>
    </row>
    <row r="5" spans="2:14" x14ac:dyDescent="0.25">
      <c r="E5" s="117"/>
      <c r="F5" s="116"/>
    </row>
    <row r="6" spans="2:14" x14ac:dyDescent="0.25">
      <c r="D6" s="112" t="s">
        <v>2</v>
      </c>
      <c r="E6" s="118">
        <f>3.55+0.3</f>
        <v>3.8499999999999996</v>
      </c>
      <c r="F6" s="119">
        <v>0</v>
      </c>
      <c r="G6" s="112" t="s">
        <v>192</v>
      </c>
    </row>
    <row r="7" spans="2:14" x14ac:dyDescent="0.25">
      <c r="E7" s="120"/>
      <c r="F7" s="121"/>
    </row>
    <row r="8" spans="2:14" x14ac:dyDescent="0.25">
      <c r="D8" s="112" t="s">
        <v>177</v>
      </c>
      <c r="E8" s="125">
        <v>3.55</v>
      </c>
      <c r="F8" s="137"/>
    </row>
    <row r="9" spans="2:14" x14ac:dyDescent="0.25">
      <c r="E9" s="120"/>
      <c r="F9" s="121"/>
    </row>
    <row r="10" spans="2:14" x14ac:dyDescent="0.25">
      <c r="B10" s="112">
        <v>3.4249999999999998</v>
      </c>
      <c r="D10" s="112" t="s">
        <v>3</v>
      </c>
      <c r="E10" s="122">
        <f>N12</f>
        <v>3.72</v>
      </c>
      <c r="F10" s="123">
        <f>-(E6-E10)</f>
        <v>-0.12999999999999945</v>
      </c>
      <c r="G10" s="112" t="s">
        <v>4</v>
      </c>
    </row>
    <row r="11" spans="2:14" x14ac:dyDescent="0.25">
      <c r="E11" s="120"/>
      <c r="F11" s="121"/>
      <c r="L11" s="124" t="s">
        <v>99</v>
      </c>
      <c r="M11" s="112" t="s">
        <v>178</v>
      </c>
      <c r="N11" s="112">
        <v>3.13</v>
      </c>
    </row>
    <row r="12" spans="2:14" x14ac:dyDescent="0.25">
      <c r="D12" s="112" t="s">
        <v>5</v>
      </c>
      <c r="E12" s="125">
        <v>2.35</v>
      </c>
      <c r="F12" s="119">
        <f>-(E6-E12)</f>
        <v>-1.4999999999999996</v>
      </c>
      <c r="H12" s="126"/>
      <c r="I12" s="126"/>
      <c r="J12" s="126"/>
      <c r="M12" s="112" t="s">
        <v>179</v>
      </c>
      <c r="N12" s="112">
        <v>3.72</v>
      </c>
    </row>
    <row r="13" spans="2:14" x14ac:dyDescent="0.25">
      <c r="E13" s="120"/>
      <c r="F13" s="121"/>
      <c r="I13" s="126"/>
    </row>
    <row r="14" spans="2:14" x14ac:dyDescent="0.25">
      <c r="D14" s="112" t="s">
        <v>6</v>
      </c>
      <c r="E14" s="125">
        <f>E12-0.1</f>
        <v>2.25</v>
      </c>
      <c r="F14" s="119">
        <f>-(E6-E14)</f>
        <v>-1.5999999999999996</v>
      </c>
      <c r="G14" s="112" t="s">
        <v>191</v>
      </c>
      <c r="M14" s="129" t="s">
        <v>3</v>
      </c>
      <c r="N14" s="129">
        <f>SUM(N11:N12)/2</f>
        <v>3.4249999999999998</v>
      </c>
    </row>
    <row r="15" spans="2:14" x14ac:dyDescent="0.25">
      <c r="E15" s="120"/>
      <c r="F15" s="121"/>
      <c r="M15" s="129"/>
      <c r="N15" s="129"/>
    </row>
    <row r="16" spans="2:14" x14ac:dyDescent="0.25">
      <c r="D16" s="127" t="s">
        <v>101</v>
      </c>
      <c r="E16" s="125"/>
      <c r="F16" s="119"/>
    </row>
    <row r="17" spans="4:26" x14ac:dyDescent="0.25">
      <c r="E17" s="128"/>
      <c r="F17" s="121"/>
      <c r="M17" s="124" t="s">
        <v>100</v>
      </c>
    </row>
    <row r="18" spans="4:26" x14ac:dyDescent="0.25">
      <c r="D18" s="112" t="s">
        <v>7</v>
      </c>
      <c r="E18" s="125">
        <f>E8-3.95</f>
        <v>-0.40000000000000036</v>
      </c>
      <c r="F18" s="119">
        <f>-(E6-E18)</f>
        <v>-4.25</v>
      </c>
      <c r="G18" s="112" t="s">
        <v>180</v>
      </c>
      <c r="J18" s="126"/>
    </row>
    <row r="19" spans="4:26" x14ac:dyDescent="0.25">
      <c r="E19" s="120"/>
      <c r="F19" s="136"/>
      <c r="J19" s="126"/>
      <c r="Y19" s="112" t="s">
        <v>76</v>
      </c>
    </row>
    <row r="20" spans="4:26" x14ac:dyDescent="0.25">
      <c r="E20" s="120"/>
      <c r="F20" s="121"/>
      <c r="Y20" s="262" t="s">
        <v>176</v>
      </c>
      <c r="Z20" s="262"/>
    </row>
    <row r="21" spans="4:26" x14ac:dyDescent="0.25">
      <c r="D21" s="124"/>
      <c r="E21" s="125"/>
      <c r="F21" s="119"/>
      <c r="G21" s="126"/>
      <c r="H21" s="126"/>
      <c r="I21" s="126">
        <f>E10-E12</f>
        <v>1.37</v>
      </c>
      <c r="Y21" s="112">
        <v>1.5</v>
      </c>
      <c r="Z21" s="261" t="s">
        <v>167</v>
      </c>
    </row>
    <row r="22" spans="4:26" x14ac:dyDescent="0.25">
      <c r="E22" s="120"/>
      <c r="F22" s="121"/>
      <c r="I22" s="126">
        <f>E6-E12</f>
        <v>1.4999999999999996</v>
      </c>
      <c r="Y22" s="112">
        <v>0.5</v>
      </c>
      <c r="Z22" s="261"/>
    </row>
    <row r="23" spans="4:26" x14ac:dyDescent="0.25">
      <c r="D23" s="112" t="s">
        <v>100</v>
      </c>
      <c r="E23" s="125">
        <v>0.6</v>
      </c>
      <c r="F23" s="119">
        <f>-(E6-E23)</f>
        <v>-3.2499999999999996</v>
      </c>
      <c r="I23" s="126"/>
      <c r="Y23" s="112">
        <v>1</v>
      </c>
      <c r="Z23" s="261"/>
    </row>
    <row r="24" spans="4:26" x14ac:dyDescent="0.25">
      <c r="Y24" s="112">
        <v>0.1</v>
      </c>
      <c r="Z24" s="261"/>
    </row>
    <row r="25" spans="4:26" x14ac:dyDescent="0.25">
      <c r="H25" s="126"/>
      <c r="Y25" s="112">
        <v>0.2</v>
      </c>
      <c r="Z25" s="112" t="s">
        <v>166</v>
      </c>
    </row>
    <row r="26" spans="4:26" x14ac:dyDescent="0.25">
      <c r="E26" s="126">
        <f>E12-0.25</f>
        <v>2.1</v>
      </c>
      <c r="K26" s="126"/>
      <c r="Y26" s="112">
        <v>0.5</v>
      </c>
      <c r="Z26" s="112" t="s">
        <v>168</v>
      </c>
    </row>
    <row r="27" spans="4:26" x14ac:dyDescent="0.25">
      <c r="Y27" s="132">
        <f>SUM(Y21:Y26)</f>
        <v>3.8000000000000003</v>
      </c>
      <c r="Z27" s="129" t="s">
        <v>169</v>
      </c>
    </row>
    <row r="28" spans="4:26" x14ac:dyDescent="0.25">
      <c r="E28" s="126">
        <f>E6-3.6</f>
        <v>0.24999999999999956</v>
      </c>
    </row>
    <row r="29" spans="4:26" x14ac:dyDescent="0.25">
      <c r="F29" s="126"/>
      <c r="Y29" s="262" t="s">
        <v>175</v>
      </c>
      <c r="Z29" s="262"/>
    </row>
    <row r="30" spans="4:26" x14ac:dyDescent="0.25">
      <c r="E30" s="113" t="s">
        <v>0</v>
      </c>
      <c r="F30" s="114" t="s">
        <v>1</v>
      </c>
      <c r="I30" s="126"/>
      <c r="Y30" s="133">
        <v>-3.1</v>
      </c>
      <c r="Z30" s="130" t="s">
        <v>170</v>
      </c>
    </row>
    <row r="31" spans="4:26" x14ac:dyDescent="0.25">
      <c r="E31" s="115"/>
      <c r="F31" s="116"/>
      <c r="Y31" s="133">
        <v>-0.5</v>
      </c>
      <c r="Z31" s="112" t="s">
        <v>171</v>
      </c>
    </row>
    <row r="32" spans="4:26" x14ac:dyDescent="0.25">
      <c r="E32" s="117"/>
      <c r="F32" s="116"/>
      <c r="Y32" s="132">
        <f>Y30+Y31</f>
        <v>-3.6</v>
      </c>
      <c r="Z32" s="131" t="s">
        <v>169</v>
      </c>
    </row>
    <row r="33" spans="4:26" x14ac:dyDescent="0.25">
      <c r="D33" s="112" t="s">
        <v>2</v>
      </c>
      <c r="E33" s="118">
        <f>3.55+0.3</f>
        <v>3.8499999999999996</v>
      </c>
      <c r="F33" s="119">
        <v>0</v>
      </c>
      <c r="Y33" s="133">
        <v>0.05</v>
      </c>
      <c r="Z33" s="112" t="s">
        <v>172</v>
      </c>
    </row>
    <row r="34" spans="4:26" x14ac:dyDescent="0.25">
      <c r="E34" s="120"/>
      <c r="F34" s="121"/>
      <c r="Y34" s="133">
        <v>0.05</v>
      </c>
      <c r="Z34" s="112" t="s">
        <v>173</v>
      </c>
    </row>
    <row r="35" spans="4:26" x14ac:dyDescent="0.25">
      <c r="D35" s="112" t="s">
        <v>177</v>
      </c>
      <c r="E35" s="125">
        <v>3.55</v>
      </c>
      <c r="F35" s="137"/>
      <c r="Y35" s="133">
        <v>0.25</v>
      </c>
      <c r="Z35" s="112" t="s">
        <v>157</v>
      </c>
    </row>
    <row r="36" spans="4:26" x14ac:dyDescent="0.25">
      <c r="E36" s="120"/>
      <c r="F36" s="121"/>
      <c r="Y36" s="134">
        <f>Y32+-SUM(Y33:Y35)</f>
        <v>-3.95</v>
      </c>
      <c r="Z36" s="135" t="s">
        <v>174</v>
      </c>
    </row>
    <row r="37" spans="4:26" x14ac:dyDescent="0.25">
      <c r="D37" s="112" t="s">
        <v>3</v>
      </c>
      <c r="E37" s="122">
        <f>+E10</f>
        <v>3.72</v>
      </c>
      <c r="F37" s="123">
        <f>-(E33-E37)</f>
        <v>-0.12999999999999945</v>
      </c>
      <c r="Y37" s="133"/>
    </row>
    <row r="38" spans="4:26" x14ac:dyDescent="0.25">
      <c r="E38" s="120"/>
      <c r="F38" s="121"/>
      <c r="Y38" s="133"/>
    </row>
    <row r="39" spans="4:26" x14ac:dyDescent="0.25">
      <c r="D39" s="112" t="s">
        <v>5</v>
      </c>
      <c r="E39" s="125">
        <v>2.35</v>
      </c>
      <c r="F39" s="119">
        <f>-(E33-E39)</f>
        <v>-1.4999999999999996</v>
      </c>
      <c r="Y39" s="133"/>
    </row>
    <row r="40" spans="4:26" x14ac:dyDescent="0.25">
      <c r="E40" s="120"/>
      <c r="F40" s="121"/>
      <c r="Y40" s="133"/>
    </row>
    <row r="41" spans="4:26" x14ac:dyDescent="0.25">
      <c r="D41" s="112" t="s">
        <v>6</v>
      </c>
      <c r="E41" s="125">
        <f>E39-0.1</f>
        <v>2.25</v>
      </c>
      <c r="F41" s="119">
        <f>-(E33-E41)</f>
        <v>-1.5999999999999996</v>
      </c>
    </row>
    <row r="42" spans="4:26" x14ac:dyDescent="0.25">
      <c r="E42" s="120"/>
      <c r="F42" s="121"/>
    </row>
    <row r="43" spans="4:26" x14ac:dyDescent="0.25">
      <c r="D43" s="127" t="s">
        <v>101</v>
      </c>
      <c r="E43" s="125"/>
      <c r="F43" s="119"/>
    </row>
    <row r="44" spans="4:26" x14ac:dyDescent="0.25">
      <c r="E44" s="128"/>
      <c r="F44" s="121"/>
    </row>
    <row r="45" spans="4:26" x14ac:dyDescent="0.25">
      <c r="D45" s="112" t="s">
        <v>7</v>
      </c>
      <c r="E45" s="125">
        <f>E35-3.95</f>
        <v>-0.40000000000000036</v>
      </c>
      <c r="F45" s="119">
        <f>-(E33-E45)</f>
        <v>-4.25</v>
      </c>
    </row>
    <row r="46" spans="4:26" x14ac:dyDescent="0.25">
      <c r="E46" s="120"/>
      <c r="F46" s="136"/>
    </row>
    <row r="47" spans="4:26" x14ac:dyDescent="0.25">
      <c r="E47" s="120"/>
      <c r="F47" s="121"/>
    </row>
    <row r="48" spans="4:26" x14ac:dyDescent="0.25">
      <c r="D48" s="124"/>
      <c r="E48" s="125"/>
      <c r="F48" s="119"/>
    </row>
    <row r="49" spans="4:12" x14ac:dyDescent="0.25">
      <c r="E49" s="120"/>
      <c r="F49" s="121"/>
    </row>
    <row r="50" spans="4:12" x14ac:dyDescent="0.25">
      <c r="D50" s="112" t="s">
        <v>100</v>
      </c>
      <c r="E50" s="125">
        <v>0.6</v>
      </c>
      <c r="F50" s="119">
        <f>-(E33-E50)</f>
        <v>-3.2499999999999996</v>
      </c>
    </row>
    <row r="51" spans="4:12" x14ac:dyDescent="0.25">
      <c r="E51" s="140"/>
      <c r="F51" s="139"/>
    </row>
    <row r="58" spans="4:12" x14ac:dyDescent="0.25">
      <c r="L58" s="133"/>
    </row>
    <row r="59" spans="4:12" x14ac:dyDescent="0.25">
      <c r="L59" s="133"/>
    </row>
    <row r="60" spans="4:12" x14ac:dyDescent="0.25">
      <c r="L60" s="133"/>
    </row>
    <row r="61" spans="4:12" x14ac:dyDescent="0.25">
      <c r="K61" s="254"/>
      <c r="L61" s="133"/>
    </row>
    <row r="62" spans="4:12" x14ac:dyDescent="0.25">
      <c r="L62" s="133"/>
    </row>
  </sheetData>
  <mergeCells count="3">
    <mergeCell ref="Z21:Z24"/>
    <mergeCell ref="Y29:Z29"/>
    <mergeCell ref="Y20:Z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7EC0-CD41-40E7-8231-498BDA3F9EF0}">
  <dimension ref="A2:G74"/>
  <sheetViews>
    <sheetView zoomScale="85" zoomScaleNormal="85" workbookViewId="0">
      <selection activeCell="I16" sqref="I16"/>
    </sheetView>
  </sheetViews>
  <sheetFormatPr defaultRowHeight="15" x14ac:dyDescent="0.25"/>
  <cols>
    <col min="1" max="1" width="9.140625" style="8"/>
    <col min="2" max="2" width="48.5703125" style="8" customWidth="1"/>
    <col min="3" max="3" width="14.140625" style="9" customWidth="1"/>
    <col min="4" max="4" width="12.140625" style="8" customWidth="1"/>
    <col min="5" max="5" width="14.85546875" style="10" customWidth="1"/>
    <col min="7" max="7" width="9.140625" style="8"/>
  </cols>
  <sheetData>
    <row r="2" spans="1:7" s="6" customFormat="1" ht="15.75" x14ac:dyDescent="0.25">
      <c r="A2" s="1" t="s">
        <v>8</v>
      </c>
      <c r="B2" s="2" t="s">
        <v>95</v>
      </c>
      <c r="C2" s="3"/>
      <c r="D2" s="4"/>
      <c r="E2" s="5"/>
      <c r="G2" s="4"/>
    </row>
    <row r="3" spans="1:7" s="6" customFormat="1" ht="15.75" x14ac:dyDescent="0.25">
      <c r="A3" s="7" t="s">
        <v>9</v>
      </c>
      <c r="B3" s="2" t="s">
        <v>96</v>
      </c>
      <c r="C3" s="3"/>
      <c r="D3" s="4"/>
      <c r="E3" s="5"/>
      <c r="G3" s="4"/>
    </row>
    <row r="4" spans="1:7" s="6" customFormat="1" ht="15.75" x14ac:dyDescent="0.25">
      <c r="A4" s="7" t="s">
        <v>10</v>
      </c>
      <c r="B4" s="2" t="s">
        <v>11</v>
      </c>
      <c r="C4" s="3"/>
      <c r="D4" s="4"/>
      <c r="E4" s="5"/>
      <c r="G4" s="4"/>
    </row>
    <row r="5" spans="1:7" s="6" customFormat="1" ht="15.75" x14ac:dyDescent="0.25">
      <c r="A5" s="7" t="s">
        <v>12</v>
      </c>
      <c r="B5" s="2" t="s">
        <v>13</v>
      </c>
      <c r="C5" s="3"/>
      <c r="D5" s="4"/>
      <c r="E5" s="5"/>
      <c r="G5" s="4"/>
    </row>
    <row r="6" spans="1:7" ht="15.75" x14ac:dyDescent="0.25">
      <c r="A6" s="7" t="s">
        <v>97</v>
      </c>
      <c r="B6" s="103" t="s">
        <v>98</v>
      </c>
    </row>
    <row r="8" spans="1:7" ht="15.75" thickBot="1" x14ac:dyDescent="0.3"/>
    <row r="9" spans="1:7" ht="16.5" thickTop="1" thickBot="1" x14ac:dyDescent="0.3">
      <c r="A9" s="263" t="s">
        <v>14</v>
      </c>
      <c r="B9" s="264"/>
      <c r="C9" s="264"/>
      <c r="D9" s="265"/>
    </row>
    <row r="10" spans="1:7" ht="16.5" thickTop="1" thickBot="1" x14ac:dyDescent="0.3">
      <c r="A10" s="11" t="s">
        <v>15</v>
      </c>
      <c r="B10" s="12" t="s">
        <v>16</v>
      </c>
      <c r="C10" s="13" t="s">
        <v>17</v>
      </c>
      <c r="D10" s="14" t="s">
        <v>18</v>
      </c>
      <c r="E10" s="9" t="s">
        <v>19</v>
      </c>
      <c r="F10" s="15" t="s">
        <v>20</v>
      </c>
    </row>
    <row r="11" spans="1:7" ht="15.75" customHeight="1" thickTop="1" x14ac:dyDescent="0.25">
      <c r="A11" s="16"/>
      <c r="B11" s="16"/>
      <c r="C11" s="17"/>
      <c r="D11" s="16"/>
      <c r="E11" s="9"/>
    </row>
    <row r="12" spans="1:7" ht="15.75" customHeight="1" x14ac:dyDescent="0.25">
      <c r="A12" s="18"/>
      <c r="B12" s="19" t="s">
        <v>140</v>
      </c>
      <c r="C12" s="20">
        <f>PCC!R11</f>
        <v>44.067875000000001</v>
      </c>
      <c r="D12" s="18"/>
      <c r="E12" s="9"/>
    </row>
    <row r="13" spans="1:7" ht="15.75" customHeight="1" x14ac:dyDescent="0.25">
      <c r="A13" s="18">
        <v>1</v>
      </c>
      <c r="B13" s="19" t="s">
        <v>104</v>
      </c>
      <c r="C13" s="104" t="e">
        <f>(29*38)-C31</f>
        <v>#REF!</v>
      </c>
      <c r="D13" s="18" t="s">
        <v>22</v>
      </c>
      <c r="E13" s="9">
        <v>700</v>
      </c>
      <c r="F13" s="10" t="e">
        <f>C13-E13</f>
        <v>#REF!</v>
      </c>
      <c r="G13" s="8" t="s">
        <v>23</v>
      </c>
    </row>
    <row r="14" spans="1:7" x14ac:dyDescent="0.25">
      <c r="A14" s="18">
        <v>2</v>
      </c>
      <c r="B14" s="19" t="s">
        <v>24</v>
      </c>
      <c r="C14" s="104">
        <f>EARTHWORKS!O11</f>
        <v>1776</v>
      </c>
      <c r="D14" s="18" t="s">
        <v>25</v>
      </c>
      <c r="E14" s="9"/>
      <c r="F14" s="10">
        <f>C14-E14</f>
        <v>1776</v>
      </c>
      <c r="G14" s="8" t="s">
        <v>26</v>
      </c>
    </row>
    <row r="15" spans="1:7" x14ac:dyDescent="0.25">
      <c r="A15" s="18">
        <v>4</v>
      </c>
      <c r="B15" s="19" t="s">
        <v>27</v>
      </c>
      <c r="C15" s="20">
        <f>C14-SUMMARY!C13-SUMMARY!C15-SUMMARY!C16-SUMMARY!C19</f>
        <v>-2388.1895000000004</v>
      </c>
      <c r="D15" s="18" t="s">
        <v>25</v>
      </c>
      <c r="E15" s="9"/>
      <c r="F15" s="10">
        <f t="shared" ref="F15:F21" si="0">C15-E15</f>
        <v>-2388.1895000000004</v>
      </c>
    </row>
    <row r="16" spans="1:7" x14ac:dyDescent="0.25">
      <c r="A16" s="18">
        <v>5</v>
      </c>
      <c r="B16" s="19" t="s">
        <v>28</v>
      </c>
      <c r="C16" s="20">
        <f>C14-C15</f>
        <v>4164.1895000000004</v>
      </c>
      <c r="D16" s="18" t="s">
        <v>25</v>
      </c>
      <c r="E16" s="9"/>
      <c r="F16" s="10">
        <f t="shared" si="0"/>
        <v>4164.1895000000004</v>
      </c>
    </row>
    <row r="17" spans="1:7" x14ac:dyDescent="0.25">
      <c r="A17" s="18">
        <v>6</v>
      </c>
      <c r="B17" s="19" t="s">
        <v>29</v>
      </c>
      <c r="C17" s="20"/>
      <c r="D17" s="18" t="s">
        <v>22</v>
      </c>
      <c r="E17" s="9"/>
      <c r="F17" s="10">
        <f t="shared" si="0"/>
        <v>0</v>
      </c>
    </row>
    <row r="18" spans="1:7" x14ac:dyDescent="0.25">
      <c r="A18" s="18">
        <v>7</v>
      </c>
      <c r="B18" s="19" t="s">
        <v>30</v>
      </c>
      <c r="C18" s="104">
        <f>PCC!M11</f>
        <v>881.35750000000007</v>
      </c>
      <c r="D18" s="18" t="s">
        <v>22</v>
      </c>
      <c r="E18" s="9"/>
      <c r="F18" s="10">
        <f t="shared" si="0"/>
        <v>881.35750000000007</v>
      </c>
    </row>
    <row r="19" spans="1:7" x14ac:dyDescent="0.25">
      <c r="A19" s="18">
        <v>8</v>
      </c>
      <c r="B19" s="19" t="s">
        <v>31</v>
      </c>
      <c r="C19" s="20" t="e">
        <f>PCC!N11+#REF!</f>
        <v>#REF!</v>
      </c>
      <c r="D19" s="18" t="s">
        <v>22</v>
      </c>
      <c r="E19" s="9"/>
      <c r="F19" s="10" t="e">
        <f t="shared" si="0"/>
        <v>#REF!</v>
      </c>
    </row>
    <row r="20" spans="1:7" x14ac:dyDescent="0.25">
      <c r="A20" s="18">
        <v>9</v>
      </c>
      <c r="B20" s="19" t="s">
        <v>32</v>
      </c>
      <c r="C20" s="104">
        <f>PCC!Q11</f>
        <v>881.35750000000007</v>
      </c>
      <c r="D20" s="18" t="s">
        <v>22</v>
      </c>
      <c r="E20" s="9"/>
      <c r="F20" s="10">
        <f t="shared" si="0"/>
        <v>881.35750000000007</v>
      </c>
    </row>
    <row r="21" spans="1:7" x14ac:dyDescent="0.25">
      <c r="A21" s="18">
        <v>10</v>
      </c>
      <c r="B21" s="19" t="s">
        <v>33</v>
      </c>
      <c r="C21" s="20"/>
      <c r="D21" s="18" t="s">
        <v>25</v>
      </c>
      <c r="E21" s="9"/>
      <c r="F21" s="10">
        <f t="shared" si="0"/>
        <v>0</v>
      </c>
    </row>
    <row r="22" spans="1:7" x14ac:dyDescent="0.25">
      <c r="A22" s="18"/>
      <c r="B22" s="19"/>
      <c r="C22" s="20"/>
      <c r="D22" s="18"/>
      <c r="E22" s="9"/>
      <c r="F22" s="10"/>
    </row>
    <row r="23" spans="1:7" x14ac:dyDescent="0.25">
      <c r="A23" s="18">
        <v>11</v>
      </c>
      <c r="B23" s="19" t="s">
        <v>34</v>
      </c>
      <c r="C23" s="20" t="e">
        <f>PCC!O11+#REF!</f>
        <v>#REF!</v>
      </c>
      <c r="D23" s="18"/>
      <c r="E23" s="9"/>
    </row>
    <row r="24" spans="1:7" x14ac:dyDescent="0.25">
      <c r="A24" s="18"/>
      <c r="B24" s="19" t="s">
        <v>35</v>
      </c>
      <c r="C24" s="20" t="e">
        <f>PCC!P11+#REF!</f>
        <v>#REF!</v>
      </c>
      <c r="D24" s="18"/>
      <c r="E24" s="9"/>
    </row>
    <row r="25" spans="1:7" x14ac:dyDescent="0.25">
      <c r="A25" s="18"/>
      <c r="B25" s="18"/>
      <c r="C25" s="21"/>
      <c r="D25" s="18"/>
      <c r="E25" s="9"/>
    </row>
    <row r="26" spans="1:7" ht="15.75" thickBot="1" x14ac:dyDescent="0.3"/>
    <row r="27" spans="1:7" ht="16.5" thickTop="1" thickBot="1" x14ac:dyDescent="0.3">
      <c r="A27" s="263" t="s">
        <v>106</v>
      </c>
      <c r="B27" s="264"/>
      <c r="C27" s="264"/>
      <c r="D27" s="265"/>
    </row>
    <row r="28" spans="1:7" ht="16.5" thickTop="1" thickBot="1" x14ac:dyDescent="0.3">
      <c r="A28" s="11" t="s">
        <v>15</v>
      </c>
      <c r="B28" s="12" t="s">
        <v>16</v>
      </c>
      <c r="C28" s="13" t="s">
        <v>17</v>
      </c>
      <c r="D28" s="14" t="s">
        <v>18</v>
      </c>
      <c r="E28" s="9" t="s">
        <v>19</v>
      </c>
      <c r="F28" s="15" t="s">
        <v>20</v>
      </c>
    </row>
    <row r="29" spans="1:7" ht="15.75" customHeight="1" thickTop="1" x14ac:dyDescent="0.25">
      <c r="A29" s="16"/>
      <c r="B29" s="16"/>
      <c r="C29" s="17"/>
      <c r="D29" s="16"/>
      <c r="E29" s="9"/>
    </row>
    <row r="30" spans="1:7" ht="15.75" customHeight="1" x14ac:dyDescent="0.25">
      <c r="A30" s="18">
        <v>1</v>
      </c>
      <c r="B30" s="19" t="s">
        <v>21</v>
      </c>
      <c r="C30" s="104">
        <v>265</v>
      </c>
      <c r="D30" s="18" t="s">
        <v>22</v>
      </c>
      <c r="E30" s="9">
        <v>60</v>
      </c>
    </row>
    <row r="31" spans="1:7" x14ac:dyDescent="0.25">
      <c r="A31" s="18">
        <v>2</v>
      </c>
      <c r="B31" s="19" t="s">
        <v>24</v>
      </c>
      <c r="C31" s="104" t="e">
        <f>EARTHWORKS!#REF!</f>
        <v>#REF!</v>
      </c>
      <c r="D31" s="18" t="s">
        <v>25</v>
      </c>
      <c r="E31" s="9"/>
      <c r="F31" s="10" t="e">
        <f>C31-E31</f>
        <v>#REF!</v>
      </c>
      <c r="G31" s="8" t="s">
        <v>26</v>
      </c>
    </row>
    <row r="32" spans="1:7" s="8" customFormat="1" x14ac:dyDescent="0.25">
      <c r="A32" s="18">
        <v>4</v>
      </c>
      <c r="B32" s="19" t="s">
        <v>27</v>
      </c>
      <c r="C32" s="20"/>
      <c r="D32" s="18" t="s">
        <v>25</v>
      </c>
      <c r="E32" s="9"/>
      <c r="F32" s="10">
        <f t="shared" ref="F32:F38" si="1">C32-E32</f>
        <v>0</v>
      </c>
    </row>
    <row r="33" spans="1:6" s="8" customFormat="1" x14ac:dyDescent="0.25">
      <c r="A33" s="18">
        <v>5</v>
      </c>
      <c r="B33" s="19" t="s">
        <v>28</v>
      </c>
      <c r="C33" s="20"/>
      <c r="D33" s="18" t="s">
        <v>25</v>
      </c>
      <c r="E33" s="9"/>
      <c r="F33" s="10">
        <f t="shared" si="1"/>
        <v>0</v>
      </c>
    </row>
    <row r="34" spans="1:6" s="8" customFormat="1" x14ac:dyDescent="0.25">
      <c r="A34" s="18">
        <v>6</v>
      </c>
      <c r="B34" s="19" t="s">
        <v>29</v>
      </c>
      <c r="C34" s="20"/>
      <c r="D34" s="18" t="s">
        <v>22</v>
      </c>
      <c r="E34" s="9"/>
      <c r="F34" s="10">
        <f t="shared" si="1"/>
        <v>0</v>
      </c>
    </row>
    <row r="35" spans="1:6" s="8" customFormat="1" x14ac:dyDescent="0.25">
      <c r="A35" s="18">
        <v>7</v>
      </c>
      <c r="B35" s="19" t="s">
        <v>30</v>
      </c>
      <c r="C35" s="104" t="e">
        <f>PCC!#REF!</f>
        <v>#REF!</v>
      </c>
      <c r="D35" s="18" t="s">
        <v>22</v>
      </c>
      <c r="E35" s="9"/>
      <c r="F35" s="10" t="e">
        <f t="shared" si="1"/>
        <v>#REF!</v>
      </c>
    </row>
    <row r="36" spans="1:6" s="8" customFormat="1" x14ac:dyDescent="0.25">
      <c r="A36" s="18">
        <v>8</v>
      </c>
      <c r="B36" s="19" t="s">
        <v>31</v>
      </c>
      <c r="C36" s="20" t="e">
        <f>PCC!#REF!+#REF!</f>
        <v>#REF!</v>
      </c>
      <c r="D36" s="18" t="s">
        <v>22</v>
      </c>
      <c r="E36" s="9"/>
      <c r="F36" s="10" t="e">
        <f t="shared" si="1"/>
        <v>#REF!</v>
      </c>
    </row>
    <row r="37" spans="1:6" s="8" customFormat="1" x14ac:dyDescent="0.25">
      <c r="A37" s="18">
        <v>9</v>
      </c>
      <c r="B37" s="19" t="s">
        <v>32</v>
      </c>
      <c r="C37" s="104" t="e">
        <f>PCC!#REF!</f>
        <v>#REF!</v>
      </c>
      <c r="D37" s="18" t="s">
        <v>22</v>
      </c>
      <c r="E37" s="9"/>
      <c r="F37" s="10" t="e">
        <f t="shared" si="1"/>
        <v>#REF!</v>
      </c>
    </row>
    <row r="38" spans="1:6" s="8" customFormat="1" x14ac:dyDescent="0.25">
      <c r="A38" s="18">
        <v>10</v>
      </c>
      <c r="B38" s="19" t="s">
        <v>33</v>
      </c>
      <c r="C38" s="20"/>
      <c r="D38" s="18" t="s">
        <v>25</v>
      </c>
      <c r="E38" s="9"/>
      <c r="F38" s="10">
        <f t="shared" si="1"/>
        <v>0</v>
      </c>
    </row>
    <row r="39" spans="1:6" s="8" customFormat="1" x14ac:dyDescent="0.25">
      <c r="A39" s="18"/>
      <c r="B39" s="19"/>
      <c r="C39" s="20"/>
      <c r="D39" s="18"/>
      <c r="E39" s="9"/>
      <c r="F39" s="10"/>
    </row>
    <row r="40" spans="1:6" s="8" customFormat="1" x14ac:dyDescent="0.25">
      <c r="A40" s="18"/>
      <c r="B40" s="19" t="s">
        <v>34</v>
      </c>
      <c r="C40" s="20" t="e">
        <f>PCC!#REF!+#REF!</f>
        <v>#REF!</v>
      </c>
      <c r="D40" s="18"/>
      <c r="E40" s="9"/>
      <c r="F40" s="10"/>
    </row>
    <row r="41" spans="1:6" s="8" customFormat="1" x14ac:dyDescent="0.25">
      <c r="A41" s="18"/>
      <c r="B41" s="19" t="s">
        <v>35</v>
      </c>
      <c r="C41" s="20" t="e">
        <f>PCC!#REF!+#REF!</f>
        <v>#REF!</v>
      </c>
      <c r="D41" s="18"/>
      <c r="E41" s="9"/>
      <c r="F41" s="10"/>
    </row>
    <row r="42" spans="1:6" s="8" customFormat="1" x14ac:dyDescent="0.25">
      <c r="A42" s="18"/>
      <c r="B42" s="19"/>
      <c r="C42" s="20"/>
      <c r="D42" s="18"/>
      <c r="E42" s="9"/>
      <c r="F42" s="10"/>
    </row>
    <row r="43" spans="1:6" s="8" customFormat="1" x14ac:dyDescent="0.25">
      <c r="A43" s="18"/>
      <c r="B43" s="19"/>
      <c r="C43" s="20"/>
      <c r="D43" s="18"/>
      <c r="E43" s="9"/>
      <c r="F43" s="10"/>
    </row>
    <row r="44" spans="1:6" s="8" customFormat="1" x14ac:dyDescent="0.25">
      <c r="A44" s="18"/>
      <c r="B44" s="19"/>
      <c r="C44" s="20"/>
      <c r="D44" s="18"/>
      <c r="E44" s="9"/>
      <c r="F44"/>
    </row>
    <row r="45" spans="1:6" s="8" customFormat="1" x14ac:dyDescent="0.25">
      <c r="A45" s="18"/>
      <c r="B45" s="19"/>
      <c r="C45" s="20"/>
      <c r="D45" s="18"/>
      <c r="E45" s="9"/>
      <c r="F45"/>
    </row>
    <row r="46" spans="1:6" s="8" customFormat="1" x14ac:dyDescent="0.25">
      <c r="A46" s="18"/>
      <c r="B46" s="19"/>
      <c r="C46" s="20"/>
      <c r="D46" s="18"/>
      <c r="E46" s="9"/>
      <c r="F46"/>
    </row>
    <row r="47" spans="1:6" s="8" customFormat="1" x14ac:dyDescent="0.25">
      <c r="A47" s="18"/>
      <c r="B47" s="22"/>
      <c r="C47" s="20"/>
      <c r="D47" s="18"/>
      <c r="E47" s="9"/>
      <c r="F47" s="10"/>
    </row>
    <row r="48" spans="1:6" s="8" customFormat="1" x14ac:dyDescent="0.25">
      <c r="A48" s="18"/>
      <c r="B48" s="22"/>
      <c r="C48" s="20"/>
      <c r="D48" s="18"/>
      <c r="E48" s="9"/>
      <c r="F48" s="10"/>
    </row>
    <row r="49" spans="1:6" s="8" customFormat="1" x14ac:dyDescent="0.25">
      <c r="A49" s="18"/>
      <c r="B49" s="19"/>
      <c r="C49" s="20"/>
      <c r="D49" s="18"/>
      <c r="E49" s="9"/>
      <c r="F49" s="10"/>
    </row>
    <row r="50" spans="1:6" s="8" customFormat="1" x14ac:dyDescent="0.25">
      <c r="A50" s="18"/>
      <c r="B50" s="19"/>
      <c r="C50" s="20"/>
      <c r="D50" s="18"/>
      <c r="E50" s="9"/>
      <c r="F50" s="10"/>
    </row>
    <row r="51" spans="1:6" s="8" customFormat="1" x14ac:dyDescent="0.25">
      <c r="A51" s="18"/>
      <c r="B51" s="19"/>
      <c r="C51" s="20"/>
      <c r="D51" s="18"/>
      <c r="E51" s="9"/>
      <c r="F51" s="10"/>
    </row>
    <row r="52" spans="1:6" s="8" customFormat="1" x14ac:dyDescent="0.25">
      <c r="A52" s="18"/>
      <c r="B52" s="19"/>
      <c r="C52" s="20"/>
      <c r="D52" s="18"/>
      <c r="E52" s="9"/>
      <c r="F52" s="10"/>
    </row>
    <row r="53" spans="1:6" s="8" customFormat="1" x14ac:dyDescent="0.25">
      <c r="A53" s="18"/>
      <c r="B53" s="19"/>
      <c r="C53" s="20"/>
      <c r="D53" s="18"/>
      <c r="E53" s="9"/>
      <c r="F53" s="10"/>
    </row>
    <row r="54" spans="1:6" s="8" customFormat="1" x14ac:dyDescent="0.25">
      <c r="A54" s="18"/>
      <c r="B54" s="19"/>
      <c r="C54" s="20"/>
      <c r="D54" s="18"/>
      <c r="E54" s="9"/>
      <c r="F54"/>
    </row>
    <row r="55" spans="1:6" s="8" customFormat="1" x14ac:dyDescent="0.25">
      <c r="A55" s="18"/>
      <c r="B55" s="22"/>
      <c r="C55" s="20"/>
      <c r="D55" s="18"/>
      <c r="E55" s="9"/>
      <c r="F55"/>
    </row>
    <row r="56" spans="1:6" s="8" customFormat="1" x14ac:dyDescent="0.25">
      <c r="A56" s="18"/>
      <c r="B56" s="19"/>
      <c r="C56" s="20"/>
      <c r="D56" s="18"/>
      <c r="E56" s="9"/>
      <c r="F56" s="10"/>
    </row>
    <row r="57" spans="1:6" s="8" customFormat="1" x14ac:dyDescent="0.25">
      <c r="A57" s="18"/>
      <c r="B57" s="19"/>
      <c r="C57" s="20"/>
      <c r="D57" s="18"/>
      <c r="E57" s="9"/>
      <c r="F57" s="10"/>
    </row>
    <row r="58" spans="1:6" s="8" customFormat="1" x14ac:dyDescent="0.25">
      <c r="A58" s="18"/>
      <c r="B58" s="19"/>
      <c r="C58" s="20"/>
      <c r="D58" s="18"/>
      <c r="E58" s="9"/>
      <c r="F58" s="10"/>
    </row>
    <row r="59" spans="1:6" s="8" customFormat="1" x14ac:dyDescent="0.25">
      <c r="A59" s="18"/>
      <c r="B59" s="19"/>
      <c r="C59" s="20"/>
      <c r="D59" s="18"/>
      <c r="E59" s="9"/>
      <c r="F59" s="10"/>
    </row>
    <row r="60" spans="1:6" s="8" customFormat="1" x14ac:dyDescent="0.25">
      <c r="A60" s="18"/>
      <c r="B60" s="19"/>
      <c r="C60" s="20"/>
      <c r="D60" s="18"/>
      <c r="E60" s="9"/>
      <c r="F60" s="10"/>
    </row>
    <row r="61" spans="1:6" s="8" customFormat="1" x14ac:dyDescent="0.25">
      <c r="A61" s="18"/>
      <c r="B61" s="19"/>
      <c r="C61" s="20"/>
      <c r="D61" s="18"/>
      <c r="E61" s="9"/>
      <c r="F61" s="10"/>
    </row>
    <row r="62" spans="1:6" s="8" customFormat="1" x14ac:dyDescent="0.25">
      <c r="A62" s="18"/>
      <c r="B62" s="19"/>
      <c r="C62" s="20"/>
      <c r="D62" s="18"/>
      <c r="E62" s="9"/>
      <c r="F62" s="10"/>
    </row>
    <row r="63" spans="1:6" s="8" customFormat="1" ht="15.75" customHeight="1" x14ac:dyDescent="0.25">
      <c r="A63" s="18"/>
      <c r="B63" s="19"/>
      <c r="C63" s="21"/>
      <c r="D63" s="18"/>
      <c r="E63" s="9"/>
      <c r="F63" s="10"/>
    </row>
    <row r="64" spans="1:6" s="8" customFormat="1" x14ac:dyDescent="0.25">
      <c r="A64" s="18"/>
      <c r="B64" s="19"/>
      <c r="C64" s="21"/>
      <c r="D64" s="18"/>
      <c r="E64" s="9"/>
      <c r="F64" s="10"/>
    </row>
    <row r="65" spans="1:6" s="8" customFormat="1" x14ac:dyDescent="0.25">
      <c r="A65" s="18"/>
      <c r="B65" s="19"/>
      <c r="C65" s="21"/>
      <c r="D65" s="18"/>
      <c r="E65" s="9"/>
      <c r="F65" s="10"/>
    </row>
    <row r="66" spans="1:6" s="8" customFormat="1" x14ac:dyDescent="0.25">
      <c r="A66" s="18"/>
      <c r="B66" s="19"/>
      <c r="C66" s="21"/>
      <c r="D66" s="18"/>
      <c r="E66" s="9"/>
      <c r="F66"/>
    </row>
    <row r="67" spans="1:6" s="8" customFormat="1" x14ac:dyDescent="0.25">
      <c r="A67" s="18"/>
      <c r="B67" s="19"/>
      <c r="C67" s="21"/>
      <c r="D67" s="18"/>
      <c r="E67" s="9"/>
      <c r="F67"/>
    </row>
    <row r="68" spans="1:6" s="8" customFormat="1" x14ac:dyDescent="0.25">
      <c r="A68" s="18"/>
      <c r="B68" s="19"/>
      <c r="C68" s="21"/>
      <c r="D68" s="18"/>
      <c r="E68" s="9"/>
      <c r="F68"/>
    </row>
    <row r="69" spans="1:6" s="8" customFormat="1" x14ac:dyDescent="0.25">
      <c r="A69" s="18"/>
      <c r="B69" s="19"/>
      <c r="C69" s="21"/>
      <c r="D69" s="18"/>
      <c r="E69" s="9"/>
      <c r="F69"/>
    </row>
    <row r="70" spans="1:6" s="8" customFormat="1" x14ac:dyDescent="0.25">
      <c r="A70" s="18"/>
      <c r="B70" s="19"/>
      <c r="C70" s="21"/>
      <c r="D70" s="18"/>
      <c r="E70" s="9"/>
      <c r="F70"/>
    </row>
    <row r="71" spans="1:6" s="8" customFormat="1" x14ac:dyDescent="0.25">
      <c r="A71" s="18"/>
      <c r="B71" s="19"/>
      <c r="C71" s="21"/>
      <c r="D71" s="18"/>
      <c r="E71" s="9"/>
      <c r="F71"/>
    </row>
    <row r="72" spans="1:6" s="8" customFormat="1" x14ac:dyDescent="0.25">
      <c r="A72" s="18"/>
      <c r="B72" s="19"/>
      <c r="C72" s="21"/>
      <c r="D72" s="18"/>
      <c r="E72" s="9"/>
      <c r="F72"/>
    </row>
    <row r="73" spans="1:6" s="8" customFormat="1" x14ac:dyDescent="0.25">
      <c r="A73" s="18"/>
      <c r="B73" s="19"/>
      <c r="C73" s="21"/>
      <c r="D73" s="18"/>
      <c r="E73" s="9"/>
      <c r="F73"/>
    </row>
    <row r="74" spans="1:6" s="8" customFormat="1" x14ac:dyDescent="0.25">
      <c r="A74" s="18"/>
      <c r="B74" s="18"/>
      <c r="C74" s="21"/>
      <c r="D74" s="18"/>
      <c r="E74" s="9"/>
      <c r="F74"/>
    </row>
  </sheetData>
  <mergeCells count="2">
    <mergeCell ref="A9:D9"/>
    <mergeCell ref="A27:D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10D0-CE66-487A-8BF9-979F1782A4B2}">
  <sheetPr>
    <tabColor rgb="FFFF0000"/>
  </sheetPr>
  <dimension ref="C3:V61"/>
  <sheetViews>
    <sheetView zoomScaleNormal="100" workbookViewId="0">
      <selection activeCell="M1" sqref="M1:O1048576"/>
    </sheetView>
  </sheetViews>
  <sheetFormatPr defaultRowHeight="15" x14ac:dyDescent="0.25"/>
  <cols>
    <col min="1" max="3" width="9.140625" style="112"/>
    <col min="4" max="4" width="25.42578125" style="112" customWidth="1"/>
    <col min="5" max="5" width="12.140625" style="112" customWidth="1"/>
    <col min="6" max="6" width="13.140625" style="112" customWidth="1"/>
    <col min="7" max="12" width="9.140625" style="112"/>
    <col min="13" max="13" width="12.140625" style="112" customWidth="1"/>
    <col min="14" max="14" width="13.140625" style="112" customWidth="1"/>
    <col min="15" max="20" width="9.140625" style="112"/>
    <col min="21" max="21" width="25.140625" style="112" customWidth="1"/>
    <col min="22" max="22" width="14.7109375" style="112" customWidth="1"/>
    <col min="23" max="16384" width="9.140625" style="112"/>
  </cols>
  <sheetData>
    <row r="3" spans="3:14" x14ac:dyDescent="0.25">
      <c r="E3" s="113" t="s">
        <v>0</v>
      </c>
      <c r="F3" s="114" t="s">
        <v>1</v>
      </c>
      <c r="M3" s="113" t="s">
        <v>0</v>
      </c>
      <c r="N3" s="114" t="s">
        <v>1</v>
      </c>
    </row>
    <row r="4" spans="3:14" x14ac:dyDescent="0.25">
      <c r="E4" s="115"/>
      <c r="F4" s="116"/>
      <c r="M4" s="115"/>
      <c r="N4" s="116"/>
    </row>
    <row r="5" spans="3:14" x14ac:dyDescent="0.25">
      <c r="E5" s="117"/>
      <c r="F5" s="116"/>
      <c r="M5" s="117"/>
      <c r="N5" s="116"/>
    </row>
    <row r="6" spans="3:14" x14ac:dyDescent="0.25">
      <c r="D6" s="112" t="s">
        <v>2</v>
      </c>
      <c r="E6" s="118">
        <f>3.55+0.3</f>
        <v>3.8499999999999996</v>
      </c>
      <c r="F6" s="119">
        <v>0</v>
      </c>
      <c r="G6" s="112" t="s">
        <v>192</v>
      </c>
      <c r="M6" s="118">
        <f>3.55+0.3</f>
        <v>3.8499999999999996</v>
      </c>
      <c r="N6" s="119">
        <v>0</v>
      </c>
    </row>
    <row r="7" spans="3:14" x14ac:dyDescent="0.25">
      <c r="E7" s="120"/>
      <c r="F7" s="121"/>
      <c r="M7" s="120"/>
      <c r="N7" s="121"/>
    </row>
    <row r="8" spans="3:14" x14ac:dyDescent="0.25">
      <c r="D8" s="112" t="s">
        <v>177</v>
      </c>
      <c r="E8" s="125">
        <v>3.55</v>
      </c>
      <c r="F8" s="137"/>
      <c r="M8" s="125">
        <v>3.55</v>
      </c>
      <c r="N8" s="137"/>
    </row>
    <row r="9" spans="3:14" x14ac:dyDescent="0.25">
      <c r="E9" s="120"/>
      <c r="F9" s="121"/>
      <c r="M9" s="120"/>
      <c r="N9" s="121"/>
    </row>
    <row r="10" spans="3:14" x14ac:dyDescent="0.25">
      <c r="D10" s="112" t="s">
        <v>3</v>
      </c>
      <c r="E10" s="122">
        <v>3.4249999999999998</v>
      </c>
      <c r="F10" s="123">
        <f>-(E6-E10)</f>
        <v>-0.42499999999999982</v>
      </c>
      <c r="G10" s="112" t="s">
        <v>4</v>
      </c>
      <c r="M10" s="122">
        <v>2</v>
      </c>
      <c r="N10" s="123">
        <f>-(M6-M10)</f>
        <v>-1.8499999999999996</v>
      </c>
    </row>
    <row r="11" spans="3:14" x14ac:dyDescent="0.25">
      <c r="E11" s="120"/>
      <c r="F11" s="121"/>
      <c r="M11" s="120"/>
      <c r="N11" s="121"/>
    </row>
    <row r="12" spans="3:14" x14ac:dyDescent="0.25">
      <c r="C12" s="126">
        <f>E10-E12</f>
        <v>1.0749999999999997</v>
      </c>
      <c r="D12" s="112" t="s">
        <v>5</v>
      </c>
      <c r="E12" s="125">
        <v>2.35</v>
      </c>
      <c r="F12" s="119">
        <f>-(E6-E12)</f>
        <v>-1.4999999999999996</v>
      </c>
      <c r="H12" s="126"/>
      <c r="I12" s="126"/>
      <c r="J12" s="126"/>
      <c r="M12" s="125">
        <f>M10*C12</f>
        <v>2.1499999999999995</v>
      </c>
      <c r="N12" s="119">
        <f>-(M6-M12)</f>
        <v>-1.7000000000000002</v>
      </c>
    </row>
    <row r="13" spans="3:14" x14ac:dyDescent="0.25">
      <c r="E13" s="120"/>
      <c r="F13" s="121"/>
      <c r="I13" s="126"/>
      <c r="M13" s="120"/>
      <c r="N13" s="121"/>
    </row>
    <row r="14" spans="3:14" x14ac:dyDescent="0.25">
      <c r="D14" s="112" t="s">
        <v>6</v>
      </c>
      <c r="E14" s="125">
        <f>E12-0.1</f>
        <v>2.25</v>
      </c>
      <c r="F14" s="119">
        <f>-(E6-E14)</f>
        <v>-1.5999999999999996</v>
      </c>
      <c r="G14" s="112" t="s">
        <v>191</v>
      </c>
      <c r="M14" s="125">
        <f>M12-0.1</f>
        <v>2.0499999999999994</v>
      </c>
      <c r="N14" s="119">
        <f>-(M6-M14)</f>
        <v>-1.8000000000000003</v>
      </c>
    </row>
    <row r="15" spans="3:14" x14ac:dyDescent="0.25">
      <c r="E15" s="120"/>
      <c r="F15" s="121"/>
      <c r="M15" s="120"/>
      <c r="N15" s="121"/>
    </row>
    <row r="16" spans="3:14" x14ac:dyDescent="0.25">
      <c r="D16" s="127" t="s">
        <v>101</v>
      </c>
      <c r="E16" s="125"/>
      <c r="F16" s="119"/>
      <c r="M16" s="125"/>
      <c r="N16" s="119"/>
    </row>
    <row r="17" spans="4:22" x14ac:dyDescent="0.25">
      <c r="E17" s="128"/>
      <c r="F17" s="121"/>
      <c r="M17" s="128"/>
      <c r="N17" s="121"/>
    </row>
    <row r="18" spans="4:22" x14ac:dyDescent="0.25">
      <c r="D18" s="112" t="s">
        <v>7</v>
      </c>
      <c r="E18" s="125">
        <f>E8-3.95</f>
        <v>-0.40000000000000036</v>
      </c>
      <c r="F18" s="119">
        <f>-(E6-E18)</f>
        <v>-4.25</v>
      </c>
      <c r="G18" s="112" t="s">
        <v>180</v>
      </c>
      <c r="J18" s="126"/>
      <c r="M18" s="125">
        <f>M8-3.95</f>
        <v>-0.40000000000000036</v>
      </c>
      <c r="N18" s="119">
        <f>-(M6-M18)</f>
        <v>-4.25</v>
      </c>
    </row>
    <row r="19" spans="4:22" x14ac:dyDescent="0.25">
      <c r="E19" s="120"/>
      <c r="F19" s="136"/>
      <c r="J19" s="126"/>
      <c r="M19" s="120"/>
      <c r="N19" s="136"/>
      <c r="U19" s="112" t="s">
        <v>76</v>
      </c>
    </row>
    <row r="20" spans="4:22" x14ac:dyDescent="0.25">
      <c r="E20" s="120"/>
      <c r="F20" s="121"/>
      <c r="M20" s="120"/>
      <c r="N20" s="121"/>
      <c r="U20" s="262" t="s">
        <v>176</v>
      </c>
      <c r="V20" s="262"/>
    </row>
    <row r="21" spans="4:22" x14ac:dyDescent="0.25">
      <c r="D21" s="124"/>
      <c r="E21" s="125"/>
      <c r="F21" s="119"/>
      <c r="G21" s="126"/>
      <c r="H21" s="126"/>
      <c r="I21" s="126">
        <f>E10-E12</f>
        <v>1.0749999999999997</v>
      </c>
      <c r="M21" s="125"/>
      <c r="N21" s="119"/>
      <c r="U21" s="112">
        <v>1.5</v>
      </c>
      <c r="V21" s="261" t="s">
        <v>167</v>
      </c>
    </row>
    <row r="22" spans="4:22" x14ac:dyDescent="0.25">
      <c r="E22" s="120"/>
      <c r="F22" s="121"/>
      <c r="I22" s="126">
        <f>E6-E12</f>
        <v>1.4999999999999996</v>
      </c>
      <c r="M22" s="120"/>
      <c r="N22" s="121"/>
      <c r="U22" s="112">
        <v>0.5</v>
      </c>
      <c r="V22" s="261"/>
    </row>
    <row r="23" spans="4:22" x14ac:dyDescent="0.25">
      <c r="D23" s="112" t="s">
        <v>100</v>
      </c>
      <c r="E23" s="125">
        <v>0.6</v>
      </c>
      <c r="F23" s="119">
        <f>-(E6-E23)</f>
        <v>-3.2499999999999996</v>
      </c>
      <c r="I23" s="126"/>
      <c r="M23" s="125">
        <v>0.6</v>
      </c>
      <c r="N23" s="119">
        <f>-(M6-M23)</f>
        <v>-3.2499999999999996</v>
      </c>
      <c r="U23" s="112">
        <v>1</v>
      </c>
      <c r="V23" s="261"/>
    </row>
    <row r="24" spans="4:22" x14ac:dyDescent="0.25">
      <c r="U24" s="112">
        <v>0.1</v>
      </c>
      <c r="V24" s="261"/>
    </row>
    <row r="25" spans="4:22" x14ac:dyDescent="0.25">
      <c r="H25" s="126"/>
      <c r="U25" s="112">
        <v>0.2</v>
      </c>
      <c r="V25" s="112" t="s">
        <v>166</v>
      </c>
    </row>
    <row r="26" spans="4:22" x14ac:dyDescent="0.25">
      <c r="E26" s="126">
        <f>E12-0.25</f>
        <v>2.1</v>
      </c>
      <c r="K26" s="126"/>
      <c r="M26" s="126">
        <f>M12-0.25</f>
        <v>1.8999999999999995</v>
      </c>
      <c r="U26" s="112">
        <v>0.5</v>
      </c>
      <c r="V26" s="112" t="s">
        <v>168</v>
      </c>
    </row>
    <row r="27" spans="4:22" x14ac:dyDescent="0.25">
      <c r="U27" s="132">
        <f>SUM(U21:U26)</f>
        <v>3.8000000000000003</v>
      </c>
      <c r="V27" s="129" t="s">
        <v>169</v>
      </c>
    </row>
    <row r="28" spans="4:22" x14ac:dyDescent="0.25">
      <c r="E28" s="126">
        <f>E6-3.6</f>
        <v>0.24999999999999956</v>
      </c>
      <c r="M28" s="126">
        <f>M6-3.6</f>
        <v>0.24999999999999956</v>
      </c>
    </row>
    <row r="29" spans="4:22" x14ac:dyDescent="0.25">
      <c r="F29" s="126"/>
      <c r="N29" s="126"/>
      <c r="U29" s="262" t="s">
        <v>175</v>
      </c>
      <c r="V29" s="262"/>
    </row>
    <row r="30" spans="4:22" x14ac:dyDescent="0.25">
      <c r="I30" s="126"/>
      <c r="U30" s="133">
        <v>-3.1</v>
      </c>
      <c r="V30" s="130" t="s">
        <v>170</v>
      </c>
    </row>
    <row r="31" spans="4:22" x14ac:dyDescent="0.25">
      <c r="U31" s="133">
        <v>-0.5</v>
      </c>
      <c r="V31" s="112" t="s">
        <v>171</v>
      </c>
    </row>
    <row r="32" spans="4:22" x14ac:dyDescent="0.25">
      <c r="E32" s="130"/>
      <c r="F32" s="130"/>
      <c r="M32" s="130"/>
      <c r="N32" s="130"/>
      <c r="U32" s="132">
        <f>U30+U31</f>
        <v>-3.6</v>
      </c>
      <c r="V32" s="131" t="s">
        <v>169</v>
      </c>
    </row>
    <row r="33" spans="4:22" x14ac:dyDescent="0.25">
      <c r="U33" s="133">
        <v>0.05</v>
      </c>
      <c r="V33" s="112" t="s">
        <v>172</v>
      </c>
    </row>
    <row r="34" spans="4:22" x14ac:dyDescent="0.25">
      <c r="E34" s="124"/>
      <c r="M34" s="124"/>
      <c r="U34" s="133">
        <v>0.05</v>
      </c>
      <c r="V34" s="112" t="s">
        <v>173</v>
      </c>
    </row>
    <row r="35" spans="4:22" x14ac:dyDescent="0.25">
      <c r="E35" s="138"/>
      <c r="F35" s="139"/>
      <c r="M35" s="138"/>
      <c r="N35" s="139"/>
      <c r="U35" s="133">
        <v>0.25</v>
      </c>
      <c r="V35" s="112" t="s">
        <v>157</v>
      </c>
    </row>
    <row r="36" spans="4:22" x14ac:dyDescent="0.25">
      <c r="E36" s="140"/>
      <c r="F36" s="126"/>
      <c r="M36" s="140"/>
      <c r="N36" s="126"/>
      <c r="U36" s="134">
        <f>U32+-SUM(U33:U35)</f>
        <v>-3.95</v>
      </c>
      <c r="V36" s="135" t="s">
        <v>174</v>
      </c>
    </row>
    <row r="37" spans="4:22" x14ac:dyDescent="0.25">
      <c r="E37" s="140"/>
      <c r="F37" s="126"/>
      <c r="M37" s="140"/>
      <c r="N37" s="126"/>
      <c r="U37" s="133"/>
    </row>
    <row r="38" spans="4:22" x14ac:dyDescent="0.25">
      <c r="E38" s="138"/>
      <c r="F38" s="139"/>
      <c r="M38" s="138"/>
      <c r="N38" s="139"/>
      <c r="U38" s="133"/>
    </row>
    <row r="39" spans="4:22" x14ac:dyDescent="0.25">
      <c r="E39" s="140"/>
      <c r="F39" s="126"/>
      <c r="M39" s="140"/>
      <c r="N39" s="126"/>
      <c r="U39" s="133"/>
    </row>
    <row r="40" spans="4:22" x14ac:dyDescent="0.25">
      <c r="E40" s="140"/>
      <c r="F40" s="126"/>
      <c r="M40" s="140"/>
      <c r="N40" s="126"/>
      <c r="U40" s="133"/>
    </row>
    <row r="41" spans="4:22" x14ac:dyDescent="0.25">
      <c r="E41" s="140"/>
      <c r="F41" s="139"/>
      <c r="M41" s="140"/>
      <c r="N41" s="139"/>
    </row>
    <row r="42" spans="4:22" x14ac:dyDescent="0.25">
      <c r="E42" s="140"/>
      <c r="F42" s="126"/>
      <c r="M42" s="140"/>
      <c r="N42" s="126"/>
    </row>
    <row r="43" spans="4:22" x14ac:dyDescent="0.25">
      <c r="E43" s="140"/>
      <c r="F43" s="139"/>
      <c r="M43" s="140"/>
      <c r="N43" s="139"/>
    </row>
    <row r="44" spans="4:22" x14ac:dyDescent="0.25">
      <c r="E44" s="140"/>
      <c r="F44" s="126"/>
      <c r="M44" s="140"/>
      <c r="N44" s="126"/>
    </row>
    <row r="45" spans="4:22" x14ac:dyDescent="0.25">
      <c r="D45" s="124"/>
      <c r="E45" s="140"/>
      <c r="F45" s="139"/>
      <c r="M45" s="140"/>
      <c r="N45" s="139"/>
    </row>
    <row r="46" spans="4:22" x14ac:dyDescent="0.25">
      <c r="E46" s="140"/>
      <c r="F46" s="126"/>
      <c r="M46" s="140"/>
      <c r="N46" s="126"/>
    </row>
    <row r="47" spans="4:22" x14ac:dyDescent="0.25">
      <c r="E47" s="140"/>
      <c r="F47" s="139"/>
      <c r="M47" s="140"/>
      <c r="N47" s="139"/>
    </row>
    <row r="48" spans="4:22" x14ac:dyDescent="0.25">
      <c r="E48" s="140"/>
      <c r="F48" s="126"/>
      <c r="M48" s="140"/>
      <c r="N48" s="126"/>
    </row>
    <row r="49" spans="4:14" x14ac:dyDescent="0.25">
      <c r="D49" s="124"/>
      <c r="E49" s="140"/>
      <c r="F49" s="139"/>
      <c r="M49" s="140"/>
      <c r="N49" s="139"/>
    </row>
    <row r="50" spans="4:14" x14ac:dyDescent="0.25">
      <c r="E50" s="140"/>
      <c r="F50" s="126"/>
      <c r="M50" s="140"/>
      <c r="N50" s="126"/>
    </row>
    <row r="51" spans="4:14" x14ac:dyDescent="0.25">
      <c r="E51" s="140"/>
      <c r="F51" s="139"/>
      <c r="M51" s="140"/>
      <c r="N51" s="139"/>
    </row>
    <row r="61" spans="4:14" x14ac:dyDescent="0.25">
      <c r="K61" s="254"/>
    </row>
  </sheetData>
  <mergeCells count="3">
    <mergeCell ref="U20:V20"/>
    <mergeCell ref="V21:V24"/>
    <mergeCell ref="U29:V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53F0-E375-4499-A855-A2AABDF161A5}">
  <sheetPr>
    <tabColor rgb="FFFF0000"/>
    <pageSetUpPr fitToPage="1"/>
  </sheetPr>
  <dimension ref="A1:S29"/>
  <sheetViews>
    <sheetView zoomScale="90" zoomScaleNormal="90" zoomScaleSheetLayoutView="90" workbookViewId="0">
      <pane xSplit="5" ySplit="11" topLeftCell="F15" activePane="bottomRight" state="frozen"/>
      <selection pane="topRight" activeCell="F1" sqref="F1"/>
      <selection pane="bottomLeft" activeCell="A11" sqref="A11"/>
      <selection pane="bottomRight" activeCell="P30" sqref="P30"/>
    </sheetView>
  </sheetViews>
  <sheetFormatPr defaultColWidth="9.140625" defaultRowHeight="12.75" outlineLevelCol="1" x14ac:dyDescent="0.25"/>
  <cols>
    <col min="1" max="1" width="9.140625" style="6"/>
    <col min="2" max="2" width="14.85546875" style="6" customWidth="1"/>
    <col min="3" max="3" width="4.28515625" style="6" bestFit="1" customWidth="1"/>
    <col min="4" max="4" width="16.140625" style="6" bestFit="1" customWidth="1"/>
    <col min="5" max="5" width="38.42578125" style="6" customWidth="1"/>
    <col min="6" max="6" width="8.7109375" style="6" customWidth="1"/>
    <col min="7" max="7" width="9.85546875" style="6" customWidth="1"/>
    <col min="8" max="8" width="6.28515625" style="6" customWidth="1"/>
    <col min="9" max="9" width="9.140625" style="6"/>
    <col min="10" max="10" width="0" style="6" hidden="1" customWidth="1" outlineLevel="1"/>
    <col min="11" max="11" width="9.140625" style="6" collapsed="1"/>
    <col min="12" max="12" width="0" style="6" hidden="1" customWidth="1" outlineLevel="1"/>
    <col min="13" max="13" width="9.140625" style="6" collapsed="1"/>
    <col min="14" max="14" width="9.140625" style="6"/>
    <col min="15" max="17" width="12" style="6" customWidth="1"/>
    <col min="18" max="19" width="30.7109375" style="6" customWidth="1"/>
    <col min="20" max="16384" width="9.140625" style="6"/>
  </cols>
  <sheetData>
    <row r="1" spans="1:19" ht="15.75" x14ac:dyDescent="0.25">
      <c r="A1" s="23" t="s">
        <v>8</v>
      </c>
      <c r="B1" s="2" t="s">
        <v>143</v>
      </c>
    </row>
    <row r="2" spans="1:19" ht="15.75" x14ac:dyDescent="0.25">
      <c r="A2" s="24" t="s">
        <v>9</v>
      </c>
      <c r="B2" s="2" t="s">
        <v>142</v>
      </c>
    </row>
    <row r="3" spans="1:19" ht="15.75" x14ac:dyDescent="0.25">
      <c r="A3" s="24" t="s">
        <v>10</v>
      </c>
      <c r="B3" s="2" t="s">
        <v>11</v>
      </c>
    </row>
    <row r="4" spans="1:19" ht="15.75" x14ac:dyDescent="0.25">
      <c r="A4" s="24" t="s">
        <v>12</v>
      </c>
      <c r="B4" s="2" t="s">
        <v>13</v>
      </c>
    </row>
    <row r="5" spans="1:19" ht="15.75" x14ac:dyDescent="0.25">
      <c r="A5" s="24"/>
      <c r="B5" s="103"/>
    </row>
    <row r="6" spans="1:19" ht="30" customHeight="1" x14ac:dyDescent="0.25">
      <c r="A6" s="25" t="s">
        <v>224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8" spans="1:19" s="31" customFormat="1" ht="25.5" x14ac:dyDescent="0.25">
      <c r="A8" s="27" t="s">
        <v>36</v>
      </c>
      <c r="B8" s="27" t="s">
        <v>37</v>
      </c>
      <c r="C8" s="27" t="s">
        <v>38</v>
      </c>
      <c r="D8" s="27" t="s">
        <v>39</v>
      </c>
      <c r="E8" s="27" t="s">
        <v>16</v>
      </c>
      <c r="F8" s="27" t="s">
        <v>3</v>
      </c>
      <c r="G8" s="28" t="s">
        <v>103</v>
      </c>
      <c r="H8" s="27" t="s">
        <v>40</v>
      </c>
      <c r="I8" s="29" t="s">
        <v>41</v>
      </c>
      <c r="J8" s="29"/>
      <c r="K8" s="29" t="s">
        <v>42</v>
      </c>
      <c r="L8" s="29"/>
      <c r="M8" s="29" t="s">
        <v>43</v>
      </c>
      <c r="N8" s="30" t="s">
        <v>44</v>
      </c>
      <c r="O8" s="30" t="s">
        <v>45</v>
      </c>
      <c r="P8" s="271" t="s">
        <v>587</v>
      </c>
      <c r="Q8" s="266" t="s">
        <v>588</v>
      </c>
      <c r="R8" s="27" t="s">
        <v>46</v>
      </c>
      <c r="S8" s="27" t="s">
        <v>47</v>
      </c>
    </row>
    <row r="9" spans="1:19" s="31" customFormat="1" ht="20.25" customHeight="1" x14ac:dyDescent="0.25">
      <c r="A9" s="32"/>
      <c r="B9" s="32"/>
      <c r="C9" s="32"/>
      <c r="D9" s="32"/>
      <c r="E9" s="32"/>
      <c r="F9" s="32"/>
      <c r="G9" s="32"/>
      <c r="H9" s="32"/>
      <c r="I9" s="29" t="s">
        <v>48</v>
      </c>
      <c r="J9" s="29"/>
      <c r="K9" s="29" t="s">
        <v>48</v>
      </c>
      <c r="L9" s="29"/>
      <c r="M9" s="29" t="s">
        <v>48</v>
      </c>
      <c r="N9" s="29" t="s">
        <v>49</v>
      </c>
      <c r="O9" s="29" t="s">
        <v>50</v>
      </c>
      <c r="P9" s="267"/>
      <c r="Q9" s="267"/>
      <c r="R9" s="32"/>
      <c r="S9" s="32"/>
    </row>
    <row r="10" spans="1:19" ht="3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s="4" customFormat="1" ht="20.25" customHeight="1" x14ac:dyDescent="0.25">
      <c r="A11" s="34" t="s">
        <v>51</v>
      </c>
      <c r="B11" s="35" t="s">
        <v>225</v>
      </c>
      <c r="C11" s="35"/>
      <c r="D11" s="36"/>
      <c r="E11" s="36"/>
      <c r="F11" s="37"/>
      <c r="G11" s="37"/>
      <c r="H11" s="37"/>
      <c r="I11" s="37"/>
      <c r="J11" s="37"/>
      <c r="K11" s="37"/>
      <c r="L11" s="37"/>
      <c r="M11" s="37"/>
      <c r="N11" s="38">
        <f t="shared" ref="N11:O11" si="0">MROUND(N15,1)</f>
        <v>1038</v>
      </c>
      <c r="O11" s="38">
        <f t="shared" si="0"/>
        <v>1776</v>
      </c>
      <c r="P11" s="38"/>
      <c r="Q11" s="38"/>
      <c r="R11" s="36"/>
      <c r="S11" s="36"/>
    </row>
    <row r="12" spans="1:19" s="4" customFormat="1" ht="21.95" customHeight="1" x14ac:dyDescent="0.25">
      <c r="A12" s="36">
        <v>1</v>
      </c>
      <c r="B12" s="39" t="s">
        <v>84</v>
      </c>
      <c r="C12" s="36" t="s">
        <v>52</v>
      </c>
      <c r="D12" s="39"/>
      <c r="E12" s="36" t="s">
        <v>53</v>
      </c>
      <c r="F12" s="97">
        <f>'Level Cal'!$F$10</f>
        <v>-0.12999999999999945</v>
      </c>
      <c r="G12" s="37">
        <f>'Level Cal'!$F$14</f>
        <v>-1.5999999999999996</v>
      </c>
      <c r="H12" s="37">
        <v>1</v>
      </c>
      <c r="I12" s="268">
        <v>942.7</v>
      </c>
      <c r="J12" s="269"/>
      <c r="K12" s="270"/>
      <c r="L12" s="111"/>
      <c r="M12" s="37">
        <f>-(G12-F12)</f>
        <v>1.4700000000000002</v>
      </c>
      <c r="N12" s="37">
        <f>H12*I12</f>
        <v>942.7</v>
      </c>
      <c r="O12" s="40">
        <f>H12*M12*N12</f>
        <v>1385.7690000000002</v>
      </c>
      <c r="P12" s="40"/>
      <c r="Q12" s="40"/>
      <c r="R12" s="41" t="s">
        <v>54</v>
      </c>
      <c r="S12" s="41"/>
    </row>
    <row r="13" spans="1:19" s="4" customFormat="1" ht="21.95" customHeight="1" x14ac:dyDescent="0.25">
      <c r="A13" s="60"/>
      <c r="B13" s="61"/>
      <c r="C13" s="60"/>
      <c r="D13" s="61"/>
      <c r="E13" s="36" t="s">
        <v>76</v>
      </c>
      <c r="F13" s="97">
        <f>'Level Cal'!F10</f>
        <v>-0.12999999999999945</v>
      </c>
      <c r="G13" s="37">
        <f>'Level Cal'!F18</f>
        <v>-4.25</v>
      </c>
      <c r="H13" s="37">
        <v>1</v>
      </c>
      <c r="I13" s="268">
        <v>94.8</v>
      </c>
      <c r="J13" s="269"/>
      <c r="K13" s="270"/>
      <c r="L13" s="145"/>
      <c r="M13" s="45">
        <f>-(G13-F13)</f>
        <v>4.120000000000001</v>
      </c>
      <c r="N13" s="37">
        <f>H13*I13</f>
        <v>94.8</v>
      </c>
      <c r="O13" s="40">
        <f>H13*M13*N13</f>
        <v>390.57600000000008</v>
      </c>
      <c r="P13" s="40"/>
      <c r="Q13" s="40"/>
      <c r="R13" s="41" t="s">
        <v>54</v>
      </c>
      <c r="S13" s="62"/>
    </row>
    <row r="14" spans="1:19" ht="20.25" customHeight="1" x14ac:dyDescent="0.25">
      <c r="A14" s="42"/>
      <c r="B14" s="42"/>
      <c r="C14" s="42"/>
      <c r="D14" s="42"/>
      <c r="E14" s="43"/>
      <c r="F14" s="44"/>
      <c r="G14" s="44"/>
      <c r="H14" s="45"/>
      <c r="I14" s="45"/>
      <c r="J14" s="45"/>
      <c r="K14" s="46"/>
      <c r="L14" s="46"/>
      <c r="M14" s="45"/>
      <c r="N14" s="46"/>
      <c r="O14" s="46"/>
      <c r="P14" s="46"/>
      <c r="Q14" s="46"/>
      <c r="R14" s="42"/>
      <c r="S14" s="42"/>
    </row>
    <row r="15" spans="1:19" ht="30" customHeight="1" x14ac:dyDescent="0.25">
      <c r="A15" s="47"/>
      <c r="B15" s="48"/>
      <c r="C15" s="48"/>
      <c r="D15" s="48"/>
      <c r="E15" s="49" t="s">
        <v>55</v>
      </c>
      <c r="F15" s="50"/>
      <c r="G15" s="50"/>
      <c r="H15" s="51"/>
      <c r="I15" s="51"/>
      <c r="J15" s="51"/>
      <c r="K15" s="51"/>
      <c r="L15" s="51"/>
      <c r="M15" s="52"/>
      <c r="N15" s="53">
        <f>SUM(N12:N14)</f>
        <v>1037.5</v>
      </c>
      <c r="O15" s="54">
        <f>SUM(O12:O14)</f>
        <v>1776.3450000000003</v>
      </c>
      <c r="P15" s="54">
        <f>O15-300</f>
        <v>1476.3450000000003</v>
      </c>
      <c r="Q15" s="255">
        <f>P15*1.3</f>
        <v>1919.2485000000004</v>
      </c>
      <c r="R15" s="55"/>
      <c r="S15" s="56"/>
    </row>
    <row r="17" spans="1:19" ht="3" customHeight="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s="4" customFormat="1" ht="20.25" customHeight="1" x14ac:dyDescent="0.25">
      <c r="A18" s="34" t="s">
        <v>51</v>
      </c>
      <c r="B18" s="35" t="s">
        <v>226</v>
      </c>
      <c r="C18" s="35"/>
      <c r="D18" s="36"/>
      <c r="E18" s="36"/>
      <c r="F18" s="37"/>
      <c r="G18" s="37"/>
      <c r="H18" s="37"/>
      <c r="I18" s="37"/>
      <c r="J18" s="37"/>
      <c r="K18" s="37"/>
      <c r="L18" s="37"/>
      <c r="M18" s="37"/>
      <c r="N18" s="38">
        <f>MROUND(N25,1)</f>
        <v>76</v>
      </c>
      <c r="O18" s="38">
        <f>MROUND(O25,1)</f>
        <v>1009</v>
      </c>
      <c r="P18" s="38"/>
      <c r="Q18" s="38"/>
      <c r="R18" s="36"/>
      <c r="S18" s="36"/>
    </row>
    <row r="19" spans="1:19" s="4" customFormat="1" ht="21.95" customHeight="1" x14ac:dyDescent="0.25">
      <c r="A19" s="36">
        <v>1</v>
      </c>
      <c r="B19" s="39"/>
      <c r="C19" s="36" t="s">
        <v>52</v>
      </c>
      <c r="D19" s="39"/>
      <c r="E19" s="36" t="s">
        <v>53</v>
      </c>
      <c r="F19" s="97"/>
      <c r="G19" s="37"/>
      <c r="H19" s="37"/>
      <c r="I19" s="268"/>
      <c r="J19" s="269"/>
      <c r="K19" s="270"/>
      <c r="L19" s="111"/>
      <c r="M19" s="37"/>
      <c r="N19" s="37"/>
      <c r="O19" s="40">
        <f>O12</f>
        <v>1385.7690000000002</v>
      </c>
      <c r="P19" s="40"/>
      <c r="Q19" s="40"/>
      <c r="R19" s="41"/>
      <c r="S19" s="41"/>
    </row>
    <row r="20" spans="1:19" s="4" customFormat="1" ht="21.95" customHeight="1" x14ac:dyDescent="0.25">
      <c r="A20" s="60"/>
      <c r="B20" s="61"/>
      <c r="C20" s="60"/>
      <c r="D20" s="61"/>
      <c r="E20" s="36" t="s">
        <v>227</v>
      </c>
      <c r="F20" s="97"/>
      <c r="G20" s="37"/>
      <c r="H20" s="37"/>
      <c r="I20" s="110"/>
      <c r="J20" s="146"/>
      <c r="K20" s="111"/>
      <c r="L20" s="145"/>
      <c r="M20" s="45"/>
      <c r="N20" s="37"/>
      <c r="O20" s="40">
        <f>-SUM('Concrete Substructure'!K14:K27)</f>
        <v>-138.56199999999998</v>
      </c>
      <c r="P20" s="40"/>
      <c r="Q20" s="40"/>
      <c r="R20" s="41"/>
      <c r="S20" s="62"/>
    </row>
    <row r="21" spans="1:19" s="4" customFormat="1" ht="21.95" customHeight="1" x14ac:dyDescent="0.25">
      <c r="A21" s="60"/>
      <c r="B21" s="61"/>
      <c r="C21" s="60"/>
      <c r="D21" s="61"/>
      <c r="E21" s="36" t="s">
        <v>228</v>
      </c>
      <c r="F21" s="97"/>
      <c r="G21" s="37"/>
      <c r="H21" s="37"/>
      <c r="I21" s="110"/>
      <c r="J21" s="146"/>
      <c r="K21" s="111"/>
      <c r="L21" s="145"/>
      <c r="M21" s="45"/>
      <c r="N21" s="37"/>
      <c r="O21" s="40">
        <f>-SUM('Concrete Substructure'!K45:K57)</f>
        <v>-7.0125000000000011</v>
      </c>
      <c r="P21" s="40"/>
      <c r="Q21" s="40"/>
      <c r="R21" s="41"/>
      <c r="S21" s="62"/>
    </row>
    <row r="22" spans="1:19" s="4" customFormat="1" ht="21.95" customHeight="1" x14ac:dyDescent="0.25">
      <c r="A22" s="60"/>
      <c r="B22" s="61"/>
      <c r="C22" s="60"/>
      <c r="D22" s="61"/>
      <c r="E22" s="36" t="s">
        <v>553</v>
      </c>
      <c r="F22" s="97"/>
      <c r="G22" s="37"/>
      <c r="H22" s="37"/>
      <c r="I22" s="110"/>
      <c r="J22" s="146"/>
      <c r="K22" s="111"/>
      <c r="L22" s="145"/>
      <c r="M22" s="45">
        <v>2</v>
      </c>
      <c r="N22" s="37">
        <v>5</v>
      </c>
      <c r="O22" s="40">
        <f>M22*N22*-1</f>
        <v>-10</v>
      </c>
      <c r="P22" s="40"/>
      <c r="Q22" s="40"/>
      <c r="R22" s="41"/>
      <c r="S22" s="62"/>
    </row>
    <row r="23" spans="1:19" s="4" customFormat="1" ht="21.95" customHeight="1" x14ac:dyDescent="0.25">
      <c r="A23" s="60"/>
      <c r="B23" s="61"/>
      <c r="C23" s="60"/>
      <c r="D23" s="61"/>
      <c r="E23" s="36" t="s">
        <v>76</v>
      </c>
      <c r="F23" s="97"/>
      <c r="G23" s="37"/>
      <c r="H23" s="37"/>
      <c r="I23" s="268"/>
      <c r="J23" s="269"/>
      <c r="K23" s="270"/>
      <c r="L23" s="145"/>
      <c r="M23" s="45">
        <f>'Concrete Substructure'!I42</f>
        <v>3.1</v>
      </c>
      <c r="N23" s="37">
        <f>'Concrete Substructure'!J26</f>
        <v>71.2</v>
      </c>
      <c r="O23" s="40">
        <f>M23*N23*-1</f>
        <v>-220.72000000000003</v>
      </c>
      <c r="P23" s="40"/>
      <c r="Q23" s="40"/>
      <c r="R23" s="41" t="s">
        <v>54</v>
      </c>
      <c r="S23" s="62"/>
    </row>
    <row r="24" spans="1:19" ht="20.25" customHeight="1" x14ac:dyDescent="0.25">
      <c r="A24" s="42"/>
      <c r="B24" s="42"/>
      <c r="C24" s="42"/>
      <c r="D24" s="42"/>
      <c r="E24" s="43"/>
      <c r="F24" s="44"/>
      <c r="G24" s="44"/>
      <c r="H24" s="45"/>
      <c r="I24" s="45"/>
      <c r="J24" s="45"/>
      <c r="K24" s="46"/>
      <c r="L24" s="46"/>
      <c r="M24" s="45"/>
      <c r="N24" s="46"/>
      <c r="O24" s="46"/>
      <c r="P24" s="46"/>
      <c r="Q24" s="46"/>
      <c r="R24" s="42"/>
      <c r="S24" s="42"/>
    </row>
    <row r="25" spans="1:19" ht="30" customHeight="1" x14ac:dyDescent="0.25">
      <c r="A25" s="47"/>
      <c r="B25" s="48"/>
      <c r="C25" s="48"/>
      <c r="D25" s="48"/>
      <c r="E25" s="49" t="s">
        <v>55</v>
      </c>
      <c r="F25" s="50"/>
      <c r="G25" s="50"/>
      <c r="H25" s="51"/>
      <c r="I25" s="51"/>
      <c r="J25" s="51"/>
      <c r="K25" s="51"/>
      <c r="L25" s="51"/>
      <c r="M25" s="52"/>
      <c r="N25" s="53">
        <f>SUM(N19:N24)</f>
        <v>76.2</v>
      </c>
      <c r="O25" s="54">
        <f>SUM(O19:O24)</f>
        <v>1009.4745000000003</v>
      </c>
      <c r="P25" s="54"/>
      <c r="Q25" s="54"/>
      <c r="R25" s="55"/>
      <c r="S25" s="56"/>
    </row>
    <row r="26" spans="1:19" x14ac:dyDescent="0.25">
      <c r="G26" s="57"/>
      <c r="M26" s="58"/>
      <c r="N26" s="59"/>
    </row>
    <row r="27" spans="1:19" x14ac:dyDescent="0.25">
      <c r="A27" s="234"/>
      <c r="B27" s="234"/>
      <c r="C27" s="234"/>
      <c r="D27" s="234"/>
      <c r="E27" s="237" t="s">
        <v>554</v>
      </c>
      <c r="F27" s="234"/>
      <c r="G27" s="235"/>
      <c r="H27" s="234"/>
      <c r="I27" s="234"/>
      <c r="J27" s="234"/>
      <c r="K27" s="234"/>
      <c r="L27" s="234"/>
      <c r="M27" s="236"/>
      <c r="N27" s="234"/>
      <c r="O27" s="238">
        <f>O15-O25</f>
        <v>766.87049999999999</v>
      </c>
      <c r="P27" s="238"/>
      <c r="Q27" s="238"/>
      <c r="R27" s="234"/>
    </row>
    <row r="28" spans="1:19" x14ac:dyDescent="0.25">
      <c r="G28" s="57"/>
      <c r="M28" s="58"/>
    </row>
    <row r="29" spans="1:19" x14ac:dyDescent="0.25">
      <c r="G29" s="57"/>
      <c r="M29" s="58"/>
      <c r="O29" s="59"/>
      <c r="P29" s="59"/>
      <c r="Q29" s="59"/>
    </row>
  </sheetData>
  <mergeCells count="6">
    <mergeCell ref="Q8:Q9"/>
    <mergeCell ref="I23:K23"/>
    <mergeCell ref="I12:K12"/>
    <mergeCell ref="I13:K13"/>
    <mergeCell ref="I19:K19"/>
    <mergeCell ref="P8:P9"/>
  </mergeCells>
  <printOptions horizontalCentered="1"/>
  <pageMargins left="0.3" right="0.3" top="0.3" bottom="0.3" header="0.3" footer="0.3"/>
  <pageSetup paperSize="9" scale="58" fitToHeight="0" orientation="landscape" horizontalDpi="4294967293" verticalDpi="4294967293" r:id="rId1"/>
  <colBreaks count="1" manualBreakCount="1">
    <brk id="8" max="4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E9CE-FE46-4227-BA28-607EE67C0F8D}">
  <sheetPr>
    <tabColor rgb="FFFF0000"/>
  </sheetPr>
  <dimension ref="A2:W53"/>
  <sheetViews>
    <sheetView topLeftCell="A16" workbookViewId="0">
      <selection activeCell="O30" sqref="O30"/>
    </sheetView>
  </sheetViews>
  <sheetFormatPr defaultRowHeight="15" x14ac:dyDescent="0.25"/>
  <cols>
    <col min="2" max="2" width="13.140625" customWidth="1"/>
    <col min="4" max="4" width="18.7109375" customWidth="1"/>
    <col min="5" max="5" width="17" customWidth="1"/>
    <col min="6" max="6" width="7.28515625" customWidth="1"/>
    <col min="11" max="11" width="11.7109375" customWidth="1"/>
    <col min="12" max="14" width="15.140625" customWidth="1"/>
    <col min="15" max="16" width="16.140625" customWidth="1"/>
    <col min="17" max="19" width="12.85546875" customWidth="1"/>
  </cols>
  <sheetData>
    <row r="2" spans="1:23" s="6" customFormat="1" ht="15.75" x14ac:dyDescent="0.25">
      <c r="A2" s="23" t="s">
        <v>8</v>
      </c>
      <c r="B2" s="2" t="s">
        <v>143</v>
      </c>
    </row>
    <row r="3" spans="1:23" s="6" customFormat="1" ht="15.75" x14ac:dyDescent="0.25">
      <c r="A3" s="24" t="s">
        <v>9</v>
      </c>
      <c r="B3" s="2" t="s">
        <v>142</v>
      </c>
    </row>
    <row r="4" spans="1:23" s="6" customFormat="1" ht="15.75" x14ac:dyDescent="0.25">
      <c r="A4" s="24" t="s">
        <v>10</v>
      </c>
      <c r="B4" s="2" t="s">
        <v>11</v>
      </c>
    </row>
    <row r="5" spans="1:23" s="6" customFormat="1" ht="15.75" x14ac:dyDescent="0.25">
      <c r="A5" s="24" t="s">
        <v>12</v>
      </c>
      <c r="B5" s="2" t="s">
        <v>13</v>
      </c>
    </row>
    <row r="6" spans="1:23" s="6" customFormat="1" ht="30" customHeight="1" x14ac:dyDescent="0.25">
      <c r="A6" s="25" t="s">
        <v>66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3" s="6" customFormat="1" ht="12.75" x14ac:dyDescent="0.25"/>
    <row r="8" spans="1:23" s="31" customFormat="1" ht="38.25" x14ac:dyDescent="0.25">
      <c r="A8" s="29" t="s">
        <v>36</v>
      </c>
      <c r="B8" s="29" t="s">
        <v>37</v>
      </c>
      <c r="C8" s="29" t="s">
        <v>38</v>
      </c>
      <c r="D8" s="29" t="s">
        <v>39</v>
      </c>
      <c r="E8" s="29" t="s">
        <v>16</v>
      </c>
      <c r="F8" s="29" t="s">
        <v>40</v>
      </c>
      <c r="G8" s="29" t="s">
        <v>41</v>
      </c>
      <c r="H8" s="29" t="s">
        <v>42</v>
      </c>
      <c r="I8" s="29" t="s">
        <v>43</v>
      </c>
      <c r="J8" s="30" t="s">
        <v>44</v>
      </c>
      <c r="K8" s="30" t="s">
        <v>67</v>
      </c>
      <c r="L8" s="30" t="s">
        <v>68</v>
      </c>
      <c r="M8" s="30" t="s">
        <v>69</v>
      </c>
      <c r="N8" s="30" t="s">
        <v>70</v>
      </c>
      <c r="O8" s="64" t="s">
        <v>71</v>
      </c>
      <c r="P8" s="64" t="s">
        <v>72</v>
      </c>
      <c r="Q8" s="30" t="s">
        <v>73</v>
      </c>
      <c r="R8" s="30" t="s">
        <v>105</v>
      </c>
      <c r="S8" s="30" t="s">
        <v>157</v>
      </c>
      <c r="T8" s="29" t="s">
        <v>46</v>
      </c>
      <c r="U8" s="29" t="s">
        <v>47</v>
      </c>
    </row>
    <row r="9" spans="1:23" s="31" customFormat="1" ht="20.25" customHeight="1" x14ac:dyDescent="0.25">
      <c r="A9" s="32"/>
      <c r="B9" s="32"/>
      <c r="C9" s="32"/>
      <c r="D9" s="32"/>
      <c r="E9" s="32"/>
      <c r="F9" s="32"/>
      <c r="G9" s="29" t="s">
        <v>48</v>
      </c>
      <c r="H9" s="29" t="s">
        <v>48</v>
      </c>
      <c r="I9" s="29" t="s">
        <v>48</v>
      </c>
      <c r="J9" s="29" t="s">
        <v>49</v>
      </c>
      <c r="K9" s="29" t="s">
        <v>50</v>
      </c>
      <c r="L9" s="29" t="s">
        <v>49</v>
      </c>
      <c r="M9" s="29" t="s">
        <v>49</v>
      </c>
      <c r="N9" s="29" t="s">
        <v>49</v>
      </c>
      <c r="O9" s="65" t="s">
        <v>49</v>
      </c>
      <c r="P9" s="65" t="s">
        <v>49</v>
      </c>
      <c r="Q9" s="29" t="s">
        <v>49</v>
      </c>
      <c r="R9" s="29" t="s">
        <v>50</v>
      </c>
      <c r="S9" s="29" t="s">
        <v>49</v>
      </c>
      <c r="T9" s="32"/>
      <c r="U9" s="32"/>
    </row>
    <row r="10" spans="1:23" s="6" customFormat="1" ht="3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66"/>
      <c r="P10" s="66"/>
      <c r="Q10" s="67"/>
      <c r="R10" s="68"/>
      <c r="S10" s="105"/>
      <c r="T10" s="33"/>
      <c r="U10" s="33"/>
    </row>
    <row r="11" spans="1:23" s="4" customFormat="1" ht="20.25" customHeight="1" x14ac:dyDescent="0.25">
      <c r="A11" s="69" t="s">
        <v>74</v>
      </c>
      <c r="B11" s="272" t="s">
        <v>75</v>
      </c>
      <c r="C11" s="273"/>
      <c r="D11" s="273"/>
      <c r="E11" s="274"/>
      <c r="F11" s="70"/>
      <c r="G11" s="70"/>
      <c r="H11" s="70"/>
      <c r="I11" s="70"/>
      <c r="J11" s="71"/>
      <c r="K11" s="71">
        <f t="shared" ref="K11:Q11" si="0">K45</f>
        <v>44.067875000000001</v>
      </c>
      <c r="L11" s="71">
        <f t="shared" si="0"/>
        <v>60.489999999999995</v>
      </c>
      <c r="M11" s="71">
        <f t="shared" si="0"/>
        <v>881.35750000000007</v>
      </c>
      <c r="N11" s="71">
        <f>N45</f>
        <v>60.489999999999995</v>
      </c>
      <c r="O11" s="71">
        <f t="shared" si="0"/>
        <v>881.35750000000007</v>
      </c>
      <c r="P11" s="71">
        <f t="shared" si="0"/>
        <v>60.489999999999995</v>
      </c>
      <c r="Q11" s="71">
        <f t="shared" si="0"/>
        <v>881.35750000000007</v>
      </c>
      <c r="R11" s="71">
        <f>R45</f>
        <v>44.067875000000001</v>
      </c>
      <c r="S11" s="71">
        <f>S45</f>
        <v>881.35750000000007</v>
      </c>
      <c r="T11" s="36"/>
      <c r="U11" s="36"/>
    </row>
    <row r="12" spans="1:23" s="4" customFormat="1" ht="12.75" customHeight="1" x14ac:dyDescent="0.25">
      <c r="A12" s="34"/>
      <c r="B12" s="35"/>
      <c r="C12" s="35"/>
      <c r="D12" s="36"/>
      <c r="E12" s="72"/>
      <c r="F12" s="37"/>
      <c r="G12" s="37"/>
      <c r="H12" s="37"/>
      <c r="I12" s="37"/>
      <c r="J12" s="73"/>
      <c r="K12" s="74"/>
      <c r="L12" s="75"/>
      <c r="M12" s="76"/>
      <c r="N12" s="76"/>
      <c r="O12" s="77"/>
      <c r="P12" s="77"/>
      <c r="Q12" s="78"/>
      <c r="R12" s="79"/>
      <c r="S12" s="106"/>
      <c r="T12" s="36"/>
      <c r="U12" s="36"/>
    </row>
    <row r="13" spans="1:23" s="4" customFormat="1" ht="18" customHeight="1" x14ac:dyDescent="0.25">
      <c r="A13" s="36">
        <v>1</v>
      </c>
      <c r="B13" s="39" t="s">
        <v>144</v>
      </c>
      <c r="C13" s="36" t="s">
        <v>52</v>
      </c>
      <c r="D13" s="39" t="s">
        <v>57</v>
      </c>
      <c r="E13" s="36"/>
      <c r="F13" s="37"/>
      <c r="G13" s="37"/>
      <c r="H13" s="37"/>
      <c r="I13" s="37"/>
      <c r="J13" s="73"/>
      <c r="K13" s="74"/>
      <c r="L13" s="75"/>
      <c r="M13" s="76"/>
      <c r="N13" s="76"/>
      <c r="O13" s="77"/>
      <c r="P13" s="77"/>
      <c r="Q13" s="78"/>
      <c r="R13" s="79"/>
      <c r="S13" s="106"/>
      <c r="T13" s="36"/>
      <c r="U13" s="36"/>
    </row>
    <row r="14" spans="1:23" s="4" customFormat="1" ht="18" customHeight="1" x14ac:dyDescent="0.25">
      <c r="A14" s="34"/>
      <c r="B14" s="35"/>
      <c r="C14" s="35"/>
      <c r="D14" s="36"/>
      <c r="E14" s="36" t="s">
        <v>58</v>
      </c>
      <c r="F14" s="37">
        <v>4</v>
      </c>
      <c r="G14" s="37">
        <v>1.3</v>
      </c>
      <c r="H14" s="37">
        <v>1.6</v>
      </c>
      <c r="I14" s="37">
        <v>0.05</v>
      </c>
      <c r="J14" s="73">
        <f>F14*G14*H14</f>
        <v>8.32</v>
      </c>
      <c r="K14" s="74">
        <f>J14*I14</f>
        <v>0.41600000000000004</v>
      </c>
      <c r="L14" s="75">
        <f>F14*2*(G14+H14)*I14</f>
        <v>1.1600000000000001</v>
      </c>
      <c r="M14" s="76">
        <f>J14</f>
        <v>8.32</v>
      </c>
      <c r="N14" s="76">
        <f>L14</f>
        <v>1.1600000000000001</v>
      </c>
      <c r="O14" s="77">
        <f>J14</f>
        <v>8.32</v>
      </c>
      <c r="P14" s="77">
        <f>L14</f>
        <v>1.1600000000000001</v>
      </c>
      <c r="Q14" s="78">
        <f>J14</f>
        <v>8.32</v>
      </c>
      <c r="R14" s="79">
        <f>J14*0.05</f>
        <v>0.41600000000000004</v>
      </c>
      <c r="S14" s="106">
        <f>J14</f>
        <v>8.32</v>
      </c>
      <c r="T14" s="36"/>
      <c r="U14" s="36"/>
      <c r="W14" s="80"/>
    </row>
    <row r="15" spans="1:23" s="4" customFormat="1" ht="18" customHeight="1" x14ac:dyDescent="0.25">
      <c r="A15" s="34"/>
      <c r="B15" s="35"/>
      <c r="C15" s="35"/>
      <c r="D15" s="36"/>
      <c r="E15" s="36" t="s">
        <v>59</v>
      </c>
      <c r="F15" s="37">
        <v>2</v>
      </c>
      <c r="G15" s="37">
        <v>1.4</v>
      </c>
      <c r="H15" s="37">
        <v>1.8</v>
      </c>
      <c r="I15" s="37">
        <v>0.05</v>
      </c>
      <c r="J15" s="73">
        <f t="shared" ref="J15:J21" si="1">F15*G15*H15</f>
        <v>5.04</v>
      </c>
      <c r="K15" s="74">
        <f t="shared" ref="K15:K26" si="2">J15*I15</f>
        <v>0.252</v>
      </c>
      <c r="L15" s="75">
        <f t="shared" ref="L15:L21" si="3">F15*2*(G15+H15)*I15</f>
        <v>0.64000000000000012</v>
      </c>
      <c r="M15" s="76">
        <f t="shared" ref="M15:M26" si="4">J15</f>
        <v>5.04</v>
      </c>
      <c r="N15" s="76">
        <f t="shared" ref="N15:N26" si="5">L15</f>
        <v>0.64000000000000012</v>
      </c>
      <c r="O15" s="77">
        <f t="shared" ref="O15:O26" si="6">J15</f>
        <v>5.04</v>
      </c>
      <c r="P15" s="77">
        <f t="shared" ref="P15:P26" si="7">L15</f>
        <v>0.64000000000000012</v>
      </c>
      <c r="Q15" s="78">
        <f t="shared" ref="Q15:Q26" si="8">J15</f>
        <v>5.04</v>
      </c>
      <c r="R15" s="79">
        <f t="shared" ref="R15:R26" si="9">J15*0.05</f>
        <v>0.252</v>
      </c>
      <c r="S15" s="106">
        <f t="shared" ref="S15:S40" si="10">J15</f>
        <v>5.04</v>
      </c>
      <c r="T15" s="36"/>
      <c r="U15" s="36"/>
      <c r="W15" s="80"/>
    </row>
    <row r="16" spans="1:23" s="4" customFormat="1" ht="18" customHeight="1" x14ac:dyDescent="0.25">
      <c r="A16" s="34"/>
      <c r="B16" s="35"/>
      <c r="C16" s="35"/>
      <c r="D16" s="36"/>
      <c r="E16" s="36" t="s">
        <v>60</v>
      </c>
      <c r="F16" s="37">
        <v>2</v>
      </c>
      <c r="G16" s="37">
        <v>1.5</v>
      </c>
      <c r="H16" s="37">
        <v>1.8</v>
      </c>
      <c r="I16" s="37">
        <v>0.05</v>
      </c>
      <c r="J16" s="73">
        <f t="shared" si="1"/>
        <v>5.4</v>
      </c>
      <c r="K16" s="74">
        <f t="shared" si="2"/>
        <v>0.27</v>
      </c>
      <c r="L16" s="75">
        <f t="shared" si="3"/>
        <v>0.66</v>
      </c>
      <c r="M16" s="76">
        <f t="shared" si="4"/>
        <v>5.4</v>
      </c>
      <c r="N16" s="76">
        <f t="shared" si="5"/>
        <v>0.66</v>
      </c>
      <c r="O16" s="77">
        <f t="shared" si="6"/>
        <v>5.4</v>
      </c>
      <c r="P16" s="77">
        <f t="shared" si="7"/>
        <v>0.66</v>
      </c>
      <c r="Q16" s="78">
        <f t="shared" si="8"/>
        <v>5.4</v>
      </c>
      <c r="R16" s="79">
        <f t="shared" si="9"/>
        <v>0.27</v>
      </c>
      <c r="S16" s="106">
        <f t="shared" si="10"/>
        <v>5.4</v>
      </c>
      <c r="T16" s="36"/>
      <c r="U16" s="36"/>
    </row>
    <row r="17" spans="1:23" s="4" customFormat="1" ht="18" customHeight="1" x14ac:dyDescent="0.25">
      <c r="A17" s="34"/>
      <c r="B17" s="35"/>
      <c r="C17" s="35"/>
      <c r="D17" s="36"/>
      <c r="E17" s="36" t="s">
        <v>61</v>
      </c>
      <c r="F17" s="37">
        <v>3</v>
      </c>
      <c r="G17" s="37">
        <v>2</v>
      </c>
      <c r="H17" s="37">
        <v>2.2999999999999998</v>
      </c>
      <c r="I17" s="37">
        <v>0.05</v>
      </c>
      <c r="J17" s="73">
        <f t="shared" si="1"/>
        <v>13.799999999999999</v>
      </c>
      <c r="K17" s="74">
        <f t="shared" si="2"/>
        <v>0.69</v>
      </c>
      <c r="L17" s="75">
        <f t="shared" si="3"/>
        <v>1.29</v>
      </c>
      <c r="M17" s="76">
        <f t="shared" si="4"/>
        <v>13.799999999999999</v>
      </c>
      <c r="N17" s="76">
        <f t="shared" si="5"/>
        <v>1.29</v>
      </c>
      <c r="O17" s="77">
        <f t="shared" si="6"/>
        <v>13.799999999999999</v>
      </c>
      <c r="P17" s="77">
        <f t="shared" si="7"/>
        <v>1.29</v>
      </c>
      <c r="Q17" s="78">
        <f t="shared" si="8"/>
        <v>13.799999999999999</v>
      </c>
      <c r="R17" s="79">
        <f t="shared" si="9"/>
        <v>0.69</v>
      </c>
      <c r="S17" s="106">
        <f t="shared" si="10"/>
        <v>13.799999999999999</v>
      </c>
      <c r="T17" s="36"/>
      <c r="U17" s="36"/>
      <c r="W17" s="80"/>
    </row>
    <row r="18" spans="1:23" s="4" customFormat="1" ht="18" customHeight="1" x14ac:dyDescent="0.25">
      <c r="A18" s="34"/>
      <c r="B18" s="35"/>
      <c r="C18" s="35"/>
      <c r="D18" s="36"/>
      <c r="E18" s="36" t="s">
        <v>62</v>
      </c>
      <c r="F18" s="37">
        <v>4</v>
      </c>
      <c r="G18" s="37">
        <v>2.1</v>
      </c>
      <c r="H18" s="37">
        <v>2.5</v>
      </c>
      <c r="I18" s="37">
        <v>0.05</v>
      </c>
      <c r="J18" s="73">
        <f t="shared" si="1"/>
        <v>21</v>
      </c>
      <c r="K18" s="74">
        <f t="shared" si="2"/>
        <v>1.05</v>
      </c>
      <c r="L18" s="75">
        <f t="shared" si="3"/>
        <v>1.8399999999999999</v>
      </c>
      <c r="M18" s="76">
        <f t="shared" si="4"/>
        <v>21</v>
      </c>
      <c r="N18" s="76">
        <f t="shared" si="5"/>
        <v>1.8399999999999999</v>
      </c>
      <c r="O18" s="77">
        <f t="shared" si="6"/>
        <v>21</v>
      </c>
      <c r="P18" s="77">
        <f t="shared" si="7"/>
        <v>1.8399999999999999</v>
      </c>
      <c r="Q18" s="78">
        <f t="shared" si="8"/>
        <v>21</v>
      </c>
      <c r="R18" s="79">
        <f t="shared" si="9"/>
        <v>1.05</v>
      </c>
      <c r="S18" s="106">
        <f t="shared" si="10"/>
        <v>21</v>
      </c>
      <c r="T18" s="36"/>
      <c r="U18" s="36"/>
    </row>
    <row r="19" spans="1:23" s="4" customFormat="1" ht="18" customHeight="1" x14ac:dyDescent="0.25">
      <c r="A19" s="34"/>
      <c r="B19" s="35"/>
      <c r="C19" s="35"/>
      <c r="D19" s="36"/>
      <c r="E19" s="36" t="s">
        <v>63</v>
      </c>
      <c r="F19" s="37">
        <v>4</v>
      </c>
      <c r="G19" s="37">
        <v>2.2999999999999998</v>
      </c>
      <c r="H19" s="37">
        <v>2.9</v>
      </c>
      <c r="I19" s="37">
        <v>0.05</v>
      </c>
      <c r="J19" s="73">
        <f t="shared" si="1"/>
        <v>26.679999999999996</v>
      </c>
      <c r="K19" s="74">
        <f t="shared" si="2"/>
        <v>1.3339999999999999</v>
      </c>
      <c r="L19" s="75">
        <f t="shared" si="3"/>
        <v>2.0799999999999996</v>
      </c>
      <c r="M19" s="76">
        <f t="shared" si="4"/>
        <v>26.679999999999996</v>
      </c>
      <c r="N19" s="76">
        <f t="shared" si="5"/>
        <v>2.0799999999999996</v>
      </c>
      <c r="O19" s="77">
        <f t="shared" si="6"/>
        <v>26.679999999999996</v>
      </c>
      <c r="P19" s="77">
        <f t="shared" si="7"/>
        <v>2.0799999999999996</v>
      </c>
      <c r="Q19" s="78">
        <f t="shared" si="8"/>
        <v>26.679999999999996</v>
      </c>
      <c r="R19" s="79">
        <f t="shared" si="9"/>
        <v>1.3339999999999999</v>
      </c>
      <c r="S19" s="106">
        <f t="shared" si="10"/>
        <v>26.679999999999996</v>
      </c>
      <c r="T19" s="36"/>
      <c r="U19" s="36"/>
    </row>
    <row r="20" spans="1:23" s="4" customFormat="1" ht="18" customHeight="1" x14ac:dyDescent="0.25">
      <c r="A20" s="34"/>
      <c r="B20" s="35"/>
      <c r="C20" s="35"/>
      <c r="D20" s="36"/>
      <c r="E20" s="36" t="s">
        <v>64</v>
      </c>
      <c r="F20" s="37">
        <v>2</v>
      </c>
      <c r="G20" s="37">
        <v>2.4</v>
      </c>
      <c r="H20" s="37">
        <v>3.2</v>
      </c>
      <c r="I20" s="37">
        <v>0.05</v>
      </c>
      <c r="J20" s="73">
        <f t="shared" si="1"/>
        <v>15.36</v>
      </c>
      <c r="K20" s="74">
        <f t="shared" si="2"/>
        <v>0.76800000000000002</v>
      </c>
      <c r="L20" s="75">
        <f t="shared" si="3"/>
        <v>1.1199999999999999</v>
      </c>
      <c r="M20" s="76">
        <f t="shared" si="4"/>
        <v>15.36</v>
      </c>
      <c r="N20" s="76">
        <f t="shared" si="5"/>
        <v>1.1199999999999999</v>
      </c>
      <c r="O20" s="77">
        <f t="shared" si="6"/>
        <v>15.36</v>
      </c>
      <c r="P20" s="77">
        <f t="shared" si="7"/>
        <v>1.1199999999999999</v>
      </c>
      <c r="Q20" s="78">
        <f t="shared" si="8"/>
        <v>15.36</v>
      </c>
      <c r="R20" s="79">
        <f t="shared" si="9"/>
        <v>0.76800000000000002</v>
      </c>
      <c r="S20" s="106">
        <f t="shared" si="10"/>
        <v>15.36</v>
      </c>
      <c r="T20" s="36"/>
      <c r="U20" s="36"/>
    </row>
    <row r="21" spans="1:23" s="4" customFormat="1" ht="18" customHeight="1" x14ac:dyDescent="0.25">
      <c r="A21" s="34"/>
      <c r="B21" s="35"/>
      <c r="C21" s="35"/>
      <c r="D21" s="36"/>
      <c r="E21" s="36" t="s">
        <v>145</v>
      </c>
      <c r="F21" s="45">
        <v>1</v>
      </c>
      <c r="G21" s="45">
        <v>1.5</v>
      </c>
      <c r="H21" s="45">
        <v>3.2</v>
      </c>
      <c r="I21" s="37">
        <v>0.05</v>
      </c>
      <c r="J21" s="73">
        <f t="shared" si="1"/>
        <v>4.8000000000000007</v>
      </c>
      <c r="K21" s="74">
        <f t="shared" si="2"/>
        <v>0.24000000000000005</v>
      </c>
      <c r="L21" s="75">
        <f t="shared" si="3"/>
        <v>0.47000000000000003</v>
      </c>
      <c r="M21" s="76">
        <f t="shared" si="4"/>
        <v>4.8000000000000007</v>
      </c>
      <c r="N21" s="76">
        <f t="shared" si="5"/>
        <v>0.47000000000000003</v>
      </c>
      <c r="O21" s="77">
        <f t="shared" si="6"/>
        <v>4.8000000000000007</v>
      </c>
      <c r="P21" s="77">
        <f t="shared" si="7"/>
        <v>0.47000000000000003</v>
      </c>
      <c r="Q21" s="78">
        <f t="shared" si="8"/>
        <v>4.8000000000000007</v>
      </c>
      <c r="R21" s="79">
        <f t="shared" si="9"/>
        <v>0.24000000000000005</v>
      </c>
      <c r="S21" s="106">
        <f t="shared" si="10"/>
        <v>4.8000000000000007</v>
      </c>
      <c r="T21" s="36"/>
      <c r="U21" s="36"/>
    </row>
    <row r="22" spans="1:23" s="4" customFormat="1" ht="18" customHeight="1" x14ac:dyDescent="0.25">
      <c r="A22" s="34"/>
      <c r="B22" s="35"/>
      <c r="C22" s="35"/>
      <c r="D22" s="36"/>
      <c r="E22" s="36" t="s">
        <v>146</v>
      </c>
      <c r="F22" s="45">
        <v>2</v>
      </c>
      <c r="G22" s="45">
        <v>2.1</v>
      </c>
      <c r="H22" s="45">
        <v>4</v>
      </c>
      <c r="I22" s="37">
        <v>0.05</v>
      </c>
      <c r="J22" s="73">
        <f t="shared" ref="J22" si="11">F22*G22*H22</f>
        <v>16.8</v>
      </c>
      <c r="K22" s="74">
        <f t="shared" ref="K22" si="12">J22*I22</f>
        <v>0.84000000000000008</v>
      </c>
      <c r="L22" s="75">
        <f t="shared" ref="L22" si="13">F22*2*(G22+H22)*I22</f>
        <v>1.22</v>
      </c>
      <c r="M22" s="76">
        <f t="shared" ref="M22" si="14">J22</f>
        <v>16.8</v>
      </c>
      <c r="N22" s="76">
        <f t="shared" ref="N22" si="15">L22</f>
        <v>1.22</v>
      </c>
      <c r="O22" s="77">
        <f t="shared" ref="O22" si="16">J22</f>
        <v>16.8</v>
      </c>
      <c r="P22" s="77">
        <f t="shared" ref="P22" si="17">L22</f>
        <v>1.22</v>
      </c>
      <c r="Q22" s="78">
        <f t="shared" ref="Q22" si="18">J22</f>
        <v>16.8</v>
      </c>
      <c r="R22" s="79">
        <f t="shared" ref="R22" si="19">J22*0.05</f>
        <v>0.84000000000000008</v>
      </c>
      <c r="S22" s="106">
        <f t="shared" si="10"/>
        <v>16.8</v>
      </c>
      <c r="T22" s="36"/>
      <c r="U22" s="36"/>
    </row>
    <row r="23" spans="1:23" s="4" customFormat="1" ht="18" customHeight="1" x14ac:dyDescent="0.25">
      <c r="A23" s="34"/>
      <c r="B23" s="35"/>
      <c r="C23" s="35"/>
      <c r="D23" s="36"/>
      <c r="E23" s="36" t="s">
        <v>148</v>
      </c>
      <c r="F23" s="45">
        <v>1</v>
      </c>
      <c r="G23" s="45"/>
      <c r="H23" s="45"/>
      <c r="I23" s="37">
        <v>0.05</v>
      </c>
      <c r="J23" s="73">
        <f>15.8*1.1</f>
        <v>17.380000000000003</v>
      </c>
      <c r="K23" s="74">
        <f t="shared" ref="K23" si="20">J23*I23</f>
        <v>0.86900000000000022</v>
      </c>
      <c r="L23" s="75">
        <f>17.1*I23</f>
        <v>0.85500000000000009</v>
      </c>
      <c r="M23" s="76">
        <f t="shared" ref="M23" si="21">J23</f>
        <v>17.380000000000003</v>
      </c>
      <c r="N23" s="76">
        <f t="shared" ref="N23" si="22">L23</f>
        <v>0.85500000000000009</v>
      </c>
      <c r="O23" s="77">
        <f t="shared" ref="O23" si="23">J23</f>
        <v>17.380000000000003</v>
      </c>
      <c r="P23" s="77">
        <f t="shared" ref="P23" si="24">L23</f>
        <v>0.85500000000000009</v>
      </c>
      <c r="Q23" s="78">
        <f t="shared" ref="Q23" si="25">J23</f>
        <v>17.380000000000003</v>
      </c>
      <c r="R23" s="79">
        <f t="shared" ref="R23" si="26">J23*0.05</f>
        <v>0.86900000000000022</v>
      </c>
      <c r="S23" s="106">
        <f t="shared" si="10"/>
        <v>17.380000000000003</v>
      </c>
      <c r="T23" s="36"/>
      <c r="U23" s="36"/>
    </row>
    <row r="24" spans="1:23" s="4" customFormat="1" ht="18" customHeight="1" x14ac:dyDescent="0.25">
      <c r="A24" s="34"/>
      <c r="B24" s="35"/>
      <c r="C24" s="35"/>
      <c r="D24" s="36"/>
      <c r="E24" s="36" t="s">
        <v>65</v>
      </c>
      <c r="F24" s="45">
        <v>37</v>
      </c>
      <c r="G24" s="45">
        <v>1.1000000000000001</v>
      </c>
      <c r="H24" s="45">
        <v>1.3</v>
      </c>
      <c r="I24" s="37">
        <v>0.05</v>
      </c>
      <c r="J24" s="73">
        <f t="shared" ref="J24" si="27">F24*G24*H24</f>
        <v>52.910000000000004</v>
      </c>
      <c r="K24" s="74">
        <f t="shared" ref="K24" si="28">J24*I24</f>
        <v>2.6455000000000002</v>
      </c>
      <c r="L24" s="75">
        <f t="shared" ref="L24" si="29">F24*2*(G24+H24)*I24</f>
        <v>8.8800000000000008</v>
      </c>
      <c r="M24" s="76">
        <f t="shared" ref="M24" si="30">J24</f>
        <v>52.910000000000004</v>
      </c>
      <c r="N24" s="76">
        <f t="shared" ref="N24" si="31">L24</f>
        <v>8.8800000000000008</v>
      </c>
      <c r="O24" s="77">
        <f t="shared" ref="O24" si="32">J24</f>
        <v>52.910000000000004</v>
      </c>
      <c r="P24" s="77">
        <f t="shared" ref="P24" si="33">L24</f>
        <v>8.8800000000000008</v>
      </c>
      <c r="Q24" s="78">
        <f t="shared" ref="Q24" si="34">J24</f>
        <v>52.910000000000004</v>
      </c>
      <c r="R24" s="79">
        <f t="shared" ref="R24" si="35">J24*0.05</f>
        <v>2.6455000000000002</v>
      </c>
      <c r="S24" s="106">
        <f t="shared" si="10"/>
        <v>52.910000000000004</v>
      </c>
      <c r="T24" s="36"/>
      <c r="U24" s="36"/>
    </row>
    <row r="25" spans="1:23" s="4" customFormat="1" ht="18" customHeight="1" x14ac:dyDescent="0.25">
      <c r="A25" s="34"/>
      <c r="B25" s="35"/>
      <c r="C25" s="35"/>
      <c r="D25" s="36"/>
      <c r="E25" s="36" t="s">
        <v>147</v>
      </c>
      <c r="F25" s="45">
        <v>3</v>
      </c>
      <c r="G25" s="45">
        <v>1.05</v>
      </c>
      <c r="H25" s="45">
        <v>1.05</v>
      </c>
      <c r="I25" s="37">
        <v>0.05</v>
      </c>
      <c r="J25" s="73">
        <f t="shared" ref="J25" si="36">F25*G25*H25</f>
        <v>3.3075000000000006</v>
      </c>
      <c r="K25" s="74">
        <f t="shared" ref="K25" si="37">J25*I25</f>
        <v>0.16537500000000005</v>
      </c>
      <c r="L25" s="75">
        <f t="shared" ref="L25" si="38">F25*2*(G25+H25)*I25</f>
        <v>0.63000000000000012</v>
      </c>
      <c r="M25" s="76">
        <f t="shared" ref="M25" si="39">J25</f>
        <v>3.3075000000000006</v>
      </c>
      <c r="N25" s="76">
        <f t="shared" ref="N25" si="40">L25</f>
        <v>0.63000000000000012</v>
      </c>
      <c r="O25" s="77">
        <f t="shared" ref="O25" si="41">J25</f>
        <v>3.3075000000000006</v>
      </c>
      <c r="P25" s="77">
        <f t="shared" ref="P25" si="42">L25</f>
        <v>0.63000000000000012</v>
      </c>
      <c r="Q25" s="78">
        <f t="shared" ref="Q25" si="43">J25</f>
        <v>3.3075000000000006</v>
      </c>
      <c r="R25" s="79">
        <f t="shared" ref="R25" si="44">J25*0.05</f>
        <v>0.16537500000000005</v>
      </c>
      <c r="S25" s="106">
        <f t="shared" si="10"/>
        <v>3.3075000000000006</v>
      </c>
      <c r="T25" s="36"/>
      <c r="U25" s="36"/>
    </row>
    <row r="26" spans="1:23" s="4" customFormat="1" ht="18" customHeight="1" x14ac:dyDescent="0.25">
      <c r="A26" s="34"/>
      <c r="B26" s="35"/>
      <c r="C26" s="35"/>
      <c r="D26" s="36"/>
      <c r="E26" s="36" t="s">
        <v>149</v>
      </c>
      <c r="F26" s="45">
        <v>1</v>
      </c>
      <c r="G26" s="45"/>
      <c r="H26" s="45"/>
      <c r="I26" s="37">
        <v>0.05</v>
      </c>
      <c r="J26" s="73">
        <f>71.2*1.1</f>
        <v>78.320000000000007</v>
      </c>
      <c r="K26" s="74">
        <f t="shared" si="2"/>
        <v>3.9160000000000004</v>
      </c>
      <c r="L26" s="75">
        <f>44.1*I26</f>
        <v>2.2050000000000001</v>
      </c>
      <c r="M26" s="76">
        <f t="shared" si="4"/>
        <v>78.320000000000007</v>
      </c>
      <c r="N26" s="76">
        <f t="shared" si="5"/>
        <v>2.2050000000000001</v>
      </c>
      <c r="O26" s="77">
        <f t="shared" si="6"/>
        <v>78.320000000000007</v>
      </c>
      <c r="P26" s="77">
        <f t="shared" si="7"/>
        <v>2.2050000000000001</v>
      </c>
      <c r="Q26" s="78">
        <f t="shared" si="8"/>
        <v>78.320000000000007</v>
      </c>
      <c r="R26" s="79">
        <f t="shared" si="9"/>
        <v>3.9160000000000004</v>
      </c>
      <c r="S26" s="106">
        <f t="shared" si="10"/>
        <v>78.320000000000007</v>
      </c>
      <c r="T26" s="36"/>
      <c r="U26" s="36"/>
    </row>
    <row r="27" spans="1:23" s="4" customFormat="1" ht="18" customHeight="1" x14ac:dyDescent="0.25">
      <c r="A27" s="34"/>
      <c r="B27" s="35"/>
      <c r="C27" s="35"/>
      <c r="D27" s="36"/>
      <c r="E27" s="36" t="s">
        <v>150</v>
      </c>
      <c r="F27" s="45">
        <v>1</v>
      </c>
      <c r="G27" s="45"/>
      <c r="H27" s="45"/>
      <c r="I27" s="37">
        <v>0.05</v>
      </c>
      <c r="J27" s="73">
        <f>51.9*1.1</f>
        <v>57.09</v>
      </c>
      <c r="K27" s="74">
        <f t="shared" ref="K27" si="45">J27*I27</f>
        <v>2.8545000000000003</v>
      </c>
      <c r="L27" s="75">
        <f>32.2*I27</f>
        <v>1.6100000000000003</v>
      </c>
      <c r="M27" s="76">
        <f t="shared" ref="M27" si="46">J27</f>
        <v>57.09</v>
      </c>
      <c r="N27" s="76">
        <f t="shared" ref="N27" si="47">L27</f>
        <v>1.6100000000000003</v>
      </c>
      <c r="O27" s="77">
        <f t="shared" ref="O27" si="48">J27</f>
        <v>57.09</v>
      </c>
      <c r="P27" s="77">
        <f t="shared" ref="P27" si="49">L27</f>
        <v>1.6100000000000003</v>
      </c>
      <c r="Q27" s="78">
        <f t="shared" ref="Q27" si="50">J27</f>
        <v>57.09</v>
      </c>
      <c r="R27" s="79">
        <f t="shared" ref="R27" si="51">J27*0.05</f>
        <v>2.8545000000000003</v>
      </c>
      <c r="S27" s="106">
        <f t="shared" si="10"/>
        <v>57.09</v>
      </c>
      <c r="T27" s="36"/>
      <c r="U27" s="36"/>
    </row>
    <row r="28" spans="1:23" s="4" customFormat="1" ht="18" customHeight="1" x14ac:dyDescent="0.25">
      <c r="A28" s="60"/>
      <c r="B28" s="61"/>
      <c r="C28" s="60"/>
      <c r="D28" s="61"/>
      <c r="E28" s="63"/>
      <c r="F28" s="45"/>
      <c r="G28" s="45"/>
      <c r="H28" s="45"/>
      <c r="I28" s="37"/>
      <c r="J28" s="73"/>
      <c r="K28" s="74"/>
      <c r="L28" s="81"/>
      <c r="M28" s="82"/>
      <c r="N28" s="82"/>
      <c r="O28" s="83"/>
      <c r="P28" s="83"/>
      <c r="Q28" s="84"/>
      <c r="R28" s="85"/>
      <c r="S28" s="107"/>
      <c r="T28" s="62"/>
      <c r="U28" s="62"/>
    </row>
    <row r="29" spans="1:23" s="4" customFormat="1" ht="15" customHeight="1" x14ac:dyDescent="0.25">
      <c r="A29" s="36">
        <v>2</v>
      </c>
      <c r="B29" s="39" t="s">
        <v>144</v>
      </c>
      <c r="C29" s="36" t="s">
        <v>52</v>
      </c>
      <c r="D29" s="39" t="s">
        <v>151</v>
      </c>
      <c r="E29" s="63" t="s">
        <v>89</v>
      </c>
      <c r="F29" s="45">
        <v>1</v>
      </c>
      <c r="G29" s="45">
        <v>8.5</v>
      </c>
      <c r="H29" s="45">
        <v>0.25</v>
      </c>
      <c r="I29" s="37">
        <v>0.05</v>
      </c>
      <c r="J29" s="73">
        <f>F29*G29*H29</f>
        <v>2.125</v>
      </c>
      <c r="K29" s="74">
        <f>J29*I29</f>
        <v>0.10625000000000001</v>
      </c>
      <c r="L29" s="75">
        <f t="shared" ref="L29" si="52">F29*2*(G29+H29)*I29</f>
        <v>0.875</v>
      </c>
      <c r="M29" s="76">
        <f t="shared" ref="M29" si="53">J29</f>
        <v>2.125</v>
      </c>
      <c r="N29" s="76">
        <f t="shared" ref="N29" si="54">L29</f>
        <v>0.875</v>
      </c>
      <c r="O29" s="77">
        <f t="shared" ref="O29" si="55">J29</f>
        <v>2.125</v>
      </c>
      <c r="P29" s="77">
        <f t="shared" ref="P29" si="56">L29</f>
        <v>0.875</v>
      </c>
      <c r="Q29" s="78">
        <f t="shared" ref="Q29" si="57">J29</f>
        <v>2.125</v>
      </c>
      <c r="R29" s="79">
        <f>J29*0.05</f>
        <v>0.10625000000000001</v>
      </c>
      <c r="S29" s="106">
        <f t="shared" si="10"/>
        <v>2.125</v>
      </c>
      <c r="T29" s="62"/>
      <c r="U29" s="62"/>
    </row>
    <row r="30" spans="1:23" s="4" customFormat="1" ht="15" customHeight="1" x14ac:dyDescent="0.25">
      <c r="A30" s="60"/>
      <c r="B30" s="39"/>
      <c r="C30" s="36"/>
      <c r="D30" s="39"/>
      <c r="E30" s="63"/>
      <c r="F30" s="45"/>
      <c r="G30" s="45"/>
      <c r="H30" s="45"/>
      <c r="I30" s="37"/>
      <c r="J30" s="73"/>
      <c r="K30" s="74"/>
      <c r="L30" s="75"/>
      <c r="M30" s="76"/>
      <c r="N30" s="76"/>
      <c r="O30" s="77"/>
      <c r="P30" s="77"/>
      <c r="Q30" s="78"/>
      <c r="R30" s="79"/>
      <c r="S30" s="106"/>
      <c r="T30" s="62"/>
      <c r="U30" s="62"/>
    </row>
    <row r="31" spans="1:23" s="4" customFormat="1" ht="15" customHeight="1" x14ac:dyDescent="0.25">
      <c r="A31" s="36">
        <v>3</v>
      </c>
      <c r="B31" s="39" t="s">
        <v>152</v>
      </c>
      <c r="C31" s="36" t="s">
        <v>52</v>
      </c>
      <c r="D31" s="39" t="s">
        <v>153</v>
      </c>
      <c r="E31" s="63" t="s">
        <v>85</v>
      </c>
      <c r="F31" s="45">
        <v>1</v>
      </c>
      <c r="G31" s="45">
        <v>164.4</v>
      </c>
      <c r="H31" s="45">
        <v>0.25</v>
      </c>
      <c r="I31" s="37">
        <v>0.05</v>
      </c>
      <c r="J31" s="73">
        <f>F31*G31*H31</f>
        <v>41.1</v>
      </c>
      <c r="K31" s="74">
        <f t="shared" ref="K31:K38" si="58">J31*I31</f>
        <v>2.0550000000000002</v>
      </c>
      <c r="L31" s="75">
        <f t="shared" ref="L31" si="59">F31*2*(G31+H31)*I31</f>
        <v>16.465</v>
      </c>
      <c r="M31" s="76">
        <f t="shared" ref="M31" si="60">J31</f>
        <v>41.1</v>
      </c>
      <c r="N31" s="76">
        <f t="shared" ref="N31" si="61">L31</f>
        <v>16.465</v>
      </c>
      <c r="O31" s="77">
        <f t="shared" ref="O31" si="62">J31</f>
        <v>41.1</v>
      </c>
      <c r="P31" s="77">
        <f t="shared" ref="P31" si="63">L31</f>
        <v>16.465</v>
      </c>
      <c r="Q31" s="78">
        <f t="shared" ref="Q31" si="64">J31</f>
        <v>41.1</v>
      </c>
      <c r="R31" s="79">
        <f t="shared" ref="R31" si="65">J31*0.05</f>
        <v>2.0550000000000002</v>
      </c>
      <c r="S31" s="106">
        <f t="shared" si="10"/>
        <v>41.1</v>
      </c>
      <c r="T31" s="62"/>
      <c r="U31" s="62"/>
    </row>
    <row r="32" spans="1:23" s="4" customFormat="1" ht="15" customHeight="1" x14ac:dyDescent="0.25">
      <c r="A32" s="60"/>
      <c r="B32" s="39"/>
      <c r="C32" s="36"/>
      <c r="D32" s="39"/>
      <c r="E32" s="63" t="s">
        <v>86</v>
      </c>
      <c r="F32" s="45">
        <v>1</v>
      </c>
      <c r="G32" s="45">
        <v>18.399999999999999</v>
      </c>
      <c r="H32" s="45">
        <v>0.3</v>
      </c>
      <c r="I32" s="37">
        <v>0.05</v>
      </c>
      <c r="J32" s="73">
        <f t="shared" ref="J32" si="66">F32*G32*H32</f>
        <v>5.52</v>
      </c>
      <c r="K32" s="74">
        <f t="shared" si="58"/>
        <v>0.27599999999999997</v>
      </c>
      <c r="L32" s="75">
        <f t="shared" ref="L32" si="67">F32*2*(G32+H32)*I32</f>
        <v>1.87</v>
      </c>
      <c r="M32" s="76">
        <f t="shared" ref="M32" si="68">J32</f>
        <v>5.52</v>
      </c>
      <c r="N32" s="76">
        <f t="shared" ref="N32" si="69">L32</f>
        <v>1.87</v>
      </c>
      <c r="O32" s="77">
        <f t="shared" ref="O32" si="70">J32</f>
        <v>5.52</v>
      </c>
      <c r="P32" s="77">
        <f t="shared" ref="P32" si="71">L32</f>
        <v>1.87</v>
      </c>
      <c r="Q32" s="78">
        <f t="shared" ref="Q32" si="72">J32</f>
        <v>5.52</v>
      </c>
      <c r="R32" s="79">
        <f t="shared" ref="R32" si="73">J32*0.05</f>
        <v>0.27599999999999997</v>
      </c>
      <c r="S32" s="106">
        <f t="shared" si="10"/>
        <v>5.52</v>
      </c>
      <c r="T32" s="62"/>
      <c r="U32" s="62"/>
    </row>
    <row r="33" spans="1:21" s="4" customFormat="1" ht="15" customHeight="1" x14ac:dyDescent="0.25">
      <c r="A33" s="60"/>
      <c r="B33" s="39"/>
      <c r="C33" s="36"/>
      <c r="D33" s="39"/>
      <c r="E33" s="63" t="s">
        <v>87</v>
      </c>
      <c r="F33" s="45">
        <v>1</v>
      </c>
      <c r="G33" s="45">
        <v>13.2</v>
      </c>
      <c r="H33" s="45">
        <v>0.25</v>
      </c>
      <c r="I33" s="37">
        <v>0.05</v>
      </c>
      <c r="J33" s="73">
        <f t="shared" ref="J33" si="74">F33*G33*H33</f>
        <v>3.3</v>
      </c>
      <c r="K33" s="74">
        <f t="shared" si="58"/>
        <v>0.16500000000000001</v>
      </c>
      <c r="L33" s="75">
        <f t="shared" ref="L33" si="75">F33*2*(G33+H33)*I33</f>
        <v>1.345</v>
      </c>
      <c r="M33" s="76">
        <f t="shared" ref="M33" si="76">J33</f>
        <v>3.3</v>
      </c>
      <c r="N33" s="76">
        <f t="shared" ref="N33" si="77">L33</f>
        <v>1.345</v>
      </c>
      <c r="O33" s="77">
        <f t="shared" ref="O33" si="78">J33</f>
        <v>3.3</v>
      </c>
      <c r="P33" s="77">
        <f t="shared" ref="P33" si="79">L33</f>
        <v>1.345</v>
      </c>
      <c r="Q33" s="78">
        <f t="shared" ref="Q33" si="80">J33</f>
        <v>3.3</v>
      </c>
      <c r="R33" s="79">
        <f t="shared" ref="R33" si="81">J33*0.05</f>
        <v>0.16500000000000001</v>
      </c>
      <c r="S33" s="106">
        <f t="shared" si="10"/>
        <v>3.3</v>
      </c>
      <c r="T33" s="62"/>
      <c r="U33" s="62"/>
    </row>
    <row r="34" spans="1:21" s="4" customFormat="1" ht="15" customHeight="1" x14ac:dyDescent="0.25">
      <c r="A34" s="60"/>
      <c r="B34" s="39"/>
      <c r="C34" s="36"/>
      <c r="D34" s="39"/>
      <c r="E34" s="63" t="s">
        <v>88</v>
      </c>
      <c r="F34" s="45">
        <v>1</v>
      </c>
      <c r="G34" s="45">
        <v>14.9</v>
      </c>
      <c r="H34" s="45">
        <v>0.3</v>
      </c>
      <c r="I34" s="37">
        <v>0.05</v>
      </c>
      <c r="J34" s="73">
        <f t="shared" ref="J34" si="82">F34*G34*H34</f>
        <v>4.47</v>
      </c>
      <c r="K34" s="74">
        <f t="shared" si="58"/>
        <v>0.2235</v>
      </c>
      <c r="L34" s="75">
        <f t="shared" ref="L34" si="83">F34*2*(G34+H34)*I34</f>
        <v>1.5200000000000002</v>
      </c>
      <c r="M34" s="76">
        <f t="shared" ref="M34" si="84">J34</f>
        <v>4.47</v>
      </c>
      <c r="N34" s="76">
        <f t="shared" ref="N34" si="85">L34</f>
        <v>1.5200000000000002</v>
      </c>
      <c r="O34" s="77">
        <f t="shared" ref="O34" si="86">J34</f>
        <v>4.47</v>
      </c>
      <c r="P34" s="77">
        <f t="shared" ref="P34" si="87">L34</f>
        <v>1.5200000000000002</v>
      </c>
      <c r="Q34" s="78">
        <f t="shared" ref="Q34" si="88">J34</f>
        <v>4.47</v>
      </c>
      <c r="R34" s="79">
        <f t="shared" ref="R34" si="89">J34*0.05</f>
        <v>0.2235</v>
      </c>
      <c r="S34" s="106">
        <f t="shared" si="10"/>
        <v>4.47</v>
      </c>
      <c r="T34" s="62"/>
      <c r="U34" s="62"/>
    </row>
    <row r="35" spans="1:21" s="4" customFormat="1" ht="15" customHeight="1" x14ac:dyDescent="0.25">
      <c r="A35" s="60"/>
      <c r="B35" s="39"/>
      <c r="C35" s="36"/>
      <c r="D35" s="39"/>
      <c r="E35" s="63" t="s">
        <v>154</v>
      </c>
      <c r="F35" s="45">
        <v>1</v>
      </c>
      <c r="G35" s="45">
        <v>21.3</v>
      </c>
      <c r="H35" s="45">
        <v>0.25</v>
      </c>
      <c r="I35" s="37">
        <v>0.05</v>
      </c>
      <c r="J35" s="73">
        <f t="shared" ref="J35" si="90">F35*G35*H35</f>
        <v>5.3250000000000002</v>
      </c>
      <c r="K35" s="74">
        <f t="shared" si="58"/>
        <v>0.26625000000000004</v>
      </c>
      <c r="L35" s="75">
        <f t="shared" ref="L35" si="91">F35*2*(G35+H35)*I35</f>
        <v>2.1550000000000002</v>
      </c>
      <c r="M35" s="76">
        <f t="shared" ref="M35" si="92">J35</f>
        <v>5.3250000000000002</v>
      </c>
      <c r="N35" s="76">
        <f t="shared" ref="N35" si="93">L35</f>
        <v>2.1550000000000002</v>
      </c>
      <c r="O35" s="77">
        <f t="shared" ref="O35" si="94">J35</f>
        <v>5.3250000000000002</v>
      </c>
      <c r="P35" s="77">
        <f t="shared" ref="P35" si="95">L35</f>
        <v>2.1550000000000002</v>
      </c>
      <c r="Q35" s="78">
        <f t="shared" ref="Q35" si="96">J35</f>
        <v>5.3250000000000002</v>
      </c>
      <c r="R35" s="79">
        <f t="shared" ref="R35" si="97">J35*0.05</f>
        <v>0.26625000000000004</v>
      </c>
      <c r="S35" s="106">
        <f t="shared" si="10"/>
        <v>5.3250000000000002</v>
      </c>
      <c r="T35" s="62"/>
      <c r="U35" s="62"/>
    </row>
    <row r="36" spans="1:21" s="4" customFormat="1" ht="15" customHeight="1" x14ac:dyDescent="0.25">
      <c r="A36" s="60"/>
      <c r="B36" s="39"/>
      <c r="C36" s="36"/>
      <c r="D36" s="39"/>
      <c r="E36" s="63" t="s">
        <v>155</v>
      </c>
      <c r="F36" s="45">
        <v>1</v>
      </c>
      <c r="G36" s="45">
        <v>3.5</v>
      </c>
      <c r="H36" s="45">
        <v>0.25</v>
      </c>
      <c r="I36" s="37">
        <v>0.05</v>
      </c>
      <c r="J36" s="73">
        <f t="shared" ref="J36" si="98">F36*G36*H36</f>
        <v>0.875</v>
      </c>
      <c r="K36" s="74">
        <f t="shared" si="58"/>
        <v>4.3750000000000004E-2</v>
      </c>
      <c r="L36" s="75">
        <f t="shared" ref="L36" si="99">F36*2*(G36+H36)*I36</f>
        <v>0.375</v>
      </c>
      <c r="M36" s="76">
        <f t="shared" ref="M36" si="100">J36</f>
        <v>0.875</v>
      </c>
      <c r="N36" s="76">
        <f t="shared" ref="N36" si="101">L36</f>
        <v>0.375</v>
      </c>
      <c r="O36" s="77">
        <f t="shared" ref="O36" si="102">J36</f>
        <v>0.875</v>
      </c>
      <c r="P36" s="77">
        <f t="shared" ref="P36" si="103">L36</f>
        <v>0.375</v>
      </c>
      <c r="Q36" s="78">
        <f t="shared" ref="Q36" si="104">J36</f>
        <v>0.875</v>
      </c>
      <c r="R36" s="79">
        <f t="shared" ref="R36" si="105">J36*0.05</f>
        <v>4.3750000000000004E-2</v>
      </c>
      <c r="S36" s="106">
        <f t="shared" si="10"/>
        <v>0.875</v>
      </c>
      <c r="T36" s="62"/>
      <c r="U36" s="62"/>
    </row>
    <row r="37" spans="1:21" s="4" customFormat="1" ht="15" customHeight="1" x14ac:dyDescent="0.25">
      <c r="A37" s="60"/>
      <c r="B37" s="39"/>
      <c r="C37" s="36"/>
      <c r="D37" s="39"/>
      <c r="E37" s="63" t="s">
        <v>156</v>
      </c>
      <c r="F37" s="45">
        <v>1</v>
      </c>
      <c r="G37" s="45">
        <v>1.5</v>
      </c>
      <c r="H37" s="45">
        <v>0.25</v>
      </c>
      <c r="I37" s="37">
        <v>0.05</v>
      </c>
      <c r="J37" s="73">
        <f t="shared" ref="J37" si="106">F37*G37*H37</f>
        <v>0.375</v>
      </c>
      <c r="K37" s="74">
        <f t="shared" si="58"/>
        <v>1.8750000000000003E-2</v>
      </c>
      <c r="L37" s="75">
        <f t="shared" ref="L37" si="107">F37*2*(G37+H37)*I37</f>
        <v>0.17500000000000002</v>
      </c>
      <c r="M37" s="76">
        <f t="shared" ref="M37" si="108">J37</f>
        <v>0.375</v>
      </c>
      <c r="N37" s="76">
        <f t="shared" ref="N37" si="109">L37</f>
        <v>0.17500000000000002</v>
      </c>
      <c r="O37" s="77">
        <f t="shared" ref="O37" si="110">J37</f>
        <v>0.375</v>
      </c>
      <c r="P37" s="77">
        <f t="shared" ref="P37" si="111">L37</f>
        <v>0.17500000000000002</v>
      </c>
      <c r="Q37" s="78">
        <f t="shared" ref="Q37" si="112">J37</f>
        <v>0.375</v>
      </c>
      <c r="R37" s="79">
        <f t="shared" ref="R37" si="113">J37*0.05</f>
        <v>1.8750000000000003E-2</v>
      </c>
      <c r="S37" s="106">
        <f t="shared" si="10"/>
        <v>0.375</v>
      </c>
      <c r="T37" s="62"/>
      <c r="U37" s="62"/>
    </row>
    <row r="38" spans="1:21" s="4" customFormat="1" ht="15" customHeight="1" x14ac:dyDescent="0.25">
      <c r="A38" s="60"/>
      <c r="B38" s="39"/>
      <c r="C38" s="36"/>
      <c r="D38" s="39"/>
      <c r="E38" s="63" t="s">
        <v>141</v>
      </c>
      <c r="F38" s="45">
        <v>1</v>
      </c>
      <c r="G38" s="45">
        <v>110.3</v>
      </c>
      <c r="H38" s="45">
        <v>0.2</v>
      </c>
      <c r="I38" s="37">
        <v>0.05</v>
      </c>
      <c r="J38" s="73">
        <f t="shared" ref="J38" si="114">F38*G38*H38</f>
        <v>22.060000000000002</v>
      </c>
      <c r="K38" s="74">
        <f t="shared" si="58"/>
        <v>1.1030000000000002</v>
      </c>
      <c r="L38" s="75">
        <f t="shared" ref="L38" si="115">F38*2*(G38+H38)*I38</f>
        <v>11.05</v>
      </c>
      <c r="M38" s="76">
        <f t="shared" ref="M38" si="116">J38</f>
        <v>22.060000000000002</v>
      </c>
      <c r="N38" s="76">
        <f t="shared" ref="N38" si="117">L38</f>
        <v>11.05</v>
      </c>
      <c r="O38" s="77">
        <f t="shared" ref="O38" si="118">J38</f>
        <v>22.060000000000002</v>
      </c>
      <c r="P38" s="77">
        <f t="shared" ref="P38" si="119">L38</f>
        <v>11.05</v>
      </c>
      <c r="Q38" s="78">
        <f t="shared" ref="Q38" si="120">J38</f>
        <v>22.060000000000002</v>
      </c>
      <c r="R38" s="79">
        <f t="shared" ref="R38" si="121">J38*0.05</f>
        <v>1.1030000000000002</v>
      </c>
      <c r="S38" s="106">
        <f t="shared" si="10"/>
        <v>22.060000000000002</v>
      </c>
      <c r="T38" s="62"/>
      <c r="U38" s="62"/>
    </row>
    <row r="39" spans="1:21" s="4" customFormat="1" ht="15" customHeight="1" x14ac:dyDescent="0.25">
      <c r="A39" s="60"/>
      <c r="B39" s="39"/>
      <c r="C39" s="36"/>
      <c r="D39" s="39"/>
      <c r="E39" s="63"/>
      <c r="F39" s="45"/>
      <c r="G39" s="45"/>
      <c r="H39" s="45"/>
      <c r="I39" s="37"/>
      <c r="J39" s="73"/>
      <c r="K39" s="74"/>
      <c r="L39" s="81"/>
      <c r="M39" s="82"/>
      <c r="N39" s="82"/>
      <c r="O39" s="87"/>
      <c r="P39" s="87"/>
      <c r="Q39" s="88"/>
      <c r="R39" s="86"/>
      <c r="S39" s="108"/>
      <c r="T39" s="62"/>
      <c r="U39" s="62"/>
    </row>
    <row r="40" spans="1:21" s="4" customFormat="1" ht="18" customHeight="1" x14ac:dyDescent="0.25">
      <c r="A40" s="60">
        <v>4</v>
      </c>
      <c r="B40" s="39" t="s">
        <v>159</v>
      </c>
      <c r="C40" s="36" t="s">
        <v>52</v>
      </c>
      <c r="D40" s="39" t="s">
        <v>160</v>
      </c>
      <c r="E40" s="63"/>
      <c r="F40" s="45">
        <v>1</v>
      </c>
      <c r="G40" s="268">
        <v>470</v>
      </c>
      <c r="H40" s="270"/>
      <c r="I40" s="37">
        <v>0.05</v>
      </c>
      <c r="J40" s="73">
        <f>F40*G40</f>
        <v>470</v>
      </c>
      <c r="K40" s="74">
        <f>J40*I40</f>
        <v>23.5</v>
      </c>
      <c r="L40" s="75"/>
      <c r="M40" s="76">
        <f t="shared" ref="M40" si="122">J40</f>
        <v>470</v>
      </c>
      <c r="N40" s="76">
        <f t="shared" ref="N40" si="123">L40</f>
        <v>0</v>
      </c>
      <c r="O40" s="77">
        <f t="shared" ref="O40" si="124">J40</f>
        <v>470</v>
      </c>
      <c r="P40" s="77">
        <f t="shared" ref="P40" si="125">L40</f>
        <v>0</v>
      </c>
      <c r="Q40" s="78">
        <f>J40</f>
        <v>470</v>
      </c>
      <c r="R40" s="79">
        <f>J40*0.05</f>
        <v>23.5</v>
      </c>
      <c r="S40" s="106">
        <f t="shared" si="10"/>
        <v>470</v>
      </c>
      <c r="T40" s="62"/>
      <c r="U40" s="62"/>
    </row>
    <row r="41" spans="1:21" s="4" customFormat="1" ht="15" customHeight="1" x14ac:dyDescent="0.25">
      <c r="A41" s="60"/>
      <c r="B41" s="39"/>
      <c r="C41" s="36"/>
      <c r="D41" s="39"/>
      <c r="E41" s="63"/>
      <c r="F41" s="45"/>
      <c r="G41" s="45"/>
      <c r="H41" s="45"/>
      <c r="I41" s="37"/>
      <c r="J41" s="73"/>
      <c r="K41" s="74"/>
      <c r="L41" s="75"/>
      <c r="M41" s="76"/>
      <c r="N41" s="76"/>
      <c r="O41" s="77"/>
      <c r="P41" s="77"/>
      <c r="Q41" s="78"/>
      <c r="R41" s="79"/>
      <c r="S41" s="106"/>
      <c r="T41" s="62"/>
      <c r="U41" s="62"/>
    </row>
    <row r="42" spans="1:21" s="4" customFormat="1" ht="22.5" customHeight="1" x14ac:dyDescent="0.25">
      <c r="A42" s="60">
        <v>5</v>
      </c>
      <c r="B42" s="39" t="s">
        <v>108</v>
      </c>
      <c r="C42" s="36" t="s">
        <v>52</v>
      </c>
      <c r="D42" s="61" t="s">
        <v>107</v>
      </c>
      <c r="E42" s="63" t="s">
        <v>161</v>
      </c>
      <c r="F42" s="45"/>
      <c r="G42" s="45"/>
      <c r="H42" s="45"/>
      <c r="I42" s="37"/>
      <c r="J42" s="73">
        <f>F42*G42</f>
        <v>0</v>
      </c>
      <c r="K42" s="74">
        <f>J42*I42</f>
        <v>0</v>
      </c>
      <c r="L42" s="75">
        <f>F42*140*I42</f>
        <v>0</v>
      </c>
      <c r="M42" s="76"/>
      <c r="N42" s="76"/>
      <c r="O42" s="77"/>
      <c r="P42" s="77"/>
      <c r="Q42" s="78"/>
      <c r="R42" s="79"/>
      <c r="S42" s="106"/>
      <c r="T42" s="62"/>
      <c r="U42" s="62"/>
    </row>
    <row r="43" spans="1:21" s="4" customFormat="1" ht="18" customHeight="1" x14ac:dyDescent="0.25">
      <c r="A43" s="60"/>
      <c r="B43" s="61"/>
      <c r="C43" s="60"/>
      <c r="D43" s="61"/>
      <c r="F43" s="45"/>
      <c r="G43" s="45"/>
      <c r="H43" s="45"/>
      <c r="I43" s="37"/>
      <c r="J43" s="73"/>
      <c r="K43" s="74"/>
      <c r="L43" s="81"/>
      <c r="M43" s="82"/>
      <c r="N43" s="82"/>
      <c r="O43" s="83"/>
      <c r="P43" s="83"/>
      <c r="Q43" s="84"/>
      <c r="R43" s="85"/>
      <c r="S43" s="107"/>
      <c r="T43" s="62"/>
      <c r="U43" s="62"/>
    </row>
    <row r="44" spans="1:21" s="6" customFormat="1" ht="18" customHeight="1" x14ac:dyDescent="0.25">
      <c r="A44" s="42"/>
      <c r="B44" s="42"/>
      <c r="C44" s="42"/>
      <c r="D44" s="42"/>
      <c r="E44" s="43"/>
      <c r="F44" s="45"/>
      <c r="G44" s="45"/>
      <c r="H44" s="46"/>
      <c r="I44" s="45"/>
      <c r="J44" s="46"/>
      <c r="K44" s="89"/>
      <c r="L44" s="90"/>
      <c r="M44" s="91"/>
      <c r="N44" s="91"/>
      <c r="O44" s="92"/>
      <c r="P44" s="92"/>
      <c r="Q44" s="93"/>
      <c r="R44" s="94"/>
      <c r="S44" s="109"/>
      <c r="T44" s="42"/>
      <c r="U44" s="42"/>
    </row>
    <row r="45" spans="1:21" s="6" customFormat="1" ht="26.25" customHeight="1" x14ac:dyDescent="0.25">
      <c r="A45" s="275" t="s">
        <v>158</v>
      </c>
      <c r="B45" s="276"/>
      <c r="C45" s="276"/>
      <c r="D45" s="276"/>
      <c r="E45" s="276"/>
      <c r="F45" s="276"/>
      <c r="G45" s="276"/>
      <c r="H45" s="276"/>
      <c r="I45" s="277"/>
      <c r="J45" s="53">
        <f>SUM(J28:J44)</f>
        <v>555.15</v>
      </c>
      <c r="K45" s="54">
        <f>SUM(K13:K44)</f>
        <v>44.067875000000001</v>
      </c>
      <c r="L45" s="54">
        <f t="shared" ref="L45:R45" si="126">SUM(L13:L44)</f>
        <v>60.489999999999995</v>
      </c>
      <c r="M45" s="54">
        <f t="shared" si="126"/>
        <v>881.35750000000007</v>
      </c>
      <c r="N45" s="54">
        <f>SUM(N13:N44)</f>
        <v>60.489999999999995</v>
      </c>
      <c r="O45" s="54">
        <f t="shared" si="126"/>
        <v>881.35750000000007</v>
      </c>
      <c r="P45" s="54">
        <f t="shared" si="126"/>
        <v>60.489999999999995</v>
      </c>
      <c r="Q45" s="54">
        <f t="shared" si="126"/>
        <v>881.35750000000007</v>
      </c>
      <c r="R45" s="54">
        <f t="shared" si="126"/>
        <v>44.067875000000001</v>
      </c>
      <c r="S45" s="54">
        <f>SUM(S13:S44)</f>
        <v>881.35750000000007</v>
      </c>
      <c r="T45" s="47"/>
      <c r="U45" s="56"/>
    </row>
    <row r="46" spans="1:21" s="6" customFormat="1" ht="12.75" x14ac:dyDescent="0.25"/>
    <row r="49" spans="4:7" x14ac:dyDescent="0.25">
      <c r="D49" t="s">
        <v>243</v>
      </c>
    </row>
    <row r="50" spans="4:7" x14ac:dyDescent="0.25">
      <c r="D50" t="s">
        <v>244</v>
      </c>
    </row>
    <row r="51" spans="4:7" x14ac:dyDescent="0.25">
      <c r="D51" t="s">
        <v>245</v>
      </c>
      <c r="E51">
        <v>479.8</v>
      </c>
      <c r="F51" t="e">
        <f>EARTHWORKS!#REF!</f>
        <v>#REF!</v>
      </c>
      <c r="G51" t="e">
        <f>E51*F51</f>
        <v>#REF!</v>
      </c>
    </row>
    <row r="52" spans="4:7" x14ac:dyDescent="0.25">
      <c r="D52" t="s">
        <v>7</v>
      </c>
      <c r="E52">
        <v>31.6</v>
      </c>
      <c r="F52">
        <f>EARTHWORKS!M13</f>
        <v>4.120000000000001</v>
      </c>
      <c r="G52">
        <f>E52*F52</f>
        <v>130.19200000000004</v>
      </c>
    </row>
    <row r="53" spans="4:7" x14ac:dyDescent="0.25">
      <c r="G53" s="147" t="e">
        <f>SUM(G51:G52)</f>
        <v>#REF!</v>
      </c>
    </row>
  </sheetData>
  <mergeCells count="3">
    <mergeCell ref="G40:H40"/>
    <mergeCell ref="B11:E11"/>
    <mergeCell ref="A45:I45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BA9E-3584-4BA0-95DE-D4BD6FA76010}">
  <sheetPr>
    <tabColor rgb="FFFF0000"/>
  </sheetPr>
  <dimension ref="A2:V142"/>
  <sheetViews>
    <sheetView topLeftCell="A84" zoomScale="85" zoomScaleNormal="85" workbookViewId="0">
      <selection activeCell="R134" sqref="R134"/>
    </sheetView>
  </sheetViews>
  <sheetFormatPr defaultRowHeight="15" x14ac:dyDescent="0.25"/>
  <cols>
    <col min="2" max="2" width="30.140625" customWidth="1"/>
    <col min="3" max="3" width="9.140625" customWidth="1"/>
    <col min="4" max="4" width="33.7109375" customWidth="1"/>
    <col min="5" max="5" width="22.5703125" customWidth="1"/>
    <col min="6" max="6" width="7.28515625" customWidth="1"/>
    <col min="11" max="11" width="11.7109375" customWidth="1"/>
    <col min="12" max="14" width="15.140625" customWidth="1"/>
    <col min="15" max="16" width="16.140625" customWidth="1"/>
    <col min="17" max="18" width="12.85546875" customWidth="1"/>
  </cols>
  <sheetData>
    <row r="2" spans="1:22" s="6" customFormat="1" ht="15.75" x14ac:dyDescent="0.25">
      <c r="A2" s="23" t="s">
        <v>8</v>
      </c>
      <c r="B2" s="2" t="s">
        <v>143</v>
      </c>
    </row>
    <row r="3" spans="1:22" s="6" customFormat="1" ht="15.75" x14ac:dyDescent="0.25">
      <c r="A3" s="24" t="s">
        <v>9</v>
      </c>
      <c r="B3" s="2" t="s">
        <v>142</v>
      </c>
    </row>
    <row r="4" spans="1:22" s="6" customFormat="1" ht="15.75" x14ac:dyDescent="0.25">
      <c r="A4" s="24" t="s">
        <v>10</v>
      </c>
      <c r="B4" s="2" t="s">
        <v>11</v>
      </c>
    </row>
    <row r="5" spans="1:22" s="6" customFormat="1" ht="15.75" x14ac:dyDescent="0.25">
      <c r="A5" s="24" t="s">
        <v>12</v>
      </c>
      <c r="B5" s="2" t="s">
        <v>13</v>
      </c>
    </row>
    <row r="6" spans="1:22" s="6" customFormat="1" ht="30" customHeight="1" x14ac:dyDescent="0.25">
      <c r="A6" s="25" t="s">
        <v>499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2" s="6" customFormat="1" ht="12.75" x14ac:dyDescent="0.25"/>
    <row r="8" spans="1:22" s="31" customFormat="1" ht="38.25" x14ac:dyDescent="0.25">
      <c r="A8" s="29" t="s">
        <v>36</v>
      </c>
      <c r="B8" s="29" t="s">
        <v>37</v>
      </c>
      <c r="C8" s="29" t="s">
        <v>38</v>
      </c>
      <c r="D8" s="29" t="s">
        <v>39</v>
      </c>
      <c r="E8" s="29" t="s">
        <v>16</v>
      </c>
      <c r="F8" s="29" t="s">
        <v>40</v>
      </c>
      <c r="G8" s="29" t="s">
        <v>41</v>
      </c>
      <c r="H8" s="29" t="s">
        <v>42</v>
      </c>
      <c r="I8" s="29" t="s">
        <v>43</v>
      </c>
      <c r="J8" s="30" t="s">
        <v>44</v>
      </c>
      <c r="K8" s="30" t="s">
        <v>67</v>
      </c>
      <c r="L8" s="30" t="s">
        <v>68</v>
      </c>
      <c r="M8" s="30" t="s">
        <v>69</v>
      </c>
      <c r="N8" s="30" t="s">
        <v>70</v>
      </c>
      <c r="O8" s="64" t="s">
        <v>71</v>
      </c>
      <c r="P8" s="64" t="s">
        <v>72</v>
      </c>
      <c r="Q8" s="30" t="s">
        <v>73</v>
      </c>
      <c r="R8" s="30" t="s">
        <v>105</v>
      </c>
      <c r="S8" s="29" t="s">
        <v>46</v>
      </c>
      <c r="T8" s="29" t="s">
        <v>47</v>
      </c>
    </row>
    <row r="9" spans="1:22" s="31" customFormat="1" ht="20.25" customHeight="1" x14ac:dyDescent="0.25">
      <c r="A9" s="32"/>
      <c r="B9" s="32"/>
      <c r="C9" s="32"/>
      <c r="D9" s="32"/>
      <c r="E9" s="32"/>
      <c r="F9" s="32"/>
      <c r="G9" s="29" t="s">
        <v>48</v>
      </c>
      <c r="H9" s="29" t="s">
        <v>48</v>
      </c>
      <c r="I9" s="29" t="s">
        <v>48</v>
      </c>
      <c r="J9" s="29" t="s">
        <v>49</v>
      </c>
      <c r="K9" s="29" t="s">
        <v>50</v>
      </c>
      <c r="L9" s="29" t="s">
        <v>49</v>
      </c>
      <c r="M9" s="29" t="s">
        <v>49</v>
      </c>
      <c r="N9" s="29" t="s">
        <v>49</v>
      </c>
      <c r="O9" s="65" t="s">
        <v>49</v>
      </c>
      <c r="P9" s="65" t="s">
        <v>49</v>
      </c>
      <c r="Q9" s="29" t="s">
        <v>49</v>
      </c>
      <c r="R9" s="29" t="s">
        <v>50</v>
      </c>
      <c r="S9" s="32"/>
      <c r="T9" s="32"/>
    </row>
    <row r="10" spans="1:22" s="6" customFormat="1" ht="3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66"/>
      <c r="P10" s="66"/>
      <c r="Q10" s="67"/>
      <c r="R10" s="68"/>
      <c r="S10" s="33"/>
      <c r="T10" s="33"/>
    </row>
    <row r="11" spans="1:22" s="4" customFormat="1" ht="20.25" customHeight="1" x14ac:dyDescent="0.25">
      <c r="A11" s="69" t="s">
        <v>74</v>
      </c>
      <c r="B11" s="272" t="s">
        <v>75</v>
      </c>
      <c r="C11" s="273"/>
      <c r="D11" s="273"/>
      <c r="E11" s="274"/>
      <c r="F11" s="70"/>
      <c r="G11" s="70"/>
      <c r="H11" s="70"/>
      <c r="I11" s="70"/>
      <c r="J11" s="71"/>
      <c r="K11" s="71">
        <f t="shared" ref="K11:Q11" si="0">K124</f>
        <v>2.1599999999999997</v>
      </c>
      <c r="L11" s="71">
        <f t="shared" si="0"/>
        <v>6.48</v>
      </c>
      <c r="M11" s="71">
        <f>M124</f>
        <v>7.1999999999999993</v>
      </c>
      <c r="N11" s="71">
        <f t="shared" si="0"/>
        <v>6.48</v>
      </c>
      <c r="O11" s="71">
        <f t="shared" si="0"/>
        <v>7.1999999999999993</v>
      </c>
      <c r="P11" s="71">
        <f t="shared" si="0"/>
        <v>6.48</v>
      </c>
      <c r="Q11" s="71">
        <f t="shared" si="0"/>
        <v>7.1999999999999993</v>
      </c>
      <c r="R11" s="71">
        <f>R124</f>
        <v>0.36</v>
      </c>
      <c r="S11" s="36"/>
      <c r="T11" s="36"/>
    </row>
    <row r="12" spans="1:22" s="4" customFormat="1" ht="12.75" customHeight="1" x14ac:dyDescent="0.25">
      <c r="A12" s="34"/>
      <c r="B12" s="35"/>
      <c r="C12" s="35"/>
      <c r="D12" s="36"/>
      <c r="E12" s="72"/>
      <c r="F12" s="37"/>
      <c r="G12" s="37"/>
      <c r="H12" s="37"/>
      <c r="I12" s="37"/>
      <c r="J12" s="73"/>
      <c r="K12" s="74"/>
      <c r="L12" s="75"/>
      <c r="M12" s="76"/>
      <c r="N12" s="76"/>
      <c r="O12" s="77"/>
      <c r="P12" s="77"/>
      <c r="Q12" s="78"/>
      <c r="R12" s="79"/>
      <c r="S12" s="36"/>
      <c r="T12" s="36"/>
    </row>
    <row r="13" spans="1:22" s="4" customFormat="1" ht="18" customHeight="1" x14ac:dyDescent="0.25">
      <c r="A13" s="36">
        <v>1</v>
      </c>
      <c r="B13" s="39" t="s">
        <v>76</v>
      </c>
      <c r="C13" s="36" t="s">
        <v>52</v>
      </c>
      <c r="D13" s="39" t="s">
        <v>57</v>
      </c>
      <c r="E13" s="36"/>
      <c r="F13" s="37"/>
      <c r="G13" s="37"/>
      <c r="H13" s="37"/>
      <c r="I13" s="37"/>
      <c r="J13" s="73"/>
      <c r="K13" s="74"/>
      <c r="L13" s="75"/>
      <c r="M13" s="76"/>
      <c r="N13" s="76"/>
      <c r="O13" s="77"/>
      <c r="P13" s="77"/>
      <c r="Q13" s="78"/>
      <c r="R13" s="79"/>
      <c r="S13" s="36"/>
      <c r="T13" s="36"/>
    </row>
    <row r="14" spans="1:22" s="4" customFormat="1" ht="18" customHeight="1" x14ac:dyDescent="0.25">
      <c r="A14" s="34"/>
      <c r="B14" s="35"/>
      <c r="C14" s="35"/>
      <c r="D14" s="36"/>
      <c r="E14" s="36" t="s">
        <v>58</v>
      </c>
      <c r="F14" s="37">
        <v>4</v>
      </c>
      <c r="G14" s="37">
        <v>1.2</v>
      </c>
      <c r="H14" s="37">
        <v>1.5</v>
      </c>
      <c r="I14" s="37">
        <v>0.3</v>
      </c>
      <c r="J14" s="73">
        <f>F14*G14*H14</f>
        <v>7.1999999999999993</v>
      </c>
      <c r="K14" s="74">
        <f>J14*I14</f>
        <v>2.1599999999999997</v>
      </c>
      <c r="L14" s="75">
        <f>F14*2*(G14+H14)*I14</f>
        <v>6.48</v>
      </c>
      <c r="M14" s="76">
        <f>J14</f>
        <v>7.1999999999999993</v>
      </c>
      <c r="N14" s="76">
        <f>L14</f>
        <v>6.48</v>
      </c>
      <c r="O14" s="77">
        <f>J14</f>
        <v>7.1999999999999993</v>
      </c>
      <c r="P14" s="77">
        <f>L14</f>
        <v>6.48</v>
      </c>
      <c r="Q14" s="78">
        <f>J14</f>
        <v>7.1999999999999993</v>
      </c>
      <c r="R14" s="79">
        <f>J14*0.05</f>
        <v>0.36</v>
      </c>
      <c r="S14" s="36"/>
      <c r="T14" s="36"/>
      <c r="V14" s="80"/>
    </row>
    <row r="15" spans="1:22" s="4" customFormat="1" ht="18" customHeight="1" x14ac:dyDescent="0.25">
      <c r="A15" s="34"/>
      <c r="B15" s="35"/>
      <c r="C15" s="35"/>
      <c r="D15" s="36"/>
      <c r="E15" s="36"/>
      <c r="F15" s="37"/>
      <c r="G15" s="37"/>
      <c r="H15" s="37"/>
      <c r="I15" s="37"/>
      <c r="J15" s="73"/>
      <c r="K15" s="74"/>
      <c r="L15" s="75"/>
      <c r="M15" s="76"/>
      <c r="N15" s="76"/>
      <c r="O15" s="77"/>
      <c r="P15" s="77"/>
      <c r="Q15" s="78"/>
      <c r="R15" s="79"/>
      <c r="S15" s="36"/>
      <c r="T15" s="36"/>
      <c r="V15" s="80"/>
    </row>
    <row r="16" spans="1:22" s="4" customFormat="1" ht="18" customHeight="1" x14ac:dyDescent="0.25">
      <c r="A16" s="34"/>
      <c r="B16" s="39" t="s">
        <v>506</v>
      </c>
      <c r="C16" s="36" t="s">
        <v>52</v>
      </c>
      <c r="D16" s="36" t="s">
        <v>325</v>
      </c>
      <c r="E16" s="36"/>
      <c r="F16" s="37"/>
      <c r="G16" s="37"/>
      <c r="H16" s="37"/>
      <c r="I16" s="37"/>
      <c r="J16" s="73"/>
      <c r="K16" s="74"/>
      <c r="L16" s="75"/>
      <c r="M16" s="76"/>
      <c r="N16" s="76"/>
      <c r="O16" s="77"/>
      <c r="P16" s="77"/>
      <c r="Q16" s="78"/>
      <c r="R16" s="79"/>
      <c r="S16" s="36"/>
      <c r="T16" s="36"/>
      <c r="V16" s="80"/>
    </row>
    <row r="17" spans="1:22" s="4" customFormat="1" ht="18" customHeight="1" x14ac:dyDescent="0.25">
      <c r="A17" s="34">
        <v>2</v>
      </c>
      <c r="B17" s="39"/>
      <c r="C17" s="36"/>
      <c r="D17" s="39" t="s">
        <v>507</v>
      </c>
      <c r="E17" s="36" t="s">
        <v>467</v>
      </c>
      <c r="F17" s="37">
        <v>1</v>
      </c>
      <c r="G17" s="37"/>
      <c r="H17" s="37"/>
      <c r="I17" s="37"/>
      <c r="J17" s="73">
        <v>6.75</v>
      </c>
      <c r="K17" s="74"/>
      <c r="L17" s="75"/>
      <c r="M17" s="76"/>
      <c r="N17" s="76"/>
      <c r="O17" s="77"/>
      <c r="P17" s="77"/>
      <c r="Q17" s="78"/>
      <c r="R17" s="79"/>
      <c r="S17" s="36"/>
      <c r="T17" s="36"/>
    </row>
    <row r="18" spans="1:22" s="4" customFormat="1" ht="18" customHeight="1" x14ac:dyDescent="0.25">
      <c r="A18" s="34"/>
      <c r="B18" s="35"/>
      <c r="C18" s="35"/>
      <c r="D18" s="36"/>
      <c r="E18" s="36" t="s">
        <v>508</v>
      </c>
      <c r="F18" s="37">
        <v>1</v>
      </c>
      <c r="G18" s="37">
        <v>6</v>
      </c>
      <c r="H18" s="37"/>
      <c r="I18" s="37">
        <v>2.25</v>
      </c>
      <c r="J18" s="73">
        <f>PRODUCT(F18:I18)</f>
        <v>13.5</v>
      </c>
      <c r="K18" s="74"/>
      <c r="L18" s="75"/>
      <c r="M18" s="76"/>
      <c r="N18" s="76"/>
      <c r="O18" s="77"/>
      <c r="P18" s="77"/>
      <c r="Q18" s="78"/>
      <c r="R18" s="79"/>
      <c r="S18" s="36"/>
      <c r="T18" s="36"/>
      <c r="V18" s="80"/>
    </row>
    <row r="19" spans="1:22" s="4" customFormat="1" ht="18" customHeight="1" x14ac:dyDescent="0.25">
      <c r="A19" s="34"/>
      <c r="B19" s="35"/>
      <c r="C19" s="35"/>
      <c r="D19" s="36"/>
      <c r="E19" s="36" t="s">
        <v>509</v>
      </c>
      <c r="F19" s="37">
        <v>1</v>
      </c>
      <c r="G19" s="37">
        <v>1.68</v>
      </c>
      <c r="H19" s="37"/>
      <c r="I19" s="37">
        <v>0.6</v>
      </c>
      <c r="J19" s="73">
        <f t="shared" ref="J19:J20" si="1">PRODUCT(F19:I19)</f>
        <v>1.008</v>
      </c>
      <c r="K19" s="74"/>
      <c r="L19" s="75"/>
      <c r="M19" s="76"/>
      <c r="N19" s="76"/>
      <c r="O19" s="77"/>
      <c r="P19" s="77"/>
      <c r="Q19" s="78"/>
      <c r="R19" s="79"/>
      <c r="S19" s="36"/>
      <c r="T19" s="36"/>
    </row>
    <row r="20" spans="1:22" s="4" customFormat="1" ht="18" customHeight="1" x14ac:dyDescent="0.25">
      <c r="A20" s="34"/>
      <c r="B20" s="35"/>
      <c r="C20" s="35"/>
      <c r="D20" s="36"/>
      <c r="E20" s="36" t="s">
        <v>510</v>
      </c>
      <c r="F20" s="37">
        <v>1</v>
      </c>
      <c r="G20" s="37">
        <v>2.7</v>
      </c>
      <c r="H20" s="37"/>
      <c r="I20" s="37">
        <v>0.6</v>
      </c>
      <c r="J20" s="73">
        <f t="shared" si="1"/>
        <v>1.62</v>
      </c>
      <c r="K20" s="74"/>
      <c r="L20" s="75"/>
      <c r="M20" s="76"/>
      <c r="N20" s="76"/>
      <c r="O20" s="77"/>
      <c r="P20" s="77"/>
      <c r="Q20" s="78"/>
      <c r="R20" s="79"/>
      <c r="S20" s="36"/>
      <c r="T20" s="36"/>
    </row>
    <row r="21" spans="1:22" s="4" customFormat="1" ht="18" customHeight="1" x14ac:dyDescent="0.25">
      <c r="A21" s="34"/>
      <c r="B21" s="35"/>
      <c r="C21" s="35"/>
      <c r="D21" s="36"/>
      <c r="E21" s="36" t="s">
        <v>511</v>
      </c>
      <c r="F21" s="37">
        <v>1</v>
      </c>
      <c r="G21" s="37">
        <f>0.75+0.3+0.3+0.2</f>
        <v>1.55</v>
      </c>
      <c r="H21" s="37"/>
      <c r="I21" s="37"/>
      <c r="J21" s="73"/>
      <c r="K21" s="74"/>
      <c r="L21" s="75"/>
      <c r="M21" s="76"/>
      <c r="N21" s="76"/>
      <c r="O21" s="77"/>
      <c r="P21" s="77"/>
      <c r="Q21" s="78"/>
      <c r="R21" s="79"/>
      <c r="S21" s="36"/>
      <c r="T21" s="36"/>
    </row>
    <row r="22" spans="1:22" s="4" customFormat="1" ht="18" customHeight="1" x14ac:dyDescent="0.25">
      <c r="A22" s="34"/>
      <c r="B22" s="35"/>
      <c r="C22" s="35"/>
      <c r="D22" s="36"/>
      <c r="E22" s="36"/>
      <c r="F22" s="45"/>
      <c r="G22" s="45"/>
      <c r="H22" s="45"/>
      <c r="I22" s="37"/>
      <c r="J22" s="73"/>
      <c r="K22" s="74"/>
      <c r="L22" s="75"/>
      <c r="M22" s="76"/>
      <c r="N22" s="76"/>
      <c r="O22" s="77"/>
      <c r="P22" s="77"/>
      <c r="Q22" s="78"/>
      <c r="R22" s="79"/>
      <c r="S22" s="36"/>
      <c r="T22" s="36"/>
    </row>
    <row r="23" spans="1:22" s="4" customFormat="1" ht="18" customHeight="1" x14ac:dyDescent="0.25">
      <c r="A23" s="34"/>
      <c r="B23" s="35"/>
      <c r="C23" s="35"/>
      <c r="D23" s="39" t="s">
        <v>512</v>
      </c>
      <c r="E23" s="36" t="s">
        <v>467</v>
      </c>
      <c r="F23" s="37">
        <v>1</v>
      </c>
      <c r="G23" s="37"/>
      <c r="H23" s="37"/>
      <c r="I23" s="37"/>
      <c r="J23" s="73">
        <v>6.2</v>
      </c>
      <c r="K23" s="74"/>
      <c r="L23" s="75"/>
      <c r="M23" s="76"/>
      <c r="N23" s="76"/>
      <c r="O23" s="77"/>
      <c r="P23" s="77"/>
      <c r="Q23" s="78"/>
      <c r="R23" s="79"/>
      <c r="S23" s="36"/>
      <c r="T23" s="36"/>
    </row>
    <row r="24" spans="1:22" s="4" customFormat="1" ht="18" customHeight="1" x14ac:dyDescent="0.25">
      <c r="A24" s="34"/>
      <c r="B24" s="35"/>
      <c r="C24" s="35"/>
      <c r="D24" s="36"/>
      <c r="E24" s="36" t="s">
        <v>508</v>
      </c>
      <c r="F24" s="37">
        <v>1</v>
      </c>
      <c r="G24" s="37">
        <v>3.58</v>
      </c>
      <c r="H24" s="37"/>
      <c r="I24" s="37">
        <v>2.25</v>
      </c>
      <c r="J24" s="73">
        <f>PRODUCT(F24:I24)</f>
        <v>8.0549999999999997</v>
      </c>
      <c r="K24" s="74"/>
      <c r="L24" s="75"/>
      <c r="M24" s="76"/>
      <c r="N24" s="76"/>
      <c r="O24" s="77"/>
      <c r="P24" s="77"/>
      <c r="Q24" s="78"/>
      <c r="R24" s="79"/>
      <c r="S24" s="36"/>
      <c r="T24" s="36"/>
    </row>
    <row r="25" spans="1:22" s="4" customFormat="1" ht="18" customHeight="1" x14ac:dyDescent="0.25">
      <c r="A25" s="34"/>
      <c r="B25" s="35"/>
      <c r="C25" s="35"/>
      <c r="D25" s="36"/>
      <c r="E25" s="36" t="s">
        <v>509</v>
      </c>
      <c r="F25" s="37">
        <v>1</v>
      </c>
      <c r="G25" s="37">
        <v>4.0999999999999996</v>
      </c>
      <c r="H25" s="37"/>
      <c r="I25" s="37">
        <v>0.6</v>
      </c>
      <c r="J25" s="73">
        <f t="shared" ref="J25:J26" si="2">PRODUCT(F25:I25)</f>
        <v>2.4599999999999995</v>
      </c>
      <c r="K25" s="74"/>
      <c r="L25" s="75"/>
      <c r="M25" s="76"/>
      <c r="N25" s="76"/>
      <c r="O25" s="77"/>
      <c r="P25" s="77"/>
      <c r="Q25" s="78"/>
      <c r="R25" s="79"/>
      <c r="S25" s="36"/>
      <c r="T25" s="36"/>
    </row>
    <row r="26" spans="1:22" s="4" customFormat="1" ht="18" customHeight="1" x14ac:dyDescent="0.25">
      <c r="A26" s="34"/>
      <c r="B26" s="35"/>
      <c r="C26" s="35"/>
      <c r="D26" s="36"/>
      <c r="E26" s="36" t="s">
        <v>510</v>
      </c>
      <c r="F26" s="37">
        <v>1</v>
      </c>
      <c r="G26" s="37">
        <v>2.87</v>
      </c>
      <c r="H26" s="37"/>
      <c r="I26" s="37">
        <v>0.6</v>
      </c>
      <c r="J26" s="73">
        <f t="shared" si="2"/>
        <v>1.722</v>
      </c>
      <c r="K26" s="74"/>
      <c r="L26" s="75"/>
      <c r="M26" s="76"/>
      <c r="N26" s="76"/>
      <c r="O26" s="77"/>
      <c r="P26" s="77"/>
      <c r="Q26" s="78"/>
      <c r="R26" s="79"/>
      <c r="S26" s="36"/>
      <c r="T26" s="36"/>
    </row>
    <row r="27" spans="1:22" s="4" customFormat="1" ht="18" customHeight="1" x14ac:dyDescent="0.25">
      <c r="A27" s="34"/>
      <c r="B27" s="35"/>
      <c r="C27" s="35"/>
      <c r="D27" s="36"/>
      <c r="E27" s="36" t="s">
        <v>511</v>
      </c>
      <c r="F27" s="37">
        <v>1</v>
      </c>
      <c r="G27" s="37">
        <f>1.55+2.21+0.71</f>
        <v>4.47</v>
      </c>
      <c r="H27" s="37"/>
      <c r="I27" s="37"/>
      <c r="J27" s="73"/>
      <c r="K27" s="74"/>
      <c r="L27" s="75"/>
      <c r="M27" s="76"/>
      <c r="N27" s="76"/>
      <c r="O27" s="77"/>
      <c r="P27" s="77"/>
      <c r="Q27" s="78"/>
      <c r="R27" s="79"/>
      <c r="S27" s="36"/>
      <c r="T27" s="36"/>
    </row>
    <row r="28" spans="1:22" s="4" customFormat="1" ht="18" customHeight="1" x14ac:dyDescent="0.25">
      <c r="A28" s="34"/>
      <c r="B28" s="35"/>
      <c r="C28" s="35"/>
      <c r="D28" s="36"/>
      <c r="E28" s="36"/>
      <c r="F28" s="45"/>
      <c r="G28" s="45"/>
      <c r="H28" s="45"/>
      <c r="I28" s="37"/>
      <c r="J28" s="73"/>
      <c r="K28" s="74"/>
      <c r="L28" s="75"/>
      <c r="M28" s="76"/>
      <c r="N28" s="76"/>
      <c r="O28" s="77"/>
      <c r="P28" s="77"/>
      <c r="Q28" s="78"/>
      <c r="R28" s="79"/>
      <c r="S28" s="36"/>
      <c r="T28" s="36"/>
    </row>
    <row r="29" spans="1:22" s="4" customFormat="1" ht="18" customHeight="1" x14ac:dyDescent="0.25">
      <c r="A29" s="60"/>
      <c r="B29" s="61"/>
      <c r="C29" s="60"/>
      <c r="D29" s="39" t="s">
        <v>513</v>
      </c>
      <c r="E29" s="36" t="s">
        <v>467</v>
      </c>
      <c r="F29" s="37">
        <v>1</v>
      </c>
      <c r="G29" s="37"/>
      <c r="H29" s="37"/>
      <c r="I29" s="37"/>
      <c r="J29" s="73">
        <v>4.7</v>
      </c>
      <c r="K29" s="74"/>
      <c r="L29" s="81"/>
      <c r="M29" s="82"/>
      <c r="N29" s="82"/>
      <c r="O29" s="83"/>
      <c r="P29" s="83"/>
      <c r="Q29" s="84"/>
      <c r="R29" s="85"/>
      <c r="S29" s="62"/>
      <c r="T29" s="62"/>
    </row>
    <row r="30" spans="1:22" s="4" customFormat="1" ht="15" customHeight="1" x14ac:dyDescent="0.25">
      <c r="A30" s="36"/>
      <c r="B30" s="39"/>
      <c r="C30" s="36"/>
      <c r="D30" s="39"/>
      <c r="E30" s="36" t="s">
        <v>508</v>
      </c>
      <c r="F30" s="37">
        <v>1</v>
      </c>
      <c r="G30" s="37">
        <v>4.24</v>
      </c>
      <c r="H30" s="37"/>
      <c r="I30" s="37">
        <v>2.25</v>
      </c>
      <c r="J30" s="73">
        <f>PRODUCT(F30:I30)</f>
        <v>9.5400000000000009</v>
      </c>
      <c r="K30" s="74"/>
      <c r="L30" s="75"/>
      <c r="M30" s="76"/>
      <c r="N30" s="76"/>
      <c r="O30" s="77"/>
      <c r="P30" s="77"/>
      <c r="Q30" s="78"/>
      <c r="R30" s="79"/>
      <c r="S30" s="62"/>
      <c r="T30" s="62"/>
    </row>
    <row r="31" spans="1:22" s="4" customFormat="1" ht="15" customHeight="1" x14ac:dyDescent="0.25">
      <c r="A31" s="60"/>
      <c r="B31" s="39"/>
      <c r="C31" s="36"/>
      <c r="D31" s="39"/>
      <c r="E31" s="36" t="s">
        <v>509</v>
      </c>
      <c r="F31" s="37">
        <v>1</v>
      </c>
      <c r="G31" s="37">
        <v>1.86</v>
      </c>
      <c r="H31" s="37"/>
      <c r="I31" s="37">
        <v>0.6</v>
      </c>
      <c r="J31" s="73">
        <f t="shared" ref="J31:J32" si="3">PRODUCT(F31:I31)</f>
        <v>1.1160000000000001</v>
      </c>
      <c r="K31" s="74"/>
      <c r="L31" s="75"/>
      <c r="M31" s="76"/>
      <c r="N31" s="76"/>
      <c r="O31" s="77"/>
      <c r="P31" s="77"/>
      <c r="Q31" s="78"/>
      <c r="R31" s="79"/>
      <c r="S31" s="62"/>
      <c r="T31" s="62"/>
    </row>
    <row r="32" spans="1:22" s="4" customFormat="1" ht="15" customHeight="1" x14ac:dyDescent="0.25">
      <c r="A32" s="36"/>
      <c r="B32" s="39"/>
      <c r="C32" s="36"/>
      <c r="D32" s="39"/>
      <c r="E32" s="36" t="s">
        <v>510</v>
      </c>
      <c r="F32" s="37">
        <v>1</v>
      </c>
      <c r="G32" s="37">
        <v>1.64</v>
      </c>
      <c r="H32" s="37"/>
      <c r="I32" s="37">
        <v>0.6</v>
      </c>
      <c r="J32" s="73">
        <f t="shared" si="3"/>
        <v>0.98399999999999987</v>
      </c>
      <c r="K32" s="74"/>
      <c r="L32" s="75"/>
      <c r="M32" s="76"/>
      <c r="N32" s="76"/>
      <c r="O32" s="77"/>
      <c r="P32" s="77"/>
      <c r="Q32" s="78"/>
      <c r="R32" s="79"/>
      <c r="S32" s="62"/>
      <c r="T32" s="62"/>
    </row>
    <row r="33" spans="1:20" s="4" customFormat="1" ht="15" customHeight="1" x14ac:dyDescent="0.25">
      <c r="A33" s="60"/>
      <c r="B33" s="39"/>
      <c r="C33" s="36"/>
      <c r="D33" s="39"/>
      <c r="E33" s="36" t="s">
        <v>511</v>
      </c>
      <c r="F33" s="37">
        <v>1</v>
      </c>
      <c r="G33" s="37">
        <v>0.8</v>
      </c>
      <c r="H33" s="37"/>
      <c r="I33" s="37"/>
      <c r="J33" s="73"/>
      <c r="K33" s="74"/>
      <c r="L33" s="75"/>
      <c r="M33" s="76"/>
      <c r="N33" s="76"/>
      <c r="O33" s="77"/>
      <c r="P33" s="77"/>
      <c r="Q33" s="78"/>
      <c r="R33" s="79"/>
      <c r="S33" s="62"/>
      <c r="T33" s="62"/>
    </row>
    <row r="34" spans="1:20" s="4" customFormat="1" ht="15" customHeight="1" x14ac:dyDescent="0.25">
      <c r="A34" s="60"/>
      <c r="B34" s="39"/>
      <c r="C34" s="36"/>
      <c r="D34" s="39"/>
      <c r="E34" s="63"/>
      <c r="F34" s="45"/>
      <c r="G34" s="45"/>
      <c r="H34" s="45"/>
      <c r="I34" s="37"/>
      <c r="J34" s="73"/>
      <c r="K34" s="74"/>
      <c r="L34" s="75"/>
      <c r="M34" s="76"/>
      <c r="N34" s="76"/>
      <c r="O34" s="77"/>
      <c r="P34" s="77"/>
      <c r="Q34" s="78"/>
      <c r="R34" s="79"/>
      <c r="S34" s="62"/>
      <c r="T34" s="62"/>
    </row>
    <row r="35" spans="1:20" s="4" customFormat="1" ht="15" customHeight="1" x14ac:dyDescent="0.25">
      <c r="A35" s="60"/>
      <c r="B35" s="39"/>
      <c r="C35" s="36"/>
      <c r="D35" s="39" t="s">
        <v>514</v>
      </c>
      <c r="E35" s="36" t="s">
        <v>467</v>
      </c>
      <c r="F35" s="37">
        <v>1</v>
      </c>
      <c r="G35" s="37"/>
      <c r="H35" s="37"/>
      <c r="I35" s="37"/>
      <c r="J35" s="73">
        <v>7.6150000000000002</v>
      </c>
      <c r="K35" s="74"/>
      <c r="L35" s="75"/>
      <c r="M35" s="76"/>
      <c r="N35" s="76"/>
      <c r="O35" s="77"/>
      <c r="P35" s="77"/>
      <c r="Q35" s="78"/>
      <c r="R35" s="79"/>
      <c r="S35" s="62"/>
      <c r="T35" s="62"/>
    </row>
    <row r="36" spans="1:20" s="4" customFormat="1" ht="15" customHeight="1" x14ac:dyDescent="0.25">
      <c r="A36" s="60"/>
      <c r="B36" s="39"/>
      <c r="C36" s="36"/>
      <c r="D36" s="39"/>
      <c r="E36" s="36" t="s">
        <v>508</v>
      </c>
      <c r="F36" s="37">
        <v>1</v>
      </c>
      <c r="G36" s="37"/>
      <c r="H36" s="37"/>
      <c r="I36" s="37"/>
      <c r="J36" s="73"/>
      <c r="K36" s="74"/>
      <c r="L36" s="75"/>
      <c r="M36" s="76"/>
      <c r="N36" s="76"/>
      <c r="O36" s="77"/>
      <c r="P36" s="77"/>
      <c r="Q36" s="78"/>
      <c r="R36" s="79"/>
      <c r="S36" s="62"/>
      <c r="T36" s="62"/>
    </row>
    <row r="37" spans="1:20" s="4" customFormat="1" ht="15" customHeight="1" x14ac:dyDescent="0.25">
      <c r="A37" s="60"/>
      <c r="B37" s="39"/>
      <c r="C37" s="36"/>
      <c r="D37" s="39"/>
      <c r="E37" s="36" t="s">
        <v>515</v>
      </c>
      <c r="F37" s="37">
        <v>1</v>
      </c>
      <c r="G37" s="37"/>
      <c r="H37" s="37"/>
      <c r="I37" s="37">
        <v>0.6</v>
      </c>
      <c r="J37" s="73">
        <f t="shared" ref="J37" si="4">PRODUCT(F37:I37)</f>
        <v>0.6</v>
      </c>
      <c r="K37" s="74"/>
      <c r="L37" s="75"/>
      <c r="M37" s="76"/>
      <c r="N37" s="76"/>
      <c r="O37" s="77"/>
      <c r="P37" s="77"/>
      <c r="Q37" s="78"/>
      <c r="R37" s="79"/>
      <c r="S37" s="62"/>
      <c r="T37" s="62"/>
    </row>
    <row r="38" spans="1:20" s="4" customFormat="1" ht="15" customHeight="1" x14ac:dyDescent="0.25">
      <c r="A38" s="60"/>
      <c r="B38" s="39"/>
      <c r="C38" s="36"/>
      <c r="D38" s="39"/>
      <c r="E38" s="36" t="s">
        <v>510</v>
      </c>
      <c r="F38" s="37">
        <v>1</v>
      </c>
      <c r="G38" s="37"/>
      <c r="H38" s="37"/>
      <c r="I38" s="37"/>
      <c r="J38" s="73"/>
      <c r="K38" s="74"/>
      <c r="L38" s="75"/>
      <c r="M38" s="76"/>
      <c r="N38" s="76"/>
      <c r="O38" s="77"/>
      <c r="P38" s="77"/>
      <c r="Q38" s="78"/>
      <c r="R38" s="79"/>
      <c r="S38" s="62"/>
      <c r="T38" s="62"/>
    </row>
    <row r="39" spans="1:20" s="4" customFormat="1" ht="15" customHeight="1" x14ac:dyDescent="0.25">
      <c r="A39" s="60"/>
      <c r="B39" s="39"/>
      <c r="C39" s="36"/>
      <c r="D39" s="39"/>
      <c r="E39" s="36" t="s">
        <v>511</v>
      </c>
      <c r="F39" s="37">
        <v>1</v>
      </c>
      <c r="G39" s="37">
        <f>3.37*2</f>
        <v>6.74</v>
      </c>
      <c r="H39" s="37"/>
      <c r="I39" s="37"/>
      <c r="J39" s="73"/>
      <c r="K39" s="74"/>
      <c r="L39" s="75"/>
      <c r="M39" s="76"/>
      <c r="N39" s="76"/>
      <c r="O39" s="77"/>
      <c r="P39" s="77"/>
      <c r="Q39" s="78"/>
      <c r="R39" s="79"/>
      <c r="S39" s="62"/>
      <c r="T39" s="62"/>
    </row>
    <row r="40" spans="1:20" s="4" customFormat="1" ht="15" customHeight="1" x14ac:dyDescent="0.25">
      <c r="A40" s="60"/>
      <c r="B40" s="39"/>
      <c r="C40" s="36"/>
      <c r="D40" s="39"/>
      <c r="E40" s="63"/>
      <c r="F40" s="45"/>
      <c r="G40" s="45"/>
      <c r="H40" s="45"/>
      <c r="I40" s="37"/>
      <c r="J40" s="73"/>
      <c r="K40" s="74"/>
      <c r="L40" s="81"/>
      <c r="M40" s="82"/>
      <c r="N40" s="82"/>
      <c r="O40" s="87"/>
      <c r="P40" s="87"/>
      <c r="Q40" s="88"/>
      <c r="R40" s="86"/>
      <c r="S40" s="62"/>
      <c r="T40" s="62"/>
    </row>
    <row r="41" spans="1:20" s="4" customFormat="1" ht="18" customHeight="1" x14ac:dyDescent="0.25">
      <c r="A41" s="60"/>
      <c r="B41" s="39"/>
      <c r="C41" s="36"/>
      <c r="D41" s="39" t="s">
        <v>516</v>
      </c>
      <c r="E41" s="36" t="s">
        <v>467</v>
      </c>
      <c r="F41" s="37">
        <v>1</v>
      </c>
      <c r="G41" s="37"/>
      <c r="H41" s="37"/>
      <c r="I41" s="37"/>
      <c r="J41" s="73">
        <v>3.1</v>
      </c>
      <c r="K41" s="74"/>
      <c r="L41" s="75"/>
      <c r="M41" s="76"/>
      <c r="N41" s="76"/>
      <c r="O41" s="77"/>
      <c r="P41" s="77"/>
      <c r="Q41" s="78"/>
      <c r="R41" s="79"/>
      <c r="S41" s="62"/>
      <c r="T41" s="62"/>
    </row>
    <row r="42" spans="1:20" s="4" customFormat="1" ht="15" customHeight="1" x14ac:dyDescent="0.25">
      <c r="A42" s="60"/>
      <c r="B42" s="39"/>
      <c r="C42" s="36"/>
      <c r="D42" s="39"/>
      <c r="E42" s="36" t="s">
        <v>508</v>
      </c>
      <c r="F42" s="37">
        <v>1</v>
      </c>
      <c r="G42" s="37"/>
      <c r="H42" s="37"/>
      <c r="I42" s="37"/>
      <c r="J42" s="73"/>
      <c r="K42" s="74"/>
      <c r="L42" s="75"/>
      <c r="M42" s="76"/>
      <c r="N42" s="76"/>
      <c r="O42" s="77"/>
      <c r="P42" s="77"/>
      <c r="Q42" s="78"/>
      <c r="R42" s="79"/>
      <c r="S42" s="62"/>
      <c r="T42" s="62"/>
    </row>
    <row r="43" spans="1:20" s="4" customFormat="1" ht="12.75" x14ac:dyDescent="0.25">
      <c r="A43" s="60"/>
      <c r="B43" s="39"/>
      <c r="C43" s="36"/>
      <c r="D43" s="39"/>
      <c r="E43" s="36" t="s">
        <v>509</v>
      </c>
      <c r="F43" s="37">
        <v>1</v>
      </c>
      <c r="G43" s="37">
        <v>2.76</v>
      </c>
      <c r="H43" s="37"/>
      <c r="I43" s="37">
        <v>0.6</v>
      </c>
      <c r="J43" s="73">
        <f t="shared" ref="J43:J44" si="5">PRODUCT(F43:I43)</f>
        <v>1.6559999999999999</v>
      </c>
      <c r="K43" s="74"/>
      <c r="L43" s="75"/>
      <c r="M43" s="76"/>
      <c r="N43" s="76"/>
      <c r="O43" s="77"/>
      <c r="P43" s="77"/>
      <c r="Q43" s="78"/>
      <c r="R43" s="79"/>
      <c r="S43" s="62"/>
      <c r="T43" s="62"/>
    </row>
    <row r="44" spans="1:20" s="4" customFormat="1" ht="18" customHeight="1" x14ac:dyDescent="0.25">
      <c r="A44" s="60"/>
      <c r="B44" s="61"/>
      <c r="C44" s="60"/>
      <c r="D44" s="39"/>
      <c r="E44" s="36" t="s">
        <v>510</v>
      </c>
      <c r="F44" s="37">
        <v>1</v>
      </c>
      <c r="G44" s="37">
        <v>1.47</v>
      </c>
      <c r="H44" s="37"/>
      <c r="I44" s="37">
        <v>0.6</v>
      </c>
      <c r="J44" s="73">
        <f t="shared" si="5"/>
        <v>0.88200000000000001</v>
      </c>
      <c r="K44" s="74"/>
      <c r="L44" s="75"/>
      <c r="M44" s="76"/>
      <c r="N44" s="76"/>
      <c r="O44" s="77"/>
      <c r="P44" s="77"/>
      <c r="Q44" s="78"/>
      <c r="R44" s="79"/>
      <c r="S44" s="62"/>
      <c r="T44" s="62"/>
    </row>
    <row r="45" spans="1:20" s="6" customFormat="1" ht="18" customHeight="1" x14ac:dyDescent="0.25">
      <c r="A45" s="42"/>
      <c r="B45" s="42"/>
      <c r="C45" s="42"/>
      <c r="D45" s="39"/>
      <c r="E45" s="36" t="s">
        <v>511</v>
      </c>
      <c r="F45" s="37">
        <v>1</v>
      </c>
      <c r="G45" s="37">
        <f>0.53+2.05</f>
        <v>2.58</v>
      </c>
      <c r="H45" s="37"/>
      <c r="I45" s="37"/>
      <c r="J45" s="73"/>
      <c r="K45" s="89"/>
      <c r="L45" s="90"/>
      <c r="M45" s="91"/>
      <c r="N45" s="91"/>
      <c r="O45" s="92"/>
      <c r="P45" s="92"/>
      <c r="Q45" s="93"/>
      <c r="R45" s="94"/>
      <c r="S45" s="42"/>
      <c r="T45" s="42"/>
    </row>
    <row r="46" spans="1:20" s="4" customFormat="1" ht="12.75" x14ac:dyDescent="0.25">
      <c r="A46" s="60"/>
      <c r="B46" s="39"/>
      <c r="C46" s="36"/>
      <c r="D46" s="61"/>
      <c r="E46" s="63"/>
      <c r="F46" s="45"/>
      <c r="G46" s="45"/>
      <c r="H46" s="45"/>
      <c r="I46" s="37"/>
      <c r="J46" s="73"/>
      <c r="K46" s="74"/>
      <c r="L46" s="75"/>
      <c r="M46" s="76"/>
      <c r="N46" s="76"/>
      <c r="O46" s="77"/>
      <c r="P46" s="77"/>
      <c r="Q46" s="78"/>
      <c r="R46" s="79"/>
      <c r="S46" s="62"/>
      <c r="T46" s="62"/>
    </row>
    <row r="47" spans="1:20" s="4" customFormat="1" ht="15" customHeight="1" x14ac:dyDescent="0.25">
      <c r="A47" s="60"/>
      <c r="B47" s="61"/>
      <c r="C47" s="60"/>
      <c r="D47" s="39" t="s">
        <v>517</v>
      </c>
      <c r="E47" s="36" t="s">
        <v>467</v>
      </c>
      <c r="F47" s="37">
        <v>1</v>
      </c>
      <c r="G47" s="37"/>
      <c r="H47" s="37"/>
      <c r="I47" s="37"/>
      <c r="J47" s="73">
        <v>3.1</v>
      </c>
      <c r="K47" s="74"/>
      <c r="L47" s="75"/>
      <c r="M47" s="76"/>
      <c r="N47" s="76"/>
      <c r="O47" s="77"/>
      <c r="P47" s="77"/>
      <c r="Q47" s="78"/>
      <c r="R47" s="79"/>
      <c r="S47" s="62"/>
      <c r="T47" s="62"/>
    </row>
    <row r="48" spans="1:20" s="4" customFormat="1" ht="15" customHeight="1" x14ac:dyDescent="0.25">
      <c r="A48" s="60"/>
      <c r="B48" s="61"/>
      <c r="C48" s="60"/>
      <c r="D48" s="39"/>
      <c r="E48" s="36" t="s">
        <v>508</v>
      </c>
      <c r="F48" s="37">
        <v>1</v>
      </c>
      <c r="G48" s="37"/>
      <c r="H48" s="37"/>
      <c r="I48" s="37"/>
      <c r="J48" s="73"/>
      <c r="K48" s="74"/>
      <c r="L48" s="75"/>
      <c r="M48" s="76"/>
      <c r="N48" s="76"/>
      <c r="O48" s="77"/>
      <c r="P48" s="77"/>
      <c r="Q48" s="78"/>
      <c r="R48" s="79"/>
      <c r="S48" s="62"/>
      <c r="T48" s="62"/>
    </row>
    <row r="49" spans="1:22" s="4" customFormat="1" ht="15" customHeight="1" x14ac:dyDescent="0.25">
      <c r="A49" s="60"/>
      <c r="B49" s="61"/>
      <c r="C49" s="60"/>
      <c r="D49" s="39"/>
      <c r="E49" s="36" t="s">
        <v>509</v>
      </c>
      <c r="F49" s="37">
        <v>1</v>
      </c>
      <c r="G49" s="37">
        <v>2.76</v>
      </c>
      <c r="H49" s="37"/>
      <c r="I49" s="37">
        <v>0.6</v>
      </c>
      <c r="J49" s="97">
        <f t="shared" ref="J49:J50" si="6">PRODUCT(F49:I49)</f>
        <v>1.6559999999999999</v>
      </c>
      <c r="K49" s="74"/>
      <c r="L49" s="75"/>
      <c r="M49" s="76"/>
      <c r="N49" s="76"/>
      <c r="O49" s="77"/>
      <c r="P49" s="77"/>
      <c r="Q49" s="78"/>
      <c r="R49" s="79"/>
      <c r="S49" s="62"/>
      <c r="T49" s="62"/>
    </row>
    <row r="50" spans="1:22" s="4" customFormat="1" ht="15" customHeight="1" x14ac:dyDescent="0.25">
      <c r="A50" s="60"/>
      <c r="B50" s="61"/>
      <c r="C50" s="60"/>
      <c r="D50" s="39"/>
      <c r="E50" s="36" t="s">
        <v>510</v>
      </c>
      <c r="F50" s="37">
        <v>1</v>
      </c>
      <c r="G50" s="37">
        <v>1.47</v>
      </c>
      <c r="H50" s="37"/>
      <c r="I50" s="37">
        <v>0.6</v>
      </c>
      <c r="J50" s="97">
        <f t="shared" si="6"/>
        <v>0.88200000000000001</v>
      </c>
      <c r="K50" s="74"/>
      <c r="L50" s="75"/>
      <c r="M50" s="76"/>
      <c r="N50" s="76"/>
      <c r="O50" s="77"/>
      <c r="P50" s="77"/>
      <c r="Q50" s="78"/>
      <c r="R50" s="79"/>
      <c r="S50" s="62"/>
      <c r="T50" s="62"/>
    </row>
    <row r="51" spans="1:22" s="4" customFormat="1" ht="15" customHeight="1" x14ac:dyDescent="0.25">
      <c r="A51" s="60"/>
      <c r="B51" s="61"/>
      <c r="C51" s="60"/>
      <c r="D51" s="39"/>
      <c r="E51" s="36" t="s">
        <v>511</v>
      </c>
      <c r="F51" s="37">
        <v>1</v>
      </c>
      <c r="G51" s="37">
        <f>G45</f>
        <v>2.58</v>
      </c>
      <c r="H51" s="37"/>
      <c r="I51" s="37"/>
      <c r="J51" s="73"/>
      <c r="K51" s="74"/>
      <c r="L51" s="75"/>
      <c r="M51" s="76"/>
      <c r="N51" s="76"/>
      <c r="O51" s="77"/>
      <c r="P51" s="77"/>
      <c r="Q51" s="78"/>
      <c r="R51" s="79"/>
      <c r="S51" s="62"/>
      <c r="T51" s="62"/>
    </row>
    <row r="52" spans="1:22" s="4" customFormat="1" ht="15" customHeight="1" x14ac:dyDescent="0.25">
      <c r="A52" s="60"/>
      <c r="B52" s="61"/>
      <c r="C52" s="60"/>
      <c r="D52" s="61"/>
      <c r="E52" s="63"/>
      <c r="F52" s="45"/>
      <c r="G52" s="45"/>
      <c r="H52" s="45"/>
      <c r="I52" s="37"/>
      <c r="J52" s="73"/>
      <c r="K52" s="74"/>
      <c r="L52" s="75"/>
      <c r="M52" s="76"/>
      <c r="N52" s="76"/>
      <c r="O52" s="77"/>
      <c r="P52" s="77"/>
      <c r="Q52" s="78"/>
      <c r="R52" s="79"/>
      <c r="S52" s="62"/>
      <c r="T52" s="62"/>
    </row>
    <row r="53" spans="1:22" s="4" customFormat="1" ht="15" customHeight="1" x14ac:dyDescent="0.25">
      <c r="A53" s="60"/>
      <c r="B53" s="61"/>
      <c r="C53" s="60"/>
      <c r="D53" s="39" t="s">
        <v>340</v>
      </c>
      <c r="E53" s="36" t="s">
        <v>467</v>
      </c>
      <c r="F53" s="37">
        <v>1</v>
      </c>
      <c r="G53" s="37"/>
      <c r="H53" s="37"/>
      <c r="I53" s="37"/>
      <c r="J53" s="73">
        <v>22.9</v>
      </c>
      <c r="K53" s="74"/>
      <c r="L53" s="75"/>
      <c r="M53" s="76"/>
      <c r="N53" s="76"/>
      <c r="O53" s="77"/>
      <c r="P53" s="77"/>
      <c r="Q53" s="78"/>
      <c r="R53" s="79"/>
      <c r="S53" s="62"/>
      <c r="T53" s="62"/>
    </row>
    <row r="54" spans="1:22" s="4" customFormat="1" ht="15" customHeight="1" x14ac:dyDescent="0.25">
      <c r="A54" s="60"/>
      <c r="B54" s="61"/>
      <c r="C54" s="60"/>
      <c r="D54" s="39"/>
      <c r="E54" s="36" t="s">
        <v>508</v>
      </c>
      <c r="F54" s="37">
        <v>1</v>
      </c>
      <c r="G54" s="37"/>
      <c r="H54" s="37"/>
      <c r="I54" s="37"/>
      <c r="J54" s="73"/>
      <c r="K54" s="74"/>
      <c r="L54" s="75"/>
      <c r="M54" s="76"/>
      <c r="N54" s="76"/>
      <c r="O54" s="77"/>
      <c r="P54" s="77"/>
      <c r="Q54" s="78"/>
      <c r="R54" s="79"/>
      <c r="S54" s="62"/>
      <c r="T54" s="62"/>
    </row>
    <row r="55" spans="1:22" s="4" customFormat="1" ht="15" customHeight="1" x14ac:dyDescent="0.25">
      <c r="A55" s="60"/>
      <c r="B55" s="61"/>
      <c r="C55" s="60"/>
      <c r="D55" s="39"/>
      <c r="E55" s="36" t="s">
        <v>515</v>
      </c>
      <c r="F55" s="37">
        <v>1</v>
      </c>
      <c r="G55" s="37"/>
      <c r="H55" s="37"/>
      <c r="I55" s="37">
        <v>0.6</v>
      </c>
      <c r="J55" s="97">
        <f t="shared" ref="J55" si="7">PRODUCT(F55:I55)</f>
        <v>0.6</v>
      </c>
      <c r="K55" s="74"/>
      <c r="L55" s="75"/>
      <c r="M55" s="76"/>
      <c r="N55" s="76"/>
      <c r="O55" s="77"/>
      <c r="P55" s="77"/>
      <c r="Q55" s="78"/>
      <c r="R55" s="79"/>
      <c r="S55" s="62"/>
      <c r="T55" s="62"/>
    </row>
    <row r="56" spans="1:22" s="4" customFormat="1" ht="15" customHeight="1" x14ac:dyDescent="0.25">
      <c r="A56" s="60"/>
      <c r="B56" s="61"/>
      <c r="C56" s="60"/>
      <c r="D56" s="39"/>
      <c r="E56" s="36" t="s">
        <v>510</v>
      </c>
      <c r="F56" s="37">
        <v>1</v>
      </c>
      <c r="G56" s="37"/>
      <c r="H56" s="37"/>
      <c r="I56" s="37"/>
      <c r="J56" s="97"/>
      <c r="K56" s="74"/>
      <c r="L56" s="75"/>
      <c r="M56" s="76"/>
      <c r="N56" s="76"/>
      <c r="O56" s="77"/>
      <c r="P56" s="77"/>
      <c r="Q56" s="78"/>
      <c r="R56" s="79"/>
      <c r="S56" s="62"/>
      <c r="T56" s="62"/>
    </row>
    <row r="57" spans="1:22" s="4" customFormat="1" ht="15" customHeight="1" x14ac:dyDescent="0.25">
      <c r="A57" s="60"/>
      <c r="B57" s="61"/>
      <c r="C57" s="60"/>
      <c r="D57" s="39"/>
      <c r="E57" s="36" t="s">
        <v>511</v>
      </c>
      <c r="F57" s="37">
        <v>1</v>
      </c>
      <c r="G57" s="37">
        <f>12.45+4.72</f>
        <v>17.169999999999998</v>
      </c>
      <c r="H57" s="37"/>
      <c r="I57" s="37"/>
      <c r="J57" s="73"/>
      <c r="K57" s="74"/>
      <c r="L57" s="75"/>
      <c r="M57" s="76"/>
      <c r="N57" s="76"/>
      <c r="O57" s="77"/>
      <c r="P57" s="77"/>
      <c r="Q57" s="78"/>
      <c r="R57" s="79"/>
      <c r="S57" s="62"/>
      <c r="T57" s="62"/>
    </row>
    <row r="58" spans="1:22" s="4" customFormat="1" ht="15" customHeight="1" x14ac:dyDescent="0.25">
      <c r="A58" s="60"/>
      <c r="B58" s="61"/>
      <c r="C58" s="60"/>
      <c r="D58" s="61"/>
      <c r="E58" s="63"/>
      <c r="F58" s="45"/>
      <c r="G58" s="45"/>
      <c r="H58" s="45"/>
      <c r="I58" s="37"/>
      <c r="J58" s="73"/>
      <c r="K58" s="74"/>
      <c r="L58" s="75"/>
      <c r="M58" s="76"/>
      <c r="N58" s="76"/>
      <c r="O58" s="77"/>
      <c r="P58" s="77"/>
      <c r="Q58" s="78"/>
      <c r="R58" s="79"/>
      <c r="S58" s="62"/>
      <c r="T58" s="62"/>
    </row>
    <row r="59" spans="1:22" s="4" customFormat="1" ht="18" customHeight="1" x14ac:dyDescent="0.25">
      <c r="A59" s="34"/>
      <c r="B59" s="39" t="s">
        <v>506</v>
      </c>
      <c r="C59" s="36" t="s">
        <v>52</v>
      </c>
      <c r="D59" s="36" t="s">
        <v>381</v>
      </c>
      <c r="E59" s="36"/>
      <c r="F59" s="37"/>
      <c r="G59" s="37"/>
      <c r="H59" s="37"/>
      <c r="I59" s="37"/>
      <c r="J59" s="73"/>
      <c r="K59" s="74"/>
      <c r="L59" s="75"/>
      <c r="M59" s="76"/>
      <c r="N59" s="76"/>
      <c r="O59" s="77"/>
      <c r="P59" s="77"/>
      <c r="Q59" s="78"/>
      <c r="R59" s="79"/>
      <c r="S59" s="36"/>
      <c r="T59" s="36"/>
      <c r="V59" s="80"/>
    </row>
    <row r="60" spans="1:22" s="4" customFormat="1" ht="18" customHeight="1" x14ac:dyDescent="0.25">
      <c r="A60" s="34"/>
      <c r="B60" s="39"/>
      <c r="C60" s="36"/>
      <c r="D60" s="39" t="s">
        <v>518</v>
      </c>
      <c r="E60" s="36" t="s">
        <v>467</v>
      </c>
      <c r="F60" s="37">
        <v>1</v>
      </c>
      <c r="G60" s="37"/>
      <c r="H60" s="37"/>
      <c r="I60" s="37"/>
      <c r="J60" s="73">
        <v>7.3</v>
      </c>
      <c r="K60" s="74"/>
      <c r="L60" s="75"/>
      <c r="M60" s="76"/>
      <c r="N60" s="76"/>
      <c r="O60" s="77"/>
      <c r="P60" s="77"/>
      <c r="Q60" s="78"/>
      <c r="R60" s="79"/>
      <c r="S60" s="36"/>
      <c r="T60" s="36"/>
    </row>
    <row r="61" spans="1:22" s="4" customFormat="1" ht="18" customHeight="1" x14ac:dyDescent="0.25">
      <c r="A61" s="34"/>
      <c r="B61" s="35"/>
      <c r="C61" s="35"/>
      <c r="D61" s="36"/>
      <c r="E61" s="36" t="s">
        <v>508</v>
      </c>
      <c r="F61" s="37">
        <v>1</v>
      </c>
      <c r="G61" s="37">
        <v>2.9</v>
      </c>
      <c r="H61" s="37"/>
      <c r="I61" s="37">
        <v>2.25</v>
      </c>
      <c r="J61" s="73">
        <f>PRODUCT(F61:I61)</f>
        <v>6.5249999999999995</v>
      </c>
      <c r="K61" s="74"/>
      <c r="L61" s="75"/>
      <c r="M61" s="76"/>
      <c r="N61" s="76"/>
      <c r="O61" s="77"/>
      <c r="P61" s="77"/>
      <c r="Q61" s="78"/>
      <c r="R61" s="79"/>
      <c r="S61" s="36"/>
      <c r="T61" s="36"/>
      <c r="V61" s="80"/>
    </row>
    <row r="62" spans="1:22" s="4" customFormat="1" ht="18" customHeight="1" x14ac:dyDescent="0.25">
      <c r="A62" s="34"/>
      <c r="B62" s="35"/>
      <c r="C62" s="35"/>
      <c r="D62" s="36"/>
      <c r="E62" s="36" t="s">
        <v>509</v>
      </c>
      <c r="F62" s="37">
        <v>1</v>
      </c>
      <c r="G62" s="37">
        <v>1.53</v>
      </c>
      <c r="H62" s="37"/>
      <c r="I62" s="37">
        <v>0.6</v>
      </c>
      <c r="J62" s="97">
        <f t="shared" ref="J62:J63" si="8">PRODUCT(F62:I62)</f>
        <v>0.91799999999999993</v>
      </c>
      <c r="K62" s="74"/>
      <c r="L62" s="75"/>
      <c r="M62" s="76"/>
      <c r="N62" s="76"/>
      <c r="O62" s="77"/>
      <c r="P62" s="77"/>
      <c r="Q62" s="78"/>
      <c r="R62" s="79"/>
      <c r="S62" s="36"/>
      <c r="T62" s="36"/>
    </row>
    <row r="63" spans="1:22" s="4" customFormat="1" ht="18" customHeight="1" x14ac:dyDescent="0.25">
      <c r="A63" s="34"/>
      <c r="B63" s="35"/>
      <c r="C63" s="35"/>
      <c r="D63" s="36"/>
      <c r="E63" s="36" t="s">
        <v>510</v>
      </c>
      <c r="F63" s="37">
        <v>1</v>
      </c>
      <c r="G63" s="37">
        <v>3.8</v>
      </c>
      <c r="H63" s="37"/>
      <c r="I63" s="37">
        <v>0.6</v>
      </c>
      <c r="J63" s="97">
        <f t="shared" si="8"/>
        <v>2.2799999999999998</v>
      </c>
      <c r="K63" s="74"/>
      <c r="L63" s="75"/>
      <c r="M63" s="76"/>
      <c r="N63" s="76"/>
      <c r="O63" s="77"/>
      <c r="P63" s="77"/>
      <c r="Q63" s="78"/>
      <c r="R63" s="79"/>
      <c r="S63" s="36"/>
      <c r="T63" s="36"/>
    </row>
    <row r="64" spans="1:22" s="4" customFormat="1" ht="18" customHeight="1" x14ac:dyDescent="0.25">
      <c r="A64" s="34"/>
      <c r="B64" s="35"/>
      <c r="C64" s="35"/>
      <c r="D64" s="36"/>
      <c r="E64" s="36" t="s">
        <v>511</v>
      </c>
      <c r="F64" s="37">
        <v>1</v>
      </c>
      <c r="G64" s="37">
        <f>1.1+1.1</f>
        <v>2.2000000000000002</v>
      </c>
      <c r="H64" s="37"/>
      <c r="I64" s="37"/>
      <c r="J64" s="73"/>
      <c r="K64" s="74"/>
      <c r="L64" s="75"/>
      <c r="M64" s="76"/>
      <c r="N64" s="76"/>
      <c r="O64" s="77"/>
      <c r="P64" s="77"/>
      <c r="Q64" s="78"/>
      <c r="R64" s="79"/>
      <c r="S64" s="36"/>
      <c r="T64" s="36"/>
    </row>
    <row r="65" spans="1:22" s="4" customFormat="1" ht="18" customHeight="1" x14ac:dyDescent="0.25">
      <c r="A65" s="34"/>
      <c r="B65" s="35"/>
      <c r="C65" s="35"/>
      <c r="D65" s="36"/>
      <c r="E65" s="36"/>
      <c r="F65" s="45"/>
      <c r="G65" s="45"/>
      <c r="H65" s="45"/>
      <c r="I65" s="37"/>
      <c r="J65" s="73"/>
      <c r="K65" s="74"/>
      <c r="L65" s="75"/>
      <c r="M65" s="76"/>
      <c r="N65" s="76"/>
      <c r="O65" s="77"/>
      <c r="P65" s="77"/>
      <c r="Q65" s="78"/>
      <c r="R65" s="79"/>
      <c r="S65" s="36"/>
      <c r="T65" s="36"/>
    </row>
    <row r="66" spans="1:22" s="4" customFormat="1" ht="18" customHeight="1" x14ac:dyDescent="0.25">
      <c r="A66" s="34"/>
      <c r="B66" s="39"/>
      <c r="C66" s="36"/>
      <c r="D66" s="39" t="s">
        <v>519</v>
      </c>
      <c r="E66" s="36" t="s">
        <v>467</v>
      </c>
      <c r="F66" s="37">
        <v>1</v>
      </c>
      <c r="G66" s="37"/>
      <c r="H66" s="37"/>
      <c r="I66" s="37"/>
      <c r="J66" s="73">
        <v>8.8000000000000007</v>
      </c>
      <c r="K66" s="74"/>
      <c r="L66" s="75"/>
      <c r="M66" s="76"/>
      <c r="N66" s="76"/>
      <c r="O66" s="77"/>
      <c r="P66" s="77"/>
      <c r="Q66" s="78"/>
      <c r="R66" s="79"/>
      <c r="S66" s="36"/>
      <c r="T66" s="36"/>
    </row>
    <row r="67" spans="1:22" s="4" customFormat="1" ht="18" customHeight="1" x14ac:dyDescent="0.25">
      <c r="A67" s="34"/>
      <c r="B67" s="35"/>
      <c r="C67" s="35"/>
      <c r="D67" s="36"/>
      <c r="E67" s="36" t="s">
        <v>508</v>
      </c>
      <c r="F67" s="37">
        <v>1</v>
      </c>
      <c r="G67" s="37">
        <v>3.12</v>
      </c>
      <c r="H67" s="37"/>
      <c r="I67" s="37">
        <v>2.25</v>
      </c>
      <c r="J67" s="73">
        <f>PRODUCT(F67:I67)</f>
        <v>7.0200000000000005</v>
      </c>
      <c r="K67" s="74"/>
      <c r="L67" s="75"/>
      <c r="M67" s="76"/>
      <c r="N67" s="76"/>
      <c r="O67" s="77"/>
      <c r="P67" s="77"/>
      <c r="Q67" s="78"/>
      <c r="R67" s="79"/>
      <c r="S67" s="36"/>
      <c r="T67" s="36"/>
      <c r="V67" s="80"/>
    </row>
    <row r="68" spans="1:22" s="4" customFormat="1" ht="18" customHeight="1" x14ac:dyDescent="0.25">
      <c r="A68" s="34"/>
      <c r="B68" s="35"/>
      <c r="C68" s="35"/>
      <c r="D68" s="36"/>
      <c r="E68" s="36" t="s">
        <v>509</v>
      </c>
      <c r="F68" s="37">
        <v>1</v>
      </c>
      <c r="G68" s="37">
        <v>1.78</v>
      </c>
      <c r="H68" s="37"/>
      <c r="I68" s="37">
        <v>0.6</v>
      </c>
      <c r="J68" s="97">
        <f t="shared" ref="J68:J69" si="9">PRODUCT(F68:I68)</f>
        <v>1.0680000000000001</v>
      </c>
      <c r="K68" s="74"/>
      <c r="L68" s="75"/>
      <c r="M68" s="76"/>
      <c r="N68" s="76"/>
      <c r="O68" s="77"/>
      <c r="P68" s="77"/>
      <c r="Q68" s="78"/>
      <c r="R68" s="79"/>
      <c r="S68" s="36"/>
      <c r="T68" s="36"/>
    </row>
    <row r="69" spans="1:22" s="4" customFormat="1" ht="18" customHeight="1" x14ac:dyDescent="0.25">
      <c r="A69" s="34"/>
      <c r="B69" s="35"/>
      <c r="C69" s="35"/>
      <c r="D69" s="36"/>
      <c r="E69" s="36" t="s">
        <v>510</v>
      </c>
      <c r="F69" s="37">
        <v>1</v>
      </c>
      <c r="G69" s="37">
        <v>4</v>
      </c>
      <c r="H69" s="37"/>
      <c r="I69" s="37">
        <v>0.6</v>
      </c>
      <c r="J69" s="97">
        <f t="shared" si="9"/>
        <v>2.4</v>
      </c>
      <c r="K69" s="74"/>
      <c r="L69" s="75"/>
      <c r="M69" s="76"/>
      <c r="N69" s="76"/>
      <c r="O69" s="77"/>
      <c r="P69" s="77"/>
      <c r="Q69" s="78"/>
      <c r="R69" s="79"/>
      <c r="S69" s="36"/>
      <c r="T69" s="36"/>
    </row>
    <row r="70" spans="1:22" s="4" customFormat="1" ht="18" customHeight="1" x14ac:dyDescent="0.25">
      <c r="A70" s="34"/>
      <c r="B70" s="35"/>
      <c r="C70" s="35"/>
      <c r="D70" s="36"/>
      <c r="E70" s="36" t="s">
        <v>511</v>
      </c>
      <c r="F70" s="37">
        <v>1</v>
      </c>
      <c r="G70" s="37">
        <v>2.2400000000000002</v>
      </c>
      <c r="H70" s="37"/>
      <c r="I70" s="37"/>
      <c r="J70" s="73"/>
      <c r="K70" s="74"/>
      <c r="L70" s="75"/>
      <c r="M70" s="76"/>
      <c r="N70" s="76"/>
      <c r="O70" s="77"/>
      <c r="P70" s="77"/>
      <c r="Q70" s="78"/>
      <c r="R70" s="79"/>
      <c r="S70" s="36"/>
      <c r="T70" s="36"/>
    </row>
    <row r="71" spans="1:22" s="4" customFormat="1" ht="18" customHeight="1" x14ac:dyDescent="0.25">
      <c r="A71" s="34"/>
      <c r="B71" s="35"/>
      <c r="C71" s="35"/>
      <c r="D71" s="36"/>
      <c r="E71" s="36"/>
      <c r="F71" s="45"/>
      <c r="H71" s="45"/>
      <c r="I71" s="37"/>
      <c r="J71" s="73"/>
      <c r="K71" s="74"/>
      <c r="L71" s="75"/>
      <c r="M71" s="76"/>
      <c r="N71" s="76"/>
      <c r="O71" s="77"/>
      <c r="P71" s="77"/>
      <c r="Q71" s="78"/>
      <c r="R71" s="79"/>
      <c r="S71" s="36"/>
      <c r="T71" s="36"/>
    </row>
    <row r="72" spans="1:22" s="4" customFormat="1" ht="18" customHeight="1" x14ac:dyDescent="0.25">
      <c r="A72" s="34"/>
      <c r="B72" s="39"/>
      <c r="C72" s="36"/>
      <c r="D72" s="39" t="s">
        <v>520</v>
      </c>
      <c r="E72" s="36" t="s">
        <v>467</v>
      </c>
      <c r="F72" s="37">
        <v>1</v>
      </c>
      <c r="G72" s="37"/>
      <c r="H72" s="37"/>
      <c r="I72" s="37"/>
      <c r="J72" s="73">
        <v>15</v>
      </c>
      <c r="K72" s="74"/>
      <c r="L72" s="75"/>
      <c r="M72" s="76"/>
      <c r="N72" s="76"/>
      <c r="O72" s="77"/>
      <c r="P72" s="77"/>
      <c r="Q72" s="78"/>
      <c r="R72" s="79"/>
      <c r="S72" s="36"/>
      <c r="T72" s="36"/>
    </row>
    <row r="73" spans="1:22" s="4" customFormat="1" ht="18" customHeight="1" x14ac:dyDescent="0.25">
      <c r="A73" s="34"/>
      <c r="B73" s="35"/>
      <c r="C73" s="35"/>
      <c r="D73" s="36"/>
      <c r="E73" s="36" t="s">
        <v>508</v>
      </c>
      <c r="F73" s="37">
        <v>1</v>
      </c>
      <c r="G73" s="37">
        <v>4.16</v>
      </c>
      <c r="H73" s="37"/>
      <c r="I73" s="37">
        <v>2.25</v>
      </c>
      <c r="J73" s="73">
        <f>PRODUCT(F73:I73)</f>
        <v>9.36</v>
      </c>
      <c r="K73" s="74"/>
      <c r="L73" s="75"/>
      <c r="M73" s="76"/>
      <c r="N73" s="76"/>
      <c r="O73" s="77"/>
      <c r="P73" s="77"/>
      <c r="Q73" s="78"/>
      <c r="R73" s="79"/>
      <c r="S73" s="36"/>
      <c r="T73" s="36"/>
      <c r="V73" s="80"/>
    </row>
    <row r="74" spans="1:22" s="4" customFormat="1" ht="18" customHeight="1" x14ac:dyDescent="0.25">
      <c r="A74" s="34"/>
      <c r="B74" s="35"/>
      <c r="C74" s="35"/>
      <c r="D74" s="36"/>
      <c r="E74" s="36" t="s">
        <v>509</v>
      </c>
      <c r="F74" s="37">
        <v>1</v>
      </c>
      <c r="G74" s="37">
        <v>3.57</v>
      </c>
      <c r="H74" s="37"/>
      <c r="I74" s="37">
        <v>0.6</v>
      </c>
      <c r="J74" s="97">
        <f t="shared" ref="J74:J75" si="10">PRODUCT(F74:I74)</f>
        <v>2.1419999999999999</v>
      </c>
      <c r="K74" s="74"/>
      <c r="L74" s="75"/>
      <c r="M74" s="76"/>
      <c r="N74" s="76"/>
      <c r="O74" s="77"/>
      <c r="P74" s="77"/>
      <c r="Q74" s="78"/>
      <c r="R74" s="79"/>
      <c r="S74" s="36"/>
      <c r="T74" s="36"/>
    </row>
    <row r="75" spans="1:22" s="4" customFormat="1" ht="18" customHeight="1" x14ac:dyDescent="0.25">
      <c r="A75" s="34"/>
      <c r="B75" s="35"/>
      <c r="C75" s="35"/>
      <c r="D75" s="36"/>
      <c r="E75" s="36" t="s">
        <v>510</v>
      </c>
      <c r="F75" s="37">
        <v>1</v>
      </c>
      <c r="G75" s="37">
        <v>7.32</v>
      </c>
      <c r="H75" s="37"/>
      <c r="I75" s="37">
        <v>0.6</v>
      </c>
      <c r="J75" s="97">
        <f t="shared" si="10"/>
        <v>4.3920000000000003</v>
      </c>
      <c r="K75" s="74"/>
      <c r="L75" s="75"/>
      <c r="M75" s="76"/>
      <c r="N75" s="76"/>
      <c r="O75" s="77"/>
      <c r="P75" s="77"/>
      <c r="Q75" s="78"/>
      <c r="R75" s="79"/>
      <c r="S75" s="36"/>
      <c r="T75" s="36"/>
    </row>
    <row r="76" spans="1:22" s="4" customFormat="1" ht="18" customHeight="1" x14ac:dyDescent="0.25">
      <c r="A76" s="34"/>
      <c r="B76" s="35"/>
      <c r="C76" s="35"/>
      <c r="D76" s="36"/>
      <c r="E76" s="36" t="s">
        <v>511</v>
      </c>
      <c r="F76" s="37">
        <v>1</v>
      </c>
      <c r="G76" s="37">
        <f>3.01+1.75+0.84</f>
        <v>5.6</v>
      </c>
      <c r="H76" s="37"/>
      <c r="I76" s="37"/>
      <c r="J76" s="73"/>
      <c r="K76" s="74"/>
      <c r="L76" s="75"/>
      <c r="M76" s="76"/>
      <c r="N76" s="76"/>
      <c r="O76" s="77"/>
      <c r="P76" s="77"/>
      <c r="Q76" s="78"/>
      <c r="R76" s="79"/>
      <c r="S76" s="36"/>
      <c r="T76" s="36"/>
    </row>
    <row r="77" spans="1:22" s="4" customFormat="1" ht="18" customHeight="1" x14ac:dyDescent="0.25">
      <c r="A77" s="34"/>
      <c r="B77" s="35"/>
      <c r="C77" s="35"/>
      <c r="D77" s="36"/>
      <c r="E77" s="36"/>
      <c r="F77" s="45"/>
      <c r="H77" s="45"/>
      <c r="I77" s="37"/>
      <c r="J77" s="73"/>
      <c r="K77" s="74"/>
      <c r="L77" s="75"/>
      <c r="M77" s="76"/>
      <c r="N77" s="76"/>
      <c r="O77" s="77"/>
      <c r="P77" s="77"/>
      <c r="Q77" s="78"/>
      <c r="R77" s="79"/>
      <c r="S77" s="36"/>
      <c r="T77" s="36"/>
    </row>
    <row r="78" spans="1:22" s="4" customFormat="1" ht="18" customHeight="1" x14ac:dyDescent="0.25">
      <c r="A78" s="34"/>
      <c r="B78" s="39"/>
      <c r="C78" s="36"/>
      <c r="D78" s="39" t="s">
        <v>521</v>
      </c>
      <c r="E78" s="36" t="s">
        <v>467</v>
      </c>
      <c r="F78" s="37">
        <v>1</v>
      </c>
      <c r="G78" s="37"/>
      <c r="H78" s="37"/>
      <c r="I78" s="37"/>
      <c r="J78" s="73">
        <v>11</v>
      </c>
      <c r="K78" s="74"/>
      <c r="L78" s="75"/>
      <c r="M78" s="76"/>
      <c r="N78" s="76"/>
      <c r="O78" s="77"/>
      <c r="P78" s="77"/>
      <c r="Q78" s="78"/>
      <c r="R78" s="79"/>
      <c r="S78" s="36"/>
      <c r="T78" s="36"/>
    </row>
    <row r="79" spans="1:22" s="4" customFormat="1" ht="18" customHeight="1" x14ac:dyDescent="0.25">
      <c r="A79" s="34"/>
      <c r="B79" s="35"/>
      <c r="C79" s="35"/>
      <c r="D79" s="36"/>
      <c r="E79" s="36" t="s">
        <v>508</v>
      </c>
      <c r="F79" s="37">
        <v>1</v>
      </c>
      <c r="G79" s="37">
        <v>3.16</v>
      </c>
      <c r="H79" s="37"/>
      <c r="I79" s="37">
        <v>2.25</v>
      </c>
      <c r="J79" s="73">
        <f>PRODUCT(F79:I79)</f>
        <v>7.11</v>
      </c>
      <c r="K79" s="74"/>
      <c r="L79" s="75"/>
      <c r="M79" s="76"/>
      <c r="N79" s="76"/>
      <c r="O79" s="77"/>
      <c r="P79" s="77"/>
      <c r="Q79" s="78"/>
      <c r="R79" s="79"/>
      <c r="S79" s="36"/>
      <c r="T79" s="36"/>
      <c r="V79" s="80"/>
    </row>
    <row r="80" spans="1:22" s="4" customFormat="1" ht="18" customHeight="1" x14ac:dyDescent="0.25">
      <c r="A80" s="34"/>
      <c r="B80" s="35"/>
      <c r="C80" s="35"/>
      <c r="D80" s="36"/>
      <c r="E80" s="36" t="s">
        <v>509</v>
      </c>
      <c r="F80" s="37">
        <v>1</v>
      </c>
      <c r="G80" s="37">
        <v>2.52</v>
      </c>
      <c r="H80" s="37"/>
      <c r="I80" s="37">
        <v>0.6</v>
      </c>
      <c r="J80" s="97">
        <f t="shared" ref="J80:J81" si="11">PRODUCT(F80:I80)</f>
        <v>1.512</v>
      </c>
      <c r="K80" s="74"/>
      <c r="L80" s="75"/>
      <c r="M80" s="76"/>
      <c r="N80" s="76"/>
      <c r="O80" s="77"/>
      <c r="P80" s="77"/>
      <c r="Q80" s="78"/>
      <c r="R80" s="79"/>
      <c r="S80" s="36"/>
      <c r="T80" s="36"/>
    </row>
    <row r="81" spans="1:22" s="4" customFormat="1" ht="18" customHeight="1" x14ac:dyDescent="0.25">
      <c r="A81" s="34"/>
      <c r="B81" s="35"/>
      <c r="C81" s="35"/>
      <c r="D81" s="36"/>
      <c r="E81" s="36" t="s">
        <v>510</v>
      </c>
      <c r="F81" s="37">
        <v>1</v>
      </c>
      <c r="G81" s="37">
        <v>4.5</v>
      </c>
      <c r="H81" s="37"/>
      <c r="I81" s="37">
        <v>0.6</v>
      </c>
      <c r="J81" s="97">
        <f t="shared" si="11"/>
        <v>2.6999999999999997</v>
      </c>
      <c r="K81" s="74"/>
      <c r="L81" s="75"/>
      <c r="M81" s="76"/>
      <c r="N81" s="76"/>
      <c r="O81" s="77"/>
      <c r="P81" s="77"/>
      <c r="Q81" s="78"/>
      <c r="R81" s="79"/>
      <c r="S81" s="36"/>
      <c r="T81" s="36"/>
    </row>
    <row r="82" spans="1:22" s="4" customFormat="1" ht="18" customHeight="1" x14ac:dyDescent="0.25">
      <c r="A82" s="34"/>
      <c r="B82" s="35"/>
      <c r="C82" s="35"/>
      <c r="D82" s="36"/>
      <c r="E82" s="36" t="s">
        <v>511</v>
      </c>
      <c r="F82" s="37">
        <v>1</v>
      </c>
      <c r="G82" s="37">
        <f>1.32+1.33</f>
        <v>2.6500000000000004</v>
      </c>
      <c r="H82" s="37"/>
      <c r="I82" s="37"/>
      <c r="J82" s="73"/>
      <c r="K82" s="74"/>
      <c r="L82" s="75"/>
      <c r="M82" s="76"/>
      <c r="N82" s="76"/>
      <c r="O82" s="77"/>
      <c r="P82" s="77"/>
      <c r="Q82" s="78"/>
      <c r="R82" s="79"/>
      <c r="S82" s="36"/>
      <c r="T82" s="36"/>
    </row>
    <row r="83" spans="1:22" s="4" customFormat="1" ht="18" customHeight="1" x14ac:dyDescent="0.25">
      <c r="A83" s="34"/>
      <c r="B83" s="35"/>
      <c r="C83" s="35"/>
      <c r="D83" s="36"/>
      <c r="E83" s="36"/>
      <c r="F83" s="45"/>
      <c r="H83" s="45"/>
      <c r="I83" s="37"/>
      <c r="J83" s="73"/>
      <c r="K83" s="74"/>
      <c r="L83" s="75"/>
      <c r="M83" s="76"/>
      <c r="N83" s="76"/>
      <c r="O83" s="77"/>
      <c r="P83" s="77"/>
      <c r="Q83" s="78"/>
      <c r="R83" s="79"/>
      <c r="S83" s="36"/>
      <c r="T83" s="36"/>
    </row>
    <row r="84" spans="1:22" s="4" customFormat="1" ht="15" customHeight="1" x14ac:dyDescent="0.25">
      <c r="A84" s="60"/>
      <c r="B84" s="61"/>
      <c r="C84" s="60"/>
      <c r="D84" s="61" t="s">
        <v>522</v>
      </c>
      <c r="E84" s="63"/>
      <c r="F84" s="45"/>
      <c r="G84" s="45"/>
      <c r="H84" s="45"/>
      <c r="I84" s="37"/>
      <c r="J84" s="73">
        <v>22</v>
      </c>
      <c r="K84" s="74"/>
      <c r="L84" s="75"/>
      <c r="M84" s="76"/>
      <c r="N84" s="76"/>
      <c r="O84" s="77"/>
      <c r="P84" s="77"/>
      <c r="Q84" s="78"/>
      <c r="R84" s="79"/>
      <c r="S84" s="62"/>
      <c r="T84" s="62"/>
    </row>
    <row r="85" spans="1:22" s="4" customFormat="1" ht="15" customHeight="1" x14ac:dyDescent="0.25">
      <c r="A85" s="60"/>
      <c r="B85" s="39"/>
      <c r="C85" s="36"/>
      <c r="D85" s="61"/>
      <c r="E85" s="63"/>
      <c r="F85" s="45"/>
      <c r="G85" s="45"/>
      <c r="H85" s="45"/>
      <c r="I85" s="37"/>
      <c r="J85" s="73"/>
      <c r="K85" s="74"/>
      <c r="L85" s="75"/>
      <c r="M85" s="76"/>
      <c r="N85" s="76"/>
      <c r="O85" s="77"/>
      <c r="P85" s="77"/>
      <c r="Q85" s="78"/>
      <c r="R85" s="79"/>
      <c r="S85" s="62"/>
      <c r="T85" s="62"/>
    </row>
    <row r="86" spans="1:22" s="4" customFormat="1" ht="15" customHeight="1" x14ac:dyDescent="0.25">
      <c r="A86" s="60"/>
      <c r="B86" s="61"/>
      <c r="C86" s="60"/>
      <c r="D86" s="61" t="s">
        <v>523</v>
      </c>
      <c r="E86" s="63" t="s">
        <v>467</v>
      </c>
      <c r="F86" s="45"/>
      <c r="G86" s="45"/>
      <c r="H86" s="45"/>
      <c r="I86" s="37"/>
      <c r="J86" s="73">
        <v>39</v>
      </c>
      <c r="K86" s="74"/>
      <c r="L86" s="75"/>
      <c r="M86" s="76"/>
      <c r="N86" s="76"/>
      <c r="O86" s="77"/>
      <c r="P86" s="77"/>
      <c r="Q86" s="78"/>
      <c r="R86" s="79"/>
      <c r="S86" s="62"/>
      <c r="T86" s="62"/>
    </row>
    <row r="87" spans="1:22" s="4" customFormat="1" ht="15" customHeight="1" x14ac:dyDescent="0.25">
      <c r="A87" s="60"/>
      <c r="B87" s="61"/>
      <c r="C87" s="60"/>
      <c r="D87" s="61"/>
      <c r="E87" s="63" t="s">
        <v>469</v>
      </c>
      <c r="F87" s="45"/>
      <c r="G87" s="45"/>
      <c r="H87" s="45"/>
      <c r="I87" s="37"/>
      <c r="J87" s="73"/>
      <c r="K87" s="74"/>
      <c r="L87" s="75"/>
      <c r="M87" s="76"/>
      <c r="N87" s="76"/>
      <c r="O87" s="77"/>
      <c r="P87" s="77"/>
      <c r="Q87" s="78"/>
      <c r="R87" s="79"/>
      <c r="S87" s="62"/>
      <c r="T87" s="62"/>
    </row>
    <row r="88" spans="1:22" s="4" customFormat="1" ht="15" customHeight="1" x14ac:dyDescent="0.25">
      <c r="A88" s="60"/>
      <c r="B88" s="61"/>
      <c r="C88" s="60"/>
      <c r="D88" s="61"/>
      <c r="F88" s="45"/>
      <c r="G88" s="45"/>
      <c r="H88" s="45"/>
      <c r="I88" s="37"/>
      <c r="J88" s="73"/>
      <c r="K88" s="74"/>
      <c r="L88" s="75"/>
      <c r="M88" s="76"/>
      <c r="N88" s="76"/>
      <c r="O88" s="77"/>
      <c r="P88" s="77"/>
      <c r="Q88" s="78"/>
      <c r="R88" s="79"/>
      <c r="S88" s="62"/>
      <c r="T88" s="62"/>
    </row>
    <row r="89" spans="1:22" s="4" customFormat="1" ht="15" customHeight="1" x14ac:dyDescent="0.25">
      <c r="A89" s="60"/>
      <c r="B89" s="61"/>
      <c r="C89" s="60"/>
      <c r="D89" s="61" t="s">
        <v>524</v>
      </c>
      <c r="E89" s="63"/>
      <c r="F89" s="45"/>
      <c r="G89" s="45"/>
      <c r="H89" s="45"/>
      <c r="I89" s="37"/>
      <c r="J89" s="73">
        <v>60.8</v>
      </c>
      <c r="K89" s="74"/>
      <c r="L89" s="75"/>
      <c r="M89" s="76"/>
      <c r="N89" s="76"/>
      <c r="O89" s="77"/>
      <c r="P89" s="77"/>
      <c r="Q89" s="78"/>
      <c r="R89" s="79"/>
      <c r="S89" s="62"/>
      <c r="T89" s="62"/>
    </row>
    <row r="90" spans="1:22" s="4" customFormat="1" ht="15" customHeight="1" x14ac:dyDescent="0.25">
      <c r="A90" s="60"/>
      <c r="B90" s="61"/>
      <c r="C90" s="60"/>
      <c r="D90" s="61"/>
      <c r="E90" s="63"/>
      <c r="F90" s="45"/>
      <c r="G90" s="45"/>
      <c r="H90" s="45"/>
      <c r="I90" s="37"/>
      <c r="J90" s="73"/>
      <c r="K90" s="74"/>
      <c r="L90" s="75"/>
      <c r="M90" s="76"/>
      <c r="N90" s="76"/>
      <c r="O90" s="77"/>
      <c r="P90" s="77"/>
      <c r="Q90" s="78"/>
      <c r="R90" s="79"/>
      <c r="S90" s="62"/>
      <c r="T90" s="62"/>
    </row>
    <row r="91" spans="1:22" s="4" customFormat="1" ht="18" customHeight="1" x14ac:dyDescent="0.25">
      <c r="A91" s="34"/>
      <c r="B91" s="39" t="s">
        <v>506</v>
      </c>
      <c r="C91" s="36" t="s">
        <v>52</v>
      </c>
      <c r="D91" s="36" t="s">
        <v>395</v>
      </c>
      <c r="E91" s="36"/>
      <c r="F91" s="37"/>
      <c r="G91" s="37"/>
      <c r="H91" s="37"/>
      <c r="I91" s="37"/>
      <c r="J91" s="73"/>
      <c r="K91" s="74"/>
      <c r="L91" s="75"/>
      <c r="M91" s="76"/>
      <c r="N91" s="76"/>
      <c r="O91" s="77"/>
      <c r="P91" s="77"/>
      <c r="Q91" s="78"/>
      <c r="R91" s="79"/>
      <c r="S91" s="36"/>
      <c r="T91" s="36"/>
      <c r="V91" s="80"/>
    </row>
    <row r="92" spans="1:22" s="4" customFormat="1" ht="18" customHeight="1" x14ac:dyDescent="0.25">
      <c r="A92" s="34"/>
      <c r="B92" s="39"/>
      <c r="C92" s="36"/>
      <c r="D92" s="39" t="s">
        <v>525</v>
      </c>
      <c r="E92" s="36" t="s">
        <v>467</v>
      </c>
      <c r="F92" s="37">
        <v>1</v>
      </c>
      <c r="G92" s="37"/>
      <c r="H92" s="37"/>
      <c r="I92" s="37"/>
      <c r="J92" s="73">
        <v>5.2</v>
      </c>
      <c r="K92" s="74"/>
      <c r="L92" s="75"/>
      <c r="M92" s="76"/>
      <c r="N92" s="76"/>
      <c r="O92" s="77"/>
      <c r="P92" s="77"/>
      <c r="Q92" s="78"/>
      <c r="R92" s="79"/>
      <c r="S92" s="36"/>
      <c r="T92" s="36"/>
    </row>
    <row r="93" spans="1:22" s="4" customFormat="1" ht="18" customHeight="1" x14ac:dyDescent="0.25">
      <c r="A93" s="34"/>
      <c r="B93" s="35"/>
      <c r="C93" s="35"/>
      <c r="D93" s="36"/>
      <c r="E93" s="36" t="s">
        <v>508</v>
      </c>
      <c r="F93" s="37">
        <v>1</v>
      </c>
      <c r="G93" s="37">
        <v>5.46</v>
      </c>
      <c r="H93" s="37"/>
      <c r="I93" s="37">
        <v>2.25</v>
      </c>
      <c r="J93" s="73">
        <f>PRODUCT(F93:I93)</f>
        <v>12.285</v>
      </c>
      <c r="K93" s="74"/>
      <c r="L93" s="75"/>
      <c r="M93" s="76"/>
      <c r="N93" s="76"/>
      <c r="O93" s="77"/>
      <c r="P93" s="77"/>
      <c r="Q93" s="78"/>
      <c r="R93" s="79"/>
      <c r="S93" s="36"/>
      <c r="T93" s="36"/>
      <c r="V93" s="80"/>
    </row>
    <row r="94" spans="1:22" s="4" customFormat="1" ht="18" customHeight="1" x14ac:dyDescent="0.25">
      <c r="A94" s="34"/>
      <c r="B94" s="35"/>
      <c r="C94" s="35"/>
      <c r="D94" s="36"/>
      <c r="E94" s="36" t="s">
        <v>509</v>
      </c>
      <c r="F94" s="37">
        <v>1</v>
      </c>
      <c r="G94" s="37">
        <v>2.21</v>
      </c>
      <c r="H94" s="37"/>
      <c r="I94" s="37">
        <v>0.6</v>
      </c>
      <c r="J94" s="97">
        <f t="shared" ref="J94:J95" si="12">PRODUCT(F94:I94)</f>
        <v>1.3259999999999998</v>
      </c>
      <c r="K94" s="74"/>
      <c r="L94" s="75"/>
      <c r="M94" s="76"/>
      <c r="N94" s="76"/>
      <c r="O94" s="77"/>
      <c r="P94" s="77"/>
      <c r="Q94" s="78"/>
      <c r="R94" s="79"/>
      <c r="S94" s="36"/>
      <c r="T94" s="36"/>
    </row>
    <row r="95" spans="1:22" s="4" customFormat="1" ht="18" customHeight="1" x14ac:dyDescent="0.25">
      <c r="A95" s="34"/>
      <c r="B95" s="35"/>
      <c r="C95" s="35"/>
      <c r="D95" s="36"/>
      <c r="E95" s="36" t="s">
        <v>510</v>
      </c>
      <c r="F95" s="37">
        <v>1</v>
      </c>
      <c r="G95" s="37">
        <v>2.2000000000000002</v>
      </c>
      <c r="H95" s="37"/>
      <c r="I95" s="37">
        <v>0.6</v>
      </c>
      <c r="J95" s="97">
        <f t="shared" si="12"/>
        <v>1.32</v>
      </c>
      <c r="K95" s="74"/>
      <c r="L95" s="75"/>
      <c r="M95" s="76"/>
      <c r="N95" s="76"/>
      <c r="O95" s="77"/>
      <c r="P95" s="77"/>
      <c r="Q95" s="78"/>
      <c r="R95" s="79"/>
      <c r="S95" s="36"/>
      <c r="T95" s="36"/>
    </row>
    <row r="96" spans="1:22" s="4" customFormat="1" ht="18" customHeight="1" x14ac:dyDescent="0.25">
      <c r="A96" s="34"/>
      <c r="B96" s="35"/>
      <c r="C96" s="35"/>
      <c r="D96" s="36"/>
      <c r="E96" s="36" t="s">
        <v>511</v>
      </c>
      <c r="F96" s="37">
        <v>1</v>
      </c>
      <c r="G96" s="37"/>
      <c r="H96" s="37"/>
      <c r="I96" s="37"/>
      <c r="J96" s="73"/>
      <c r="K96" s="74"/>
      <c r="L96" s="75"/>
      <c r="M96" s="76"/>
      <c r="N96" s="76"/>
      <c r="O96" s="77"/>
      <c r="P96" s="77"/>
      <c r="Q96" s="78"/>
      <c r="R96" s="79"/>
      <c r="S96" s="36"/>
      <c r="T96" s="36"/>
    </row>
    <row r="97" spans="1:22" s="4" customFormat="1" ht="18" customHeight="1" x14ac:dyDescent="0.25">
      <c r="A97" s="34"/>
      <c r="B97" s="35"/>
      <c r="C97" s="35"/>
      <c r="D97" s="36"/>
      <c r="E97" s="36"/>
      <c r="F97" s="45"/>
      <c r="G97" s="45"/>
      <c r="H97" s="45"/>
      <c r="I97" s="37"/>
      <c r="J97" s="73"/>
      <c r="K97" s="74"/>
      <c r="L97" s="75"/>
      <c r="M97" s="76"/>
      <c r="N97" s="76"/>
      <c r="O97" s="77"/>
      <c r="P97" s="77"/>
      <c r="Q97" s="78"/>
      <c r="R97" s="79"/>
      <c r="S97" s="36"/>
      <c r="T97" s="36"/>
    </row>
    <row r="98" spans="1:22" s="4" customFormat="1" ht="15" customHeight="1" x14ac:dyDescent="0.25">
      <c r="A98" s="60"/>
      <c r="B98" s="61"/>
      <c r="C98" s="60"/>
      <c r="D98" s="61" t="s">
        <v>522</v>
      </c>
      <c r="E98" s="63"/>
      <c r="F98" s="45"/>
      <c r="G98" s="45"/>
      <c r="H98" s="45"/>
      <c r="I98" s="37"/>
      <c r="J98" s="73">
        <v>25.96</v>
      </c>
      <c r="K98" s="74"/>
      <c r="L98" s="75"/>
      <c r="M98" s="76"/>
      <c r="N98" s="76"/>
      <c r="O98" s="77"/>
      <c r="P98" s="77"/>
      <c r="Q98" s="78"/>
      <c r="R98" s="79"/>
      <c r="S98" s="62"/>
      <c r="T98" s="62"/>
    </row>
    <row r="99" spans="1:22" s="4" customFormat="1" ht="15" customHeight="1" x14ac:dyDescent="0.25">
      <c r="A99" s="60"/>
      <c r="B99" s="61"/>
      <c r="C99" s="60"/>
      <c r="D99" s="61" t="s">
        <v>526</v>
      </c>
      <c r="E99" s="63"/>
      <c r="F99" s="45"/>
      <c r="G99" s="45"/>
      <c r="H99" s="45"/>
      <c r="I99" s="37"/>
      <c r="J99" s="73">
        <v>77</v>
      </c>
      <c r="K99" s="74"/>
      <c r="L99" s="75"/>
      <c r="M99" s="76"/>
      <c r="N99" s="76"/>
      <c r="O99" s="77"/>
      <c r="P99" s="77"/>
      <c r="Q99" s="78"/>
      <c r="R99" s="79"/>
      <c r="S99" s="62"/>
      <c r="T99" s="62"/>
    </row>
    <row r="100" spans="1:22" s="4" customFormat="1" ht="15" customHeight="1" x14ac:dyDescent="0.25">
      <c r="A100" s="60"/>
      <c r="B100" s="61"/>
      <c r="C100" s="60"/>
      <c r="D100" s="61" t="s">
        <v>527</v>
      </c>
      <c r="E100" s="63"/>
      <c r="F100" s="45"/>
      <c r="G100" s="45"/>
      <c r="H100" s="45"/>
      <c r="I100" s="37"/>
      <c r="J100" s="73">
        <v>6.6</v>
      </c>
      <c r="K100" s="74"/>
      <c r="L100" s="75"/>
      <c r="M100" s="76"/>
      <c r="N100" s="76"/>
      <c r="O100" s="77"/>
      <c r="P100" s="77"/>
      <c r="Q100" s="78"/>
      <c r="R100" s="79"/>
      <c r="S100" s="62"/>
      <c r="T100" s="62"/>
    </row>
    <row r="101" spans="1:22" s="4" customFormat="1" ht="15" customHeight="1" x14ac:dyDescent="0.25">
      <c r="A101" s="60"/>
      <c r="B101" s="61"/>
      <c r="C101" s="60"/>
      <c r="D101" s="61" t="s">
        <v>528</v>
      </c>
      <c r="E101" s="63"/>
      <c r="F101" s="45"/>
      <c r="G101" s="45"/>
      <c r="H101" s="45"/>
      <c r="I101" s="37"/>
      <c r="J101" s="73">
        <v>240</v>
      </c>
      <c r="K101" s="74"/>
      <c r="L101" s="75"/>
      <c r="M101" s="76"/>
      <c r="N101" s="76"/>
      <c r="O101" s="77"/>
      <c r="P101" s="77"/>
      <c r="Q101" s="78"/>
      <c r="R101" s="79"/>
      <c r="S101" s="62"/>
      <c r="T101" s="62"/>
    </row>
    <row r="102" spans="1:22" s="4" customFormat="1" ht="15" customHeight="1" x14ac:dyDescent="0.25">
      <c r="A102" s="60"/>
      <c r="B102" s="61"/>
      <c r="C102" s="60"/>
      <c r="D102" s="61"/>
      <c r="E102" s="63"/>
      <c r="F102" s="45"/>
      <c r="G102" s="45"/>
      <c r="H102" s="45"/>
      <c r="I102" s="37"/>
      <c r="J102" s="73"/>
      <c r="K102" s="74"/>
      <c r="L102" s="75"/>
      <c r="M102" s="76"/>
      <c r="N102" s="76"/>
      <c r="O102" s="77"/>
      <c r="P102" s="77"/>
      <c r="Q102" s="78"/>
      <c r="R102" s="79"/>
      <c r="S102" s="62"/>
      <c r="T102" s="62"/>
    </row>
    <row r="103" spans="1:22" s="4" customFormat="1" ht="18" customHeight="1" x14ac:dyDescent="0.25">
      <c r="A103" s="34"/>
      <c r="B103" s="39" t="s">
        <v>506</v>
      </c>
      <c r="C103" s="36" t="s">
        <v>52</v>
      </c>
      <c r="D103" s="36" t="s">
        <v>529</v>
      </c>
      <c r="E103" s="36"/>
      <c r="F103" s="37"/>
      <c r="G103" s="37"/>
      <c r="H103" s="37"/>
      <c r="I103" s="37"/>
      <c r="J103" s="73"/>
      <c r="K103" s="74"/>
      <c r="L103" s="75"/>
      <c r="M103" s="76"/>
      <c r="N103" s="76"/>
      <c r="O103" s="77"/>
      <c r="P103" s="77"/>
      <c r="Q103" s="78"/>
      <c r="R103" s="79"/>
      <c r="S103" s="36"/>
      <c r="T103" s="36"/>
      <c r="V103" s="80"/>
    </row>
    <row r="104" spans="1:22" s="4" customFormat="1" ht="18" customHeight="1" x14ac:dyDescent="0.25">
      <c r="A104" s="34"/>
      <c r="B104" s="39"/>
      <c r="C104" s="36"/>
      <c r="D104" s="61" t="s">
        <v>528</v>
      </c>
      <c r="E104" s="63"/>
      <c r="F104" s="45"/>
      <c r="G104" s="45"/>
      <c r="H104" s="45"/>
      <c r="I104" s="37"/>
      <c r="J104" s="73">
        <v>106</v>
      </c>
      <c r="K104" s="74"/>
      <c r="L104" s="75"/>
      <c r="M104" s="76"/>
      <c r="N104" s="76"/>
      <c r="O104" s="77"/>
      <c r="P104" s="77"/>
      <c r="Q104" s="78"/>
      <c r="R104" s="79"/>
      <c r="S104" s="36"/>
      <c r="T104" s="36"/>
    </row>
    <row r="105" spans="1:22" s="4" customFormat="1" ht="18" customHeight="1" x14ac:dyDescent="0.25">
      <c r="A105" s="34"/>
      <c r="B105" s="35"/>
      <c r="C105" s="35"/>
      <c r="D105" s="36"/>
      <c r="E105" s="36"/>
      <c r="F105" s="37"/>
      <c r="G105" s="37"/>
      <c r="H105" s="37"/>
      <c r="I105" s="37"/>
      <c r="J105" s="73"/>
      <c r="K105" s="74"/>
      <c r="L105" s="75"/>
      <c r="M105" s="76"/>
      <c r="N105" s="76"/>
      <c r="O105" s="77"/>
      <c r="P105" s="77"/>
      <c r="Q105" s="78"/>
      <c r="R105" s="79"/>
      <c r="S105" s="36"/>
      <c r="T105" s="36"/>
      <c r="V105" s="80"/>
    </row>
    <row r="106" spans="1:22" s="4" customFormat="1" ht="18" customHeight="1" x14ac:dyDescent="0.25">
      <c r="A106" s="34"/>
      <c r="B106" s="35"/>
      <c r="C106" s="35"/>
      <c r="D106" s="36" t="s">
        <v>540</v>
      </c>
      <c r="E106" s="36"/>
      <c r="F106" s="37"/>
      <c r="G106" s="37"/>
      <c r="H106" s="37"/>
      <c r="I106" s="37"/>
      <c r="J106" s="73">
        <f>J92+J78+J72+J66+J60+J53+J47+J41+J35+J29+J23+J17</f>
        <v>101.66499999999998</v>
      </c>
      <c r="K106" s="74"/>
      <c r="L106" s="75"/>
      <c r="M106" s="76"/>
      <c r="N106" s="76"/>
      <c r="O106" s="77"/>
      <c r="P106" s="77"/>
      <c r="Q106" s="78"/>
      <c r="R106" s="79"/>
      <c r="S106" s="36"/>
      <c r="T106" s="36"/>
      <c r="V106" s="80"/>
    </row>
    <row r="107" spans="1:22" s="4" customFormat="1" ht="18" customHeight="1" x14ac:dyDescent="0.25">
      <c r="A107" s="34"/>
      <c r="B107" s="35"/>
      <c r="C107" s="35"/>
      <c r="D107" s="36" t="s">
        <v>541</v>
      </c>
      <c r="E107" s="36"/>
      <c r="F107" s="37"/>
      <c r="G107" s="37"/>
      <c r="H107" s="37"/>
      <c r="I107" s="37"/>
      <c r="J107" s="73">
        <f>J18+J24+J30+J61+J67+J73+J79+J93</f>
        <v>73.394999999999996</v>
      </c>
      <c r="K107" s="74"/>
      <c r="L107" s="75"/>
      <c r="M107" s="76"/>
      <c r="N107" s="76"/>
      <c r="O107" s="77"/>
      <c r="P107" s="77"/>
      <c r="Q107" s="78"/>
      <c r="R107" s="79"/>
      <c r="S107" s="36"/>
      <c r="T107" s="36"/>
      <c r="V107" s="80"/>
    </row>
    <row r="108" spans="1:22" s="4" customFormat="1" ht="18" customHeight="1" x14ac:dyDescent="0.25">
      <c r="A108" s="34"/>
      <c r="B108" s="35"/>
      <c r="C108" s="35"/>
      <c r="D108" s="36" t="s">
        <v>542</v>
      </c>
      <c r="E108" s="36"/>
      <c r="F108" s="37"/>
      <c r="G108" s="37"/>
      <c r="H108" s="37"/>
      <c r="I108" s="37"/>
      <c r="J108" s="73">
        <f>J19+J25+J31+J62+J68+J74+J80+J94+J43+J49</f>
        <v>14.862000000000002</v>
      </c>
      <c r="K108" s="74"/>
      <c r="L108" s="75"/>
      <c r="M108" s="76"/>
      <c r="N108" s="76"/>
      <c r="O108" s="77"/>
      <c r="P108" s="77"/>
      <c r="Q108" s="78"/>
      <c r="R108" s="79"/>
      <c r="S108" s="36"/>
      <c r="T108" s="36"/>
      <c r="V108" s="80"/>
    </row>
    <row r="109" spans="1:22" s="4" customFormat="1" ht="18" customHeight="1" x14ac:dyDescent="0.25">
      <c r="A109" s="34"/>
      <c r="B109" s="35"/>
      <c r="C109" s="35"/>
      <c r="D109" s="36" t="s">
        <v>543</v>
      </c>
      <c r="E109" s="36"/>
      <c r="F109" s="37"/>
      <c r="G109" s="37"/>
      <c r="H109" s="37"/>
      <c r="I109" s="37"/>
      <c r="J109" s="73">
        <f>J20+J26+J32+J63+J69+J75+J81+J95+J44+J50</f>
        <v>19.182000000000002</v>
      </c>
      <c r="K109" s="74"/>
      <c r="L109" s="75"/>
      <c r="M109" s="76"/>
      <c r="N109" s="76"/>
      <c r="O109" s="77"/>
      <c r="P109" s="77"/>
      <c r="Q109" s="78"/>
      <c r="R109" s="79"/>
      <c r="S109" s="36"/>
      <c r="T109" s="36"/>
      <c r="V109" s="80"/>
    </row>
    <row r="110" spans="1:22" s="4" customFormat="1" ht="18" customHeight="1" x14ac:dyDescent="0.25">
      <c r="A110" s="34"/>
      <c r="B110" s="35"/>
      <c r="C110" s="35"/>
      <c r="D110" s="36" t="s">
        <v>544</v>
      </c>
      <c r="E110" s="36"/>
      <c r="F110" s="37"/>
      <c r="G110" s="37">
        <f>G96+G82+G76+G70+G64+G57+G51+G45+G39+G33+G27+G21</f>
        <v>48.579999999999991</v>
      </c>
      <c r="H110" s="37"/>
      <c r="I110" s="37"/>
      <c r="J110" s="73"/>
      <c r="K110" s="74"/>
      <c r="L110" s="75"/>
      <c r="M110" s="76"/>
      <c r="N110" s="76"/>
      <c r="O110" s="77"/>
      <c r="P110" s="77"/>
      <c r="Q110" s="78"/>
      <c r="R110" s="79"/>
      <c r="S110" s="36"/>
      <c r="T110" s="36"/>
      <c r="V110" s="80"/>
    </row>
    <row r="111" spans="1:22" s="4" customFormat="1" ht="18" customHeight="1" x14ac:dyDescent="0.25">
      <c r="A111" s="34"/>
      <c r="B111" s="35"/>
      <c r="C111" s="35"/>
      <c r="D111" s="36" t="s">
        <v>552</v>
      </c>
      <c r="E111" s="36"/>
      <c r="F111" s="37"/>
      <c r="G111" s="37"/>
      <c r="H111" s="37"/>
      <c r="I111" s="37"/>
      <c r="J111" s="73">
        <f>J84+J98+J100</f>
        <v>54.56</v>
      </c>
      <c r="K111" s="74"/>
      <c r="L111" s="75"/>
      <c r="M111" s="76"/>
      <c r="N111" s="76"/>
      <c r="O111" s="77"/>
      <c r="P111" s="77"/>
      <c r="Q111" s="78"/>
      <c r="R111" s="79"/>
      <c r="S111" s="36"/>
      <c r="T111" s="36"/>
      <c r="V111" s="80"/>
    </row>
    <row r="112" spans="1:22" s="4" customFormat="1" ht="18" customHeight="1" x14ac:dyDescent="0.25">
      <c r="A112" s="34"/>
      <c r="B112" s="35"/>
      <c r="C112" s="35"/>
      <c r="D112" s="36" t="s">
        <v>528</v>
      </c>
      <c r="E112" s="36"/>
      <c r="F112" s="37"/>
      <c r="G112" s="37"/>
      <c r="H112" s="37"/>
      <c r="I112" s="37"/>
      <c r="J112" s="73">
        <f>J104+J101+J86</f>
        <v>385</v>
      </c>
      <c r="K112" s="74"/>
      <c r="L112" s="75"/>
      <c r="M112" s="76"/>
      <c r="N112" s="76"/>
      <c r="O112" s="77"/>
      <c r="P112" s="77"/>
      <c r="Q112" s="78"/>
      <c r="R112" s="79"/>
      <c r="S112" s="36"/>
      <c r="T112" s="36"/>
      <c r="V112" s="80"/>
    </row>
    <row r="113" spans="1:22" s="4" customFormat="1" ht="18" customHeight="1" x14ac:dyDescent="0.25">
      <c r="A113" s="34"/>
      <c r="B113" s="35"/>
      <c r="C113" s="35"/>
      <c r="D113" s="36" t="s">
        <v>524</v>
      </c>
      <c r="E113" s="36"/>
      <c r="F113" s="37"/>
      <c r="G113" s="37"/>
      <c r="H113" s="37"/>
      <c r="I113" s="37"/>
      <c r="J113" s="73">
        <f>J89</f>
        <v>60.8</v>
      </c>
      <c r="K113" s="74"/>
      <c r="L113" s="75"/>
      <c r="M113" s="76"/>
      <c r="N113" s="76"/>
      <c r="O113" s="77"/>
      <c r="P113" s="77"/>
      <c r="Q113" s="78"/>
      <c r="R113" s="79"/>
      <c r="S113" s="36"/>
      <c r="T113" s="36"/>
      <c r="V113" s="80"/>
    </row>
    <row r="114" spans="1:22" s="4" customFormat="1" ht="18" customHeight="1" x14ac:dyDescent="0.25">
      <c r="A114" s="34"/>
      <c r="B114" s="35"/>
      <c r="C114" s="35"/>
      <c r="D114" s="36"/>
      <c r="E114" s="36"/>
      <c r="F114" s="37"/>
      <c r="G114" s="37"/>
      <c r="H114" s="37"/>
      <c r="I114" s="37"/>
      <c r="J114" s="73"/>
      <c r="K114" s="74"/>
      <c r="L114" s="75"/>
      <c r="M114" s="76"/>
      <c r="N114" s="76"/>
      <c r="O114" s="77"/>
      <c r="P114" s="77"/>
      <c r="Q114" s="78"/>
      <c r="R114" s="79"/>
      <c r="S114" s="36"/>
      <c r="T114" s="36"/>
    </row>
    <row r="115" spans="1:22" s="4" customFormat="1" ht="18" customHeight="1" x14ac:dyDescent="0.25">
      <c r="A115" s="34"/>
      <c r="B115" s="232" t="s">
        <v>536</v>
      </c>
      <c r="C115" s="35"/>
      <c r="D115" s="36"/>
      <c r="E115" s="36"/>
      <c r="F115" s="37"/>
      <c r="G115" s="37"/>
      <c r="H115" s="37"/>
      <c r="I115" s="37"/>
      <c r="J115" s="73"/>
      <c r="K115" s="74"/>
      <c r="L115" s="75"/>
      <c r="M115" s="76"/>
      <c r="N115" s="76"/>
      <c r="O115" s="77"/>
      <c r="P115" s="77"/>
      <c r="Q115" s="78"/>
      <c r="R115" s="79"/>
      <c r="S115" s="36"/>
      <c r="T115" s="36"/>
    </row>
    <row r="116" spans="1:22" s="4" customFormat="1" ht="18" customHeight="1" x14ac:dyDescent="0.25">
      <c r="A116" s="34"/>
      <c r="B116" s="35"/>
      <c r="C116" s="35"/>
      <c r="D116" s="36" t="s">
        <v>7</v>
      </c>
      <c r="E116" s="36" t="s">
        <v>163</v>
      </c>
      <c r="F116" s="37"/>
      <c r="G116" s="37"/>
      <c r="H116" s="37"/>
      <c r="I116" s="37"/>
      <c r="J116" s="73">
        <v>14.2</v>
      </c>
      <c r="K116" s="74"/>
      <c r="L116" s="75"/>
      <c r="M116" s="76"/>
      <c r="N116" s="76"/>
      <c r="O116" s="77"/>
      <c r="P116" s="77"/>
      <c r="Q116" s="78"/>
      <c r="R116" s="79"/>
      <c r="S116" s="36"/>
      <c r="T116" s="36"/>
    </row>
    <row r="117" spans="1:22" s="4" customFormat="1" ht="18" customHeight="1" x14ac:dyDescent="0.25">
      <c r="A117" s="34"/>
      <c r="B117" s="35"/>
      <c r="C117" s="35"/>
      <c r="D117" s="36"/>
      <c r="E117" s="36" t="s">
        <v>537</v>
      </c>
      <c r="F117" s="37"/>
      <c r="G117" s="37"/>
      <c r="H117" s="37"/>
      <c r="I117" s="37"/>
      <c r="J117" s="73">
        <f>J116</f>
        <v>14.2</v>
      </c>
      <c r="K117" s="74"/>
      <c r="L117" s="75"/>
      <c r="M117" s="76"/>
      <c r="N117" s="76"/>
      <c r="O117" s="77"/>
      <c r="P117" s="77"/>
      <c r="Q117" s="78"/>
      <c r="R117" s="79"/>
      <c r="S117" s="36"/>
      <c r="T117" s="36"/>
    </row>
    <row r="118" spans="1:22" s="4" customFormat="1" ht="18" customHeight="1" x14ac:dyDescent="0.25">
      <c r="A118" s="34"/>
      <c r="B118" s="35"/>
      <c r="C118" s="35"/>
      <c r="D118" s="36"/>
      <c r="E118" s="36" t="s">
        <v>538</v>
      </c>
      <c r="F118" s="37">
        <v>1</v>
      </c>
      <c r="G118" s="37">
        <v>22</v>
      </c>
      <c r="H118" s="37"/>
      <c r="I118" s="37">
        <v>3</v>
      </c>
      <c r="J118" s="73">
        <f>F118*G118*I118</f>
        <v>66</v>
      </c>
      <c r="K118" s="74"/>
      <c r="L118" s="75"/>
      <c r="M118" s="76"/>
      <c r="N118" s="76"/>
      <c r="O118" s="77"/>
      <c r="P118" s="77"/>
      <c r="Q118" s="78"/>
      <c r="R118" s="79"/>
      <c r="S118" s="36"/>
      <c r="T118" s="36"/>
    </row>
    <row r="119" spans="1:22" s="4" customFormat="1" ht="18" customHeight="1" x14ac:dyDescent="0.25">
      <c r="A119" s="34"/>
      <c r="B119" s="35"/>
      <c r="C119" s="35"/>
      <c r="D119" s="36"/>
      <c r="E119" s="36"/>
      <c r="F119" s="37"/>
      <c r="G119" s="37"/>
      <c r="H119" s="37"/>
      <c r="I119" s="37"/>
      <c r="J119" s="73"/>
      <c r="K119" s="74"/>
      <c r="L119" s="75"/>
      <c r="M119" s="76"/>
      <c r="N119" s="76"/>
      <c r="O119" s="77"/>
      <c r="P119" s="77"/>
      <c r="Q119" s="78"/>
      <c r="R119" s="79"/>
      <c r="S119" s="36"/>
      <c r="T119" s="36"/>
    </row>
    <row r="120" spans="1:22" s="4" customFormat="1" ht="18" customHeight="1" x14ac:dyDescent="0.25">
      <c r="A120" s="34"/>
      <c r="B120" s="35"/>
      <c r="C120" s="35"/>
      <c r="D120" s="36"/>
      <c r="E120" s="36"/>
      <c r="F120" s="37"/>
      <c r="G120" s="37"/>
      <c r="H120" s="37"/>
      <c r="I120" s="37"/>
      <c r="J120" s="73"/>
      <c r="K120" s="74"/>
      <c r="L120" s="75"/>
      <c r="M120" s="76"/>
      <c r="N120" s="76"/>
      <c r="O120" s="77"/>
      <c r="P120" s="77"/>
      <c r="Q120" s="78"/>
      <c r="R120" s="79"/>
      <c r="S120" s="36"/>
      <c r="T120" s="36"/>
    </row>
    <row r="121" spans="1:22" s="4" customFormat="1" ht="18" customHeight="1" x14ac:dyDescent="0.25">
      <c r="A121" s="34"/>
      <c r="B121" s="35"/>
      <c r="C121" s="35"/>
      <c r="D121" s="36"/>
      <c r="E121" s="36"/>
      <c r="F121" s="37"/>
      <c r="G121" s="37"/>
      <c r="H121" s="37"/>
      <c r="I121" s="37"/>
      <c r="J121" s="73"/>
      <c r="K121" s="74"/>
      <c r="L121" s="75"/>
      <c r="M121" s="76"/>
      <c r="N121" s="76"/>
      <c r="O121" s="77"/>
      <c r="P121" s="77"/>
      <c r="Q121" s="78"/>
      <c r="R121" s="79"/>
      <c r="S121" s="36"/>
      <c r="T121" s="36"/>
    </row>
    <row r="122" spans="1:22" s="4" customFormat="1" ht="18" customHeight="1" x14ac:dyDescent="0.25">
      <c r="A122" s="34"/>
      <c r="B122" s="35"/>
      <c r="C122" s="35"/>
      <c r="D122" s="36"/>
      <c r="E122" s="36"/>
      <c r="F122" s="45"/>
      <c r="G122" s="45"/>
      <c r="H122" s="45"/>
      <c r="I122" s="37"/>
      <c r="J122" s="73"/>
      <c r="K122" s="74"/>
      <c r="L122" s="75"/>
      <c r="M122" s="76"/>
      <c r="N122" s="76"/>
      <c r="O122" s="77"/>
      <c r="P122" s="77"/>
      <c r="Q122" s="78"/>
      <c r="R122" s="79"/>
      <c r="S122" s="36"/>
      <c r="T122" s="36"/>
    </row>
    <row r="123" spans="1:22" s="6" customFormat="1" ht="18" customHeight="1" x14ac:dyDescent="0.25">
      <c r="A123" s="42"/>
      <c r="B123" s="42"/>
      <c r="C123" s="42"/>
      <c r="D123" s="42"/>
      <c r="E123" s="43"/>
      <c r="F123" s="45"/>
      <c r="G123" s="45"/>
      <c r="H123" s="46"/>
      <c r="I123" s="45"/>
      <c r="J123" s="46"/>
      <c r="K123" s="89"/>
      <c r="L123" s="90"/>
      <c r="M123" s="91"/>
      <c r="N123" s="91"/>
      <c r="O123" s="92"/>
      <c r="P123" s="92"/>
      <c r="Q123" s="93"/>
      <c r="R123" s="94"/>
      <c r="S123" s="42"/>
      <c r="T123" s="42"/>
    </row>
    <row r="124" spans="1:22" s="6" customFormat="1" ht="26.25" customHeight="1" x14ac:dyDescent="0.25">
      <c r="A124" s="275" t="s">
        <v>158</v>
      </c>
      <c r="B124" s="276"/>
      <c r="C124" s="276"/>
      <c r="D124" s="276"/>
      <c r="E124" s="276"/>
      <c r="F124" s="276"/>
      <c r="G124" s="276"/>
      <c r="H124" s="276"/>
      <c r="I124" s="277"/>
      <c r="J124" s="53">
        <f>SUM(J29:J45)</f>
        <v>30.193000000000001</v>
      </c>
      <c r="K124" s="54">
        <f t="shared" ref="K124:R124" si="13">SUM(K13:K45)</f>
        <v>2.1599999999999997</v>
      </c>
      <c r="L124" s="54">
        <f t="shared" si="13"/>
        <v>6.48</v>
      </c>
      <c r="M124" s="54">
        <f>SUM(M13:M45)-M43</f>
        <v>7.1999999999999993</v>
      </c>
      <c r="N124" s="54">
        <f t="shared" si="13"/>
        <v>6.48</v>
      </c>
      <c r="O124" s="54">
        <f t="shared" si="13"/>
        <v>7.1999999999999993</v>
      </c>
      <c r="P124" s="54">
        <f t="shared" si="13"/>
        <v>6.48</v>
      </c>
      <c r="Q124" s="54">
        <f t="shared" si="13"/>
        <v>7.1999999999999993</v>
      </c>
      <c r="R124" s="54">
        <f t="shared" si="13"/>
        <v>0.36</v>
      </c>
      <c r="S124" s="47"/>
      <c r="T124" s="56"/>
    </row>
    <row r="125" spans="1:22" s="6" customFormat="1" ht="12.75" x14ac:dyDescent="0.25"/>
    <row r="128" spans="1:22" x14ac:dyDescent="0.25">
      <c r="D128" t="s">
        <v>381</v>
      </c>
      <c r="E128" s="240"/>
    </row>
    <row r="129" spans="4:8" x14ac:dyDescent="0.25">
      <c r="D129" t="s">
        <v>552</v>
      </c>
      <c r="E129" s="240">
        <v>22</v>
      </c>
      <c r="H129" t="s">
        <v>596</v>
      </c>
    </row>
    <row r="130" spans="4:8" x14ac:dyDescent="0.25">
      <c r="D130" t="s">
        <v>552</v>
      </c>
      <c r="E130" s="240">
        <f>105.45*0.15</f>
        <v>15.817499999999999</v>
      </c>
    </row>
    <row r="131" spans="4:8" x14ac:dyDescent="0.25">
      <c r="D131" t="s">
        <v>595</v>
      </c>
      <c r="E131" s="240">
        <f>6.6</f>
        <v>6.6</v>
      </c>
    </row>
    <row r="132" spans="4:8" x14ac:dyDescent="0.25">
      <c r="D132" t="s">
        <v>589</v>
      </c>
      <c r="E132" s="240">
        <v>41.5</v>
      </c>
    </row>
    <row r="133" spans="4:8" x14ac:dyDescent="0.25">
      <c r="D133" t="s">
        <v>590</v>
      </c>
      <c r="E133" s="240">
        <v>61</v>
      </c>
    </row>
    <row r="134" spans="4:8" x14ac:dyDescent="0.25">
      <c r="D134" t="s">
        <v>591</v>
      </c>
      <c r="E134" s="240">
        <f>61*0.15</f>
        <v>9.15</v>
      </c>
    </row>
    <row r="135" spans="4:8" x14ac:dyDescent="0.25">
      <c r="E135" s="240"/>
    </row>
    <row r="136" spans="4:8" x14ac:dyDescent="0.25">
      <c r="D136" t="s">
        <v>395</v>
      </c>
      <c r="E136" s="240"/>
    </row>
    <row r="137" spans="4:8" x14ac:dyDescent="0.25">
      <c r="D137" t="s">
        <v>584</v>
      </c>
      <c r="E137" s="240">
        <v>240</v>
      </c>
    </row>
    <row r="138" spans="4:8" x14ac:dyDescent="0.25">
      <c r="D138" t="s">
        <v>592</v>
      </c>
      <c r="E138" s="240">
        <f>202.8*0.15</f>
        <v>30.42</v>
      </c>
    </row>
    <row r="139" spans="4:8" x14ac:dyDescent="0.25">
      <c r="E139" s="240"/>
    </row>
    <row r="140" spans="4:8" x14ac:dyDescent="0.25">
      <c r="D140" t="s">
        <v>529</v>
      </c>
    </row>
    <row r="141" spans="4:8" x14ac:dyDescent="0.25">
      <c r="D141" t="s">
        <v>593</v>
      </c>
      <c r="E141">
        <v>106.4</v>
      </c>
    </row>
    <row r="142" spans="4:8" x14ac:dyDescent="0.25">
      <c r="D142" t="s">
        <v>594</v>
      </c>
      <c r="E142">
        <f>75.5*0.158</f>
        <v>11.929</v>
      </c>
    </row>
  </sheetData>
  <mergeCells count="2">
    <mergeCell ref="B11:E11"/>
    <mergeCell ref="A124:I12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8D4C-3E2C-41EE-8774-4844A1B008CE}">
  <sheetPr>
    <tabColor rgb="FFFF0000"/>
  </sheetPr>
  <dimension ref="A2:V67"/>
  <sheetViews>
    <sheetView topLeftCell="A23" zoomScale="85" zoomScaleNormal="85" workbookViewId="0">
      <selection activeCell="K40" sqref="K40"/>
    </sheetView>
  </sheetViews>
  <sheetFormatPr defaultRowHeight="15" x14ac:dyDescent="0.25"/>
  <cols>
    <col min="2" max="2" width="30.140625" customWidth="1"/>
    <col min="3" max="3" width="9.140625" customWidth="1"/>
    <col min="4" max="4" width="18.7109375" customWidth="1"/>
    <col min="5" max="5" width="17" customWidth="1"/>
    <col min="6" max="6" width="7.28515625" customWidth="1"/>
    <col min="11" max="11" width="11.7109375" customWidth="1"/>
    <col min="12" max="14" width="15.140625" customWidth="1"/>
    <col min="15" max="16" width="16.140625" customWidth="1"/>
    <col min="17" max="18" width="12.85546875" customWidth="1"/>
  </cols>
  <sheetData>
    <row r="2" spans="1:22" s="6" customFormat="1" ht="15.75" x14ac:dyDescent="0.25">
      <c r="A2" s="23" t="s">
        <v>8</v>
      </c>
      <c r="B2" s="2" t="s">
        <v>143</v>
      </c>
    </row>
    <row r="3" spans="1:22" s="6" customFormat="1" ht="15.75" x14ac:dyDescent="0.25">
      <c r="A3" s="24" t="s">
        <v>9</v>
      </c>
      <c r="B3" s="2" t="s">
        <v>142</v>
      </c>
    </row>
    <row r="4" spans="1:22" s="6" customFormat="1" ht="15.75" x14ac:dyDescent="0.25">
      <c r="A4" s="24" t="s">
        <v>10</v>
      </c>
      <c r="B4" s="2" t="s">
        <v>11</v>
      </c>
    </row>
    <row r="5" spans="1:22" s="6" customFormat="1" ht="15.75" x14ac:dyDescent="0.25">
      <c r="A5" s="24" t="s">
        <v>12</v>
      </c>
      <c r="B5" s="2" t="s">
        <v>13</v>
      </c>
    </row>
    <row r="6" spans="1:22" s="6" customFormat="1" ht="30" customHeight="1" x14ac:dyDescent="0.25">
      <c r="A6" s="25" t="s">
        <v>164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2" s="6" customFormat="1" ht="12.75" x14ac:dyDescent="0.25"/>
    <row r="8" spans="1:22" s="31" customFormat="1" ht="38.25" x14ac:dyDescent="0.25">
      <c r="A8" s="29" t="s">
        <v>36</v>
      </c>
      <c r="B8" s="29" t="s">
        <v>37</v>
      </c>
      <c r="C8" s="29" t="s">
        <v>38</v>
      </c>
      <c r="D8" s="29" t="s">
        <v>39</v>
      </c>
      <c r="E8" s="29" t="s">
        <v>16</v>
      </c>
      <c r="F8" s="29" t="s">
        <v>40</v>
      </c>
      <c r="G8" s="29" t="s">
        <v>41</v>
      </c>
      <c r="H8" s="29" t="s">
        <v>42</v>
      </c>
      <c r="I8" s="29" t="s">
        <v>43</v>
      </c>
      <c r="J8" s="30" t="s">
        <v>44</v>
      </c>
      <c r="K8" s="30" t="s">
        <v>67</v>
      </c>
      <c r="L8" s="30" t="s">
        <v>68</v>
      </c>
      <c r="M8" s="30" t="s">
        <v>69</v>
      </c>
      <c r="N8" s="30" t="s">
        <v>70</v>
      </c>
      <c r="O8" s="64" t="s">
        <v>71</v>
      </c>
      <c r="P8" s="64" t="s">
        <v>72</v>
      </c>
      <c r="Q8" s="30" t="s">
        <v>73</v>
      </c>
      <c r="R8" s="30" t="s">
        <v>105</v>
      </c>
      <c r="S8" s="29" t="s">
        <v>46</v>
      </c>
      <c r="T8" s="29" t="s">
        <v>47</v>
      </c>
    </row>
    <row r="9" spans="1:22" s="31" customFormat="1" ht="20.25" customHeight="1" x14ac:dyDescent="0.25">
      <c r="A9" s="32"/>
      <c r="B9" s="32"/>
      <c r="C9" s="32"/>
      <c r="D9" s="32"/>
      <c r="E9" s="32"/>
      <c r="F9" s="32"/>
      <c r="G9" s="29" t="s">
        <v>48</v>
      </c>
      <c r="H9" s="29" t="s">
        <v>48</v>
      </c>
      <c r="I9" s="29" t="s">
        <v>48</v>
      </c>
      <c r="J9" s="29" t="s">
        <v>49</v>
      </c>
      <c r="K9" s="29" t="s">
        <v>50</v>
      </c>
      <c r="L9" s="29" t="s">
        <v>49</v>
      </c>
      <c r="M9" s="29" t="s">
        <v>49</v>
      </c>
      <c r="N9" s="29" t="s">
        <v>49</v>
      </c>
      <c r="O9" s="65" t="s">
        <v>49</v>
      </c>
      <c r="P9" s="65" t="s">
        <v>49</v>
      </c>
      <c r="Q9" s="29" t="s">
        <v>49</v>
      </c>
      <c r="R9" s="29" t="s">
        <v>50</v>
      </c>
      <c r="S9" s="32"/>
      <c r="T9" s="32"/>
    </row>
    <row r="10" spans="1:22" s="6" customFormat="1" ht="3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66"/>
      <c r="P10" s="66"/>
      <c r="Q10" s="67"/>
      <c r="R10" s="68"/>
      <c r="S10" s="33"/>
      <c r="T10" s="33"/>
    </row>
    <row r="11" spans="1:22" s="4" customFormat="1" ht="20.25" customHeight="1" x14ac:dyDescent="0.25">
      <c r="A11" s="69" t="s">
        <v>74</v>
      </c>
      <c r="B11" s="272" t="s">
        <v>75</v>
      </c>
      <c r="C11" s="273"/>
      <c r="D11" s="273"/>
      <c r="E11" s="274"/>
      <c r="F11" s="70"/>
      <c r="G11" s="70"/>
      <c r="H11" s="70"/>
      <c r="I11" s="70"/>
      <c r="J11" s="71"/>
      <c r="K11" s="71">
        <f t="shared" ref="K11:P11" si="0">K66</f>
        <v>301.49064999999996</v>
      </c>
      <c r="L11" s="71">
        <f t="shared" si="0"/>
        <v>1015.5839999999999</v>
      </c>
      <c r="M11" s="71">
        <f>M66</f>
        <v>924.67000000000007</v>
      </c>
      <c r="N11" s="71">
        <f t="shared" si="0"/>
        <v>553.58399999999995</v>
      </c>
      <c r="O11" s="71">
        <f>O66</f>
        <v>924.67000000000007</v>
      </c>
      <c r="P11" s="71">
        <f t="shared" si="0"/>
        <v>680.154</v>
      </c>
      <c r="Q11" s="71">
        <f>Q66</f>
        <v>924.67000000000007</v>
      </c>
      <c r="R11" s="71">
        <f>R66</f>
        <v>46.233500000000006</v>
      </c>
      <c r="S11" s="36"/>
      <c r="T11" s="36"/>
    </row>
    <row r="12" spans="1:22" s="4" customFormat="1" ht="12.75" customHeight="1" x14ac:dyDescent="0.25">
      <c r="A12" s="34"/>
      <c r="B12" s="35"/>
      <c r="C12" s="35"/>
      <c r="D12" s="36"/>
      <c r="E12" s="72"/>
      <c r="F12" s="37"/>
      <c r="G12" s="37"/>
      <c r="H12" s="37"/>
      <c r="I12" s="37"/>
      <c r="J12" s="73"/>
      <c r="K12" s="74"/>
      <c r="L12" s="75"/>
      <c r="M12" s="76"/>
      <c r="N12" s="76"/>
      <c r="O12" s="77"/>
      <c r="P12" s="77"/>
      <c r="Q12" s="78"/>
      <c r="R12" s="79"/>
      <c r="S12" s="36"/>
      <c r="T12" s="36"/>
    </row>
    <row r="13" spans="1:22" s="4" customFormat="1" ht="18" customHeight="1" x14ac:dyDescent="0.25">
      <c r="A13" s="36">
        <v>1</v>
      </c>
      <c r="B13" s="39" t="s">
        <v>144</v>
      </c>
      <c r="C13" s="36" t="s">
        <v>52</v>
      </c>
      <c r="D13" s="39" t="s">
        <v>57</v>
      </c>
      <c r="E13" s="36"/>
      <c r="F13" s="37"/>
      <c r="G13" s="37"/>
      <c r="H13" s="37"/>
      <c r="I13" s="37"/>
      <c r="J13" s="73"/>
      <c r="K13" s="74"/>
      <c r="L13" s="75"/>
      <c r="M13" s="76"/>
      <c r="N13" s="76"/>
      <c r="O13" s="77"/>
      <c r="P13" s="77"/>
      <c r="Q13" s="78"/>
      <c r="R13" s="79"/>
      <c r="S13" s="36"/>
      <c r="T13" s="36"/>
    </row>
    <row r="14" spans="1:22" s="4" customFormat="1" ht="18" customHeight="1" x14ac:dyDescent="0.25">
      <c r="A14" s="34"/>
      <c r="B14" s="35"/>
      <c r="C14" s="35"/>
      <c r="D14" s="36"/>
      <c r="E14" s="36" t="s">
        <v>58</v>
      </c>
      <c r="F14" s="37">
        <v>4</v>
      </c>
      <c r="G14" s="37">
        <v>1.2</v>
      </c>
      <c r="H14" s="37">
        <v>1.5</v>
      </c>
      <c r="I14" s="37">
        <v>0.3</v>
      </c>
      <c r="J14" s="73">
        <f>F14*G14*H14</f>
        <v>7.1999999999999993</v>
      </c>
      <c r="K14" s="74">
        <f>J14*I14</f>
        <v>2.1599999999999997</v>
      </c>
      <c r="L14" s="75">
        <f>F14*2*(G14+H14)*I14</f>
        <v>6.48</v>
      </c>
      <c r="M14" s="76">
        <f>J14</f>
        <v>7.1999999999999993</v>
      </c>
      <c r="N14" s="76">
        <f>L14</f>
        <v>6.48</v>
      </c>
      <c r="O14" s="77">
        <f>J14</f>
        <v>7.1999999999999993</v>
      </c>
      <c r="P14" s="77">
        <f>L14</f>
        <v>6.48</v>
      </c>
      <c r="Q14" s="78">
        <f>J14</f>
        <v>7.1999999999999993</v>
      </c>
      <c r="R14" s="79">
        <f>J14*0.05</f>
        <v>0.36</v>
      </c>
      <c r="S14" s="36"/>
      <c r="T14" s="36"/>
      <c r="V14" s="80"/>
    </row>
    <row r="15" spans="1:22" s="4" customFormat="1" ht="18" customHeight="1" x14ac:dyDescent="0.25">
      <c r="A15" s="34"/>
      <c r="B15" s="35"/>
      <c r="C15" s="35"/>
      <c r="D15" s="36"/>
      <c r="E15" s="36" t="s">
        <v>59</v>
      </c>
      <c r="F15" s="37">
        <v>2</v>
      </c>
      <c r="G15" s="37">
        <v>1.3</v>
      </c>
      <c r="H15" s="37">
        <v>1.7</v>
      </c>
      <c r="I15" s="37">
        <v>0.3</v>
      </c>
      <c r="J15" s="73">
        <f t="shared" ref="J15:J22" si="1">F15*G15*H15</f>
        <v>4.42</v>
      </c>
      <c r="K15" s="74">
        <f t="shared" ref="K15:K22" si="2">J15*I15</f>
        <v>1.3259999999999998</v>
      </c>
      <c r="L15" s="75">
        <f t="shared" ref="L15:L22" si="3">F15*2*(G15+H15)*I15</f>
        <v>3.5999999999999996</v>
      </c>
      <c r="M15" s="76">
        <f t="shared" ref="M15:M27" si="4">J15</f>
        <v>4.42</v>
      </c>
      <c r="N15" s="76">
        <f t="shared" ref="N15:N27" si="5">L15</f>
        <v>3.5999999999999996</v>
      </c>
      <c r="O15" s="77">
        <f>J15</f>
        <v>4.42</v>
      </c>
      <c r="P15" s="77">
        <f t="shared" ref="P15:P27" si="6">L15</f>
        <v>3.5999999999999996</v>
      </c>
      <c r="Q15" s="78">
        <f t="shared" ref="Q15:Q27" si="7">J15</f>
        <v>4.42</v>
      </c>
      <c r="R15" s="79">
        <f t="shared" ref="R15:R27" si="8">J15*0.05</f>
        <v>0.221</v>
      </c>
      <c r="S15" s="36"/>
      <c r="T15" s="36"/>
      <c r="V15" s="80"/>
    </row>
    <row r="16" spans="1:22" s="4" customFormat="1" ht="18" customHeight="1" x14ac:dyDescent="0.25">
      <c r="A16" s="34"/>
      <c r="B16" s="35"/>
      <c r="C16" s="35"/>
      <c r="D16" s="36"/>
      <c r="E16" s="36" t="s">
        <v>60</v>
      </c>
      <c r="F16" s="37">
        <v>2</v>
      </c>
      <c r="G16" s="37">
        <v>1.4</v>
      </c>
      <c r="H16" s="37">
        <v>1.7</v>
      </c>
      <c r="I16" s="37">
        <v>0.3</v>
      </c>
      <c r="J16" s="73">
        <f t="shared" si="1"/>
        <v>4.76</v>
      </c>
      <c r="K16" s="74">
        <f t="shared" si="2"/>
        <v>1.4279999999999999</v>
      </c>
      <c r="L16" s="75">
        <f t="shared" si="3"/>
        <v>3.7199999999999993</v>
      </c>
      <c r="M16" s="76">
        <f t="shared" si="4"/>
        <v>4.76</v>
      </c>
      <c r="N16" s="76">
        <f t="shared" si="5"/>
        <v>3.7199999999999993</v>
      </c>
      <c r="O16" s="77">
        <f t="shared" ref="O16:O27" si="9">J16</f>
        <v>4.76</v>
      </c>
      <c r="P16" s="77">
        <f t="shared" si="6"/>
        <v>3.7199999999999993</v>
      </c>
      <c r="Q16" s="78">
        <f t="shared" si="7"/>
        <v>4.76</v>
      </c>
      <c r="R16" s="79">
        <f t="shared" si="8"/>
        <v>0.23799999999999999</v>
      </c>
      <c r="S16" s="36"/>
      <c r="T16" s="36"/>
    </row>
    <row r="17" spans="1:22" s="4" customFormat="1" ht="18" customHeight="1" x14ac:dyDescent="0.25">
      <c r="A17" s="34"/>
      <c r="B17" s="35"/>
      <c r="C17" s="35"/>
      <c r="D17" s="36"/>
      <c r="E17" s="36" t="s">
        <v>61</v>
      </c>
      <c r="F17" s="37">
        <v>3</v>
      </c>
      <c r="G17" s="37">
        <v>1.9</v>
      </c>
      <c r="H17" s="37">
        <v>2.2000000000000002</v>
      </c>
      <c r="I17" s="37">
        <v>0.4</v>
      </c>
      <c r="J17" s="73">
        <f t="shared" si="1"/>
        <v>12.54</v>
      </c>
      <c r="K17" s="74">
        <f t="shared" si="2"/>
        <v>5.016</v>
      </c>
      <c r="L17" s="75">
        <f t="shared" si="3"/>
        <v>9.84</v>
      </c>
      <c r="M17" s="76">
        <f t="shared" si="4"/>
        <v>12.54</v>
      </c>
      <c r="N17" s="76">
        <f t="shared" si="5"/>
        <v>9.84</v>
      </c>
      <c r="O17" s="77">
        <f t="shared" si="9"/>
        <v>12.54</v>
      </c>
      <c r="P17" s="77">
        <f t="shared" si="6"/>
        <v>9.84</v>
      </c>
      <c r="Q17" s="78">
        <f t="shared" si="7"/>
        <v>12.54</v>
      </c>
      <c r="R17" s="79">
        <f t="shared" si="8"/>
        <v>0.627</v>
      </c>
      <c r="S17" s="36"/>
      <c r="T17" s="36"/>
      <c r="V17" s="80"/>
    </row>
    <row r="18" spans="1:22" s="4" customFormat="1" ht="18" customHeight="1" x14ac:dyDescent="0.25">
      <c r="A18" s="34"/>
      <c r="B18" s="35"/>
      <c r="C18" s="35"/>
      <c r="D18" s="36"/>
      <c r="E18" s="36" t="s">
        <v>62</v>
      </c>
      <c r="F18" s="37">
        <v>4</v>
      </c>
      <c r="G18" s="37">
        <v>2</v>
      </c>
      <c r="H18" s="37">
        <v>2.4</v>
      </c>
      <c r="I18" s="37">
        <v>0.4</v>
      </c>
      <c r="J18" s="73">
        <f t="shared" si="1"/>
        <v>19.2</v>
      </c>
      <c r="K18" s="74">
        <f t="shared" si="2"/>
        <v>7.68</v>
      </c>
      <c r="L18" s="75">
        <f t="shared" si="3"/>
        <v>14.080000000000002</v>
      </c>
      <c r="M18" s="76">
        <f t="shared" si="4"/>
        <v>19.2</v>
      </c>
      <c r="N18" s="76">
        <f t="shared" si="5"/>
        <v>14.080000000000002</v>
      </c>
      <c r="O18" s="77">
        <f t="shared" si="9"/>
        <v>19.2</v>
      </c>
      <c r="P18" s="77">
        <f t="shared" si="6"/>
        <v>14.080000000000002</v>
      </c>
      <c r="Q18" s="78">
        <f t="shared" si="7"/>
        <v>19.2</v>
      </c>
      <c r="R18" s="79">
        <f t="shared" si="8"/>
        <v>0.96</v>
      </c>
      <c r="S18" s="36"/>
      <c r="T18" s="36"/>
    </row>
    <row r="19" spans="1:22" s="4" customFormat="1" ht="18" customHeight="1" x14ac:dyDescent="0.25">
      <c r="A19" s="34"/>
      <c r="B19" s="35"/>
      <c r="C19" s="35"/>
      <c r="D19" s="36"/>
      <c r="E19" s="36" t="s">
        <v>63</v>
      </c>
      <c r="F19" s="37">
        <v>4</v>
      </c>
      <c r="G19" s="37">
        <v>2.2000000000000002</v>
      </c>
      <c r="H19" s="37">
        <v>2.8</v>
      </c>
      <c r="I19" s="37">
        <v>0.4</v>
      </c>
      <c r="J19" s="73">
        <f t="shared" si="1"/>
        <v>24.64</v>
      </c>
      <c r="K19" s="74">
        <f t="shared" si="2"/>
        <v>9.8560000000000016</v>
      </c>
      <c r="L19" s="75">
        <f t="shared" si="3"/>
        <v>16</v>
      </c>
      <c r="M19" s="76">
        <f t="shared" si="4"/>
        <v>24.64</v>
      </c>
      <c r="N19" s="76">
        <f t="shared" si="5"/>
        <v>16</v>
      </c>
      <c r="O19" s="77">
        <f t="shared" si="9"/>
        <v>24.64</v>
      </c>
      <c r="P19" s="77">
        <f t="shared" si="6"/>
        <v>16</v>
      </c>
      <c r="Q19" s="78">
        <f t="shared" si="7"/>
        <v>24.64</v>
      </c>
      <c r="R19" s="79">
        <f t="shared" si="8"/>
        <v>1.2320000000000002</v>
      </c>
      <c r="S19" s="36"/>
      <c r="T19" s="36"/>
    </row>
    <row r="20" spans="1:22" s="4" customFormat="1" ht="18" customHeight="1" x14ac:dyDescent="0.25">
      <c r="A20" s="34"/>
      <c r="B20" s="35"/>
      <c r="C20" s="35"/>
      <c r="D20" s="36"/>
      <c r="E20" s="36" t="s">
        <v>64</v>
      </c>
      <c r="F20" s="37">
        <v>4</v>
      </c>
      <c r="G20" s="37">
        <v>2.2999999999999998</v>
      </c>
      <c r="H20" s="37">
        <v>3.1</v>
      </c>
      <c r="I20" s="37">
        <v>0.5</v>
      </c>
      <c r="J20" s="73">
        <f t="shared" si="1"/>
        <v>28.52</v>
      </c>
      <c r="K20" s="74">
        <f t="shared" si="2"/>
        <v>14.26</v>
      </c>
      <c r="L20" s="75">
        <f t="shared" si="3"/>
        <v>21.6</v>
      </c>
      <c r="M20" s="76">
        <f t="shared" si="4"/>
        <v>28.52</v>
      </c>
      <c r="N20" s="76">
        <f t="shared" si="5"/>
        <v>21.6</v>
      </c>
      <c r="O20" s="77">
        <f t="shared" si="9"/>
        <v>28.52</v>
      </c>
      <c r="P20" s="77">
        <f t="shared" si="6"/>
        <v>21.6</v>
      </c>
      <c r="Q20" s="78">
        <f t="shared" si="7"/>
        <v>28.52</v>
      </c>
      <c r="R20" s="79">
        <f t="shared" si="8"/>
        <v>1.4260000000000002</v>
      </c>
      <c r="S20" s="36"/>
      <c r="T20" s="36"/>
    </row>
    <row r="21" spans="1:22" s="4" customFormat="1" ht="18" customHeight="1" x14ac:dyDescent="0.25">
      <c r="A21" s="34"/>
      <c r="B21" s="35"/>
      <c r="C21" s="35"/>
      <c r="D21" s="36"/>
      <c r="E21" s="36" t="s">
        <v>145</v>
      </c>
      <c r="F21" s="45">
        <v>1</v>
      </c>
      <c r="G21" s="45">
        <v>1.4</v>
      </c>
      <c r="H21" s="45">
        <v>3.1</v>
      </c>
      <c r="I21" s="37">
        <v>0.4</v>
      </c>
      <c r="J21" s="73">
        <f t="shared" si="1"/>
        <v>4.34</v>
      </c>
      <c r="K21" s="74">
        <f t="shared" si="2"/>
        <v>1.736</v>
      </c>
      <c r="L21" s="75">
        <f t="shared" si="3"/>
        <v>3.6</v>
      </c>
      <c r="M21" s="76">
        <f t="shared" si="4"/>
        <v>4.34</v>
      </c>
      <c r="N21" s="76">
        <f t="shared" si="5"/>
        <v>3.6</v>
      </c>
      <c r="O21" s="77">
        <f t="shared" si="9"/>
        <v>4.34</v>
      </c>
      <c r="P21" s="77">
        <f t="shared" si="6"/>
        <v>3.6</v>
      </c>
      <c r="Q21" s="78">
        <f t="shared" si="7"/>
        <v>4.34</v>
      </c>
      <c r="R21" s="79">
        <f t="shared" si="8"/>
        <v>0.217</v>
      </c>
      <c r="S21" s="36"/>
      <c r="T21" s="36"/>
    </row>
    <row r="22" spans="1:22" s="4" customFormat="1" ht="18" customHeight="1" x14ac:dyDescent="0.25">
      <c r="A22" s="34"/>
      <c r="B22" s="35"/>
      <c r="C22" s="35"/>
      <c r="D22" s="36"/>
      <c r="E22" s="36" t="s">
        <v>146</v>
      </c>
      <c r="F22" s="45">
        <v>2</v>
      </c>
      <c r="G22" s="45">
        <v>2</v>
      </c>
      <c r="H22" s="45">
        <v>3.9</v>
      </c>
      <c r="I22" s="37">
        <v>0.4</v>
      </c>
      <c r="J22" s="73">
        <f t="shared" si="1"/>
        <v>15.6</v>
      </c>
      <c r="K22" s="74">
        <f t="shared" si="2"/>
        <v>6.24</v>
      </c>
      <c r="L22" s="75">
        <f t="shared" si="3"/>
        <v>9.4400000000000013</v>
      </c>
      <c r="M22" s="76">
        <f t="shared" si="4"/>
        <v>15.6</v>
      </c>
      <c r="N22" s="76">
        <f t="shared" si="5"/>
        <v>9.4400000000000013</v>
      </c>
      <c r="O22" s="77">
        <f t="shared" si="9"/>
        <v>15.6</v>
      </c>
      <c r="P22" s="77">
        <f t="shared" si="6"/>
        <v>9.4400000000000013</v>
      </c>
      <c r="Q22" s="78">
        <f t="shared" si="7"/>
        <v>15.6</v>
      </c>
      <c r="R22" s="79">
        <f t="shared" si="8"/>
        <v>0.78</v>
      </c>
      <c r="S22" s="36"/>
      <c r="T22" s="36"/>
    </row>
    <row r="23" spans="1:22" s="4" customFormat="1" ht="18" customHeight="1" x14ac:dyDescent="0.25">
      <c r="A23" s="34"/>
      <c r="B23" s="35"/>
      <c r="C23" s="35"/>
      <c r="D23" s="36"/>
      <c r="E23" s="36" t="s">
        <v>148</v>
      </c>
      <c r="F23" s="45">
        <v>1</v>
      </c>
      <c r="G23" s="45"/>
      <c r="H23" s="45"/>
      <c r="I23" s="37">
        <v>0.5</v>
      </c>
      <c r="J23" s="73">
        <v>15.8</v>
      </c>
      <c r="K23" s="74">
        <f>J23*I23</f>
        <v>7.9</v>
      </c>
      <c r="L23" s="75">
        <f>17.1*I23</f>
        <v>8.5500000000000007</v>
      </c>
      <c r="M23" s="76">
        <f t="shared" si="4"/>
        <v>15.8</v>
      </c>
      <c r="N23" s="76">
        <f t="shared" si="5"/>
        <v>8.5500000000000007</v>
      </c>
      <c r="O23" s="77">
        <f t="shared" si="9"/>
        <v>15.8</v>
      </c>
      <c r="P23" s="77">
        <f t="shared" si="6"/>
        <v>8.5500000000000007</v>
      </c>
      <c r="Q23" s="78">
        <f t="shared" si="7"/>
        <v>15.8</v>
      </c>
      <c r="R23" s="79">
        <f t="shared" si="8"/>
        <v>0.79</v>
      </c>
      <c r="S23" s="36"/>
      <c r="T23" s="36"/>
    </row>
    <row r="24" spans="1:22" s="4" customFormat="1" ht="18" customHeight="1" x14ac:dyDescent="0.25">
      <c r="A24" s="34"/>
      <c r="B24" s="35"/>
      <c r="C24" s="35"/>
      <c r="D24" s="36"/>
      <c r="E24" s="36" t="s">
        <v>65</v>
      </c>
      <c r="F24" s="45">
        <v>37</v>
      </c>
      <c r="G24" s="45">
        <v>1</v>
      </c>
      <c r="H24" s="45">
        <v>1.2</v>
      </c>
      <c r="I24" s="37">
        <v>0.3</v>
      </c>
      <c r="J24" s="73">
        <f t="shared" ref="J24:J25" si="10">F24*G24*H24</f>
        <v>44.4</v>
      </c>
      <c r="K24" s="74">
        <f>J24*I24</f>
        <v>13.319999999999999</v>
      </c>
      <c r="L24" s="75">
        <f t="shared" ref="L24:L25" si="11">F24*2*(G24+H24)*I24</f>
        <v>48.84</v>
      </c>
      <c r="M24" s="76">
        <f t="shared" si="4"/>
        <v>44.4</v>
      </c>
      <c r="N24" s="76">
        <f t="shared" si="5"/>
        <v>48.84</v>
      </c>
      <c r="O24" s="77">
        <f t="shared" si="9"/>
        <v>44.4</v>
      </c>
      <c r="P24" s="77">
        <f t="shared" si="6"/>
        <v>48.84</v>
      </c>
      <c r="Q24" s="78">
        <f t="shared" si="7"/>
        <v>44.4</v>
      </c>
      <c r="R24" s="79">
        <f t="shared" si="8"/>
        <v>2.2200000000000002</v>
      </c>
      <c r="S24" s="36"/>
      <c r="T24" s="36"/>
    </row>
    <row r="25" spans="1:22" s="4" customFormat="1" ht="18" customHeight="1" x14ac:dyDescent="0.25">
      <c r="A25" s="34"/>
      <c r="B25" s="35"/>
      <c r="C25" s="35"/>
      <c r="D25" s="36"/>
      <c r="E25" s="36" t="s">
        <v>147</v>
      </c>
      <c r="F25" s="45">
        <v>3</v>
      </c>
      <c r="G25" s="45">
        <v>1</v>
      </c>
      <c r="H25" s="45">
        <v>1</v>
      </c>
      <c r="I25" s="37">
        <v>0.3</v>
      </c>
      <c r="J25" s="73">
        <f t="shared" si="10"/>
        <v>3</v>
      </c>
      <c r="K25" s="74">
        <f>J25*I25</f>
        <v>0.89999999999999991</v>
      </c>
      <c r="L25" s="75">
        <f t="shared" si="11"/>
        <v>3.5999999999999996</v>
      </c>
      <c r="M25" s="76">
        <f t="shared" si="4"/>
        <v>3</v>
      </c>
      <c r="N25" s="76">
        <f t="shared" si="5"/>
        <v>3.5999999999999996</v>
      </c>
      <c r="O25" s="77">
        <f t="shared" si="9"/>
        <v>3</v>
      </c>
      <c r="P25" s="77">
        <f t="shared" si="6"/>
        <v>3.5999999999999996</v>
      </c>
      <c r="Q25" s="78">
        <f t="shared" si="7"/>
        <v>3</v>
      </c>
      <c r="R25" s="79">
        <f t="shared" si="8"/>
        <v>0.15000000000000002</v>
      </c>
      <c r="S25" s="36"/>
      <c r="T25" s="36"/>
    </row>
    <row r="26" spans="1:22" s="4" customFormat="1" ht="18" customHeight="1" x14ac:dyDescent="0.25">
      <c r="A26" s="34"/>
      <c r="B26" s="35"/>
      <c r="C26" s="35"/>
      <c r="D26" s="36"/>
      <c r="E26" s="36" t="s">
        <v>149</v>
      </c>
      <c r="F26" s="45">
        <v>1</v>
      </c>
      <c r="G26" s="45"/>
      <c r="H26" s="45"/>
      <c r="I26" s="37">
        <v>0.5</v>
      </c>
      <c r="J26" s="73">
        <v>71.2</v>
      </c>
      <c r="K26" s="74">
        <f>J26*I26</f>
        <v>35.6</v>
      </c>
      <c r="L26" s="75">
        <f>44.1*I26</f>
        <v>22.05</v>
      </c>
      <c r="M26" s="76">
        <f t="shared" si="4"/>
        <v>71.2</v>
      </c>
      <c r="N26" s="76">
        <f t="shared" si="5"/>
        <v>22.05</v>
      </c>
      <c r="O26" s="77">
        <f t="shared" si="9"/>
        <v>71.2</v>
      </c>
      <c r="P26" s="77">
        <f t="shared" si="6"/>
        <v>22.05</v>
      </c>
      <c r="Q26" s="78">
        <f t="shared" si="7"/>
        <v>71.2</v>
      </c>
      <c r="R26" s="79">
        <f t="shared" si="8"/>
        <v>3.5600000000000005</v>
      </c>
      <c r="S26" s="36"/>
      <c r="T26" s="36"/>
    </row>
    <row r="27" spans="1:22" s="4" customFormat="1" ht="18" customHeight="1" x14ac:dyDescent="0.25">
      <c r="A27" s="34"/>
      <c r="B27" s="35"/>
      <c r="C27" s="35"/>
      <c r="D27" s="36"/>
      <c r="E27" s="36" t="s">
        <v>150</v>
      </c>
      <c r="F27" s="45">
        <v>1</v>
      </c>
      <c r="G27" s="45"/>
      <c r="H27" s="45"/>
      <c r="I27" s="37">
        <v>0.6</v>
      </c>
      <c r="J27" s="73">
        <v>51.9</v>
      </c>
      <c r="K27" s="74">
        <f>J27*I27</f>
        <v>31.139999999999997</v>
      </c>
      <c r="L27" s="75">
        <f>32.2*I27</f>
        <v>19.32</v>
      </c>
      <c r="M27" s="76">
        <f t="shared" si="4"/>
        <v>51.9</v>
      </c>
      <c r="N27" s="76">
        <f t="shared" si="5"/>
        <v>19.32</v>
      </c>
      <c r="O27" s="77">
        <f t="shared" si="9"/>
        <v>51.9</v>
      </c>
      <c r="P27" s="77">
        <f t="shared" si="6"/>
        <v>19.32</v>
      </c>
      <c r="Q27" s="78">
        <f t="shared" si="7"/>
        <v>51.9</v>
      </c>
      <c r="R27" s="79">
        <f t="shared" si="8"/>
        <v>2.5950000000000002</v>
      </c>
      <c r="S27" s="36"/>
      <c r="T27" s="36"/>
    </row>
    <row r="28" spans="1:22" s="4" customFormat="1" ht="18" customHeight="1" x14ac:dyDescent="0.25">
      <c r="A28" s="60"/>
      <c r="B28" s="61"/>
      <c r="C28" s="60"/>
      <c r="D28" s="61"/>
      <c r="E28" s="63"/>
      <c r="F28" s="45"/>
      <c r="G28" s="45"/>
      <c r="H28" s="45"/>
      <c r="I28" s="37"/>
      <c r="J28" s="73"/>
      <c r="K28" s="74"/>
      <c r="L28" s="81"/>
      <c r="M28" s="82"/>
      <c r="N28" s="82"/>
      <c r="O28" s="83"/>
      <c r="P28" s="83"/>
      <c r="Q28" s="84"/>
      <c r="R28" s="85"/>
      <c r="S28" s="62"/>
      <c r="T28" s="62"/>
    </row>
    <row r="29" spans="1:22" s="4" customFormat="1" ht="15" customHeight="1" x14ac:dyDescent="0.25">
      <c r="A29" s="36">
        <v>2</v>
      </c>
      <c r="B29" s="39" t="s">
        <v>144</v>
      </c>
      <c r="C29" s="36" t="s">
        <v>52</v>
      </c>
      <c r="D29" s="39" t="s">
        <v>151</v>
      </c>
      <c r="E29" s="63" t="s">
        <v>89</v>
      </c>
      <c r="F29" s="45">
        <v>1</v>
      </c>
      <c r="G29" s="45">
        <v>8.5</v>
      </c>
      <c r="H29" s="45">
        <v>0.25</v>
      </c>
      <c r="I29" s="37">
        <v>0.4</v>
      </c>
      <c r="J29" s="73">
        <f t="shared" ref="J29" si="12">F29*G29*H29</f>
        <v>2.125</v>
      </c>
      <c r="K29" s="74">
        <f>J29*I29</f>
        <v>0.85000000000000009</v>
      </c>
      <c r="L29" s="75">
        <f t="shared" ref="L29" si="13">F29*2*(G29+H29)*I29</f>
        <v>7</v>
      </c>
      <c r="M29" s="76">
        <f>J29</f>
        <v>2.125</v>
      </c>
      <c r="N29" s="76">
        <f t="shared" ref="N29" si="14">L29</f>
        <v>7</v>
      </c>
      <c r="O29" s="77">
        <f>J29</f>
        <v>2.125</v>
      </c>
      <c r="P29" s="77">
        <f t="shared" ref="P29" si="15">L29</f>
        <v>7</v>
      </c>
      <c r="Q29" s="78">
        <f t="shared" ref="Q29" si="16">J29</f>
        <v>2.125</v>
      </c>
      <c r="R29" s="79">
        <f t="shared" ref="R29" si="17">J29*0.05</f>
        <v>0.10625000000000001</v>
      </c>
      <c r="S29" s="62"/>
      <c r="T29" s="62"/>
    </row>
    <row r="30" spans="1:22" s="4" customFormat="1" ht="15" customHeight="1" x14ac:dyDescent="0.25">
      <c r="A30" s="60"/>
      <c r="B30" s="39"/>
      <c r="C30" s="36"/>
      <c r="D30" s="39"/>
      <c r="E30" s="63"/>
      <c r="F30" s="45"/>
      <c r="G30" s="45"/>
      <c r="H30" s="45"/>
      <c r="I30" s="37"/>
      <c r="J30" s="73"/>
      <c r="K30" s="74"/>
      <c r="L30" s="75"/>
      <c r="M30" s="76"/>
      <c r="N30" s="76"/>
      <c r="O30" s="77"/>
      <c r="P30" s="77"/>
      <c r="Q30" s="78"/>
      <c r="R30" s="79"/>
      <c r="S30" s="62"/>
      <c r="T30" s="62"/>
    </row>
    <row r="31" spans="1:22" s="4" customFormat="1" ht="15" customHeight="1" x14ac:dyDescent="0.25">
      <c r="A31" s="36">
        <v>3</v>
      </c>
      <c r="B31" s="39" t="s">
        <v>152</v>
      </c>
      <c r="C31" s="36" t="s">
        <v>52</v>
      </c>
      <c r="D31" s="39" t="s">
        <v>153</v>
      </c>
      <c r="E31" s="63" t="s">
        <v>85</v>
      </c>
      <c r="F31" s="45">
        <v>1</v>
      </c>
      <c r="G31" s="45">
        <v>164.4</v>
      </c>
      <c r="H31" s="45">
        <v>0.25</v>
      </c>
      <c r="I31" s="37">
        <v>0.4</v>
      </c>
      <c r="J31" s="73">
        <f>F31*G31*H31</f>
        <v>41.1</v>
      </c>
      <c r="K31" s="74">
        <f t="shared" ref="K31:K38" si="18">J31*I31</f>
        <v>16.440000000000001</v>
      </c>
      <c r="L31" s="75">
        <f>F31*G31*I31*2</f>
        <v>131.52000000000001</v>
      </c>
      <c r="M31" s="76">
        <f t="shared" ref="M31:M38" si="19">J31</f>
        <v>41.1</v>
      </c>
      <c r="N31" s="76">
        <f t="shared" ref="N31:N38" si="20">L31</f>
        <v>131.52000000000001</v>
      </c>
      <c r="O31" s="77">
        <f>J31</f>
        <v>41.1</v>
      </c>
      <c r="P31" s="77">
        <f t="shared" ref="P31:P38" si="21">L31</f>
        <v>131.52000000000001</v>
      </c>
      <c r="Q31" s="78">
        <f t="shared" ref="Q31:Q38" si="22">J31</f>
        <v>41.1</v>
      </c>
      <c r="R31" s="79">
        <f t="shared" ref="R31:R38" si="23">J31*0.05</f>
        <v>2.0550000000000002</v>
      </c>
      <c r="S31" s="62"/>
      <c r="T31" s="62"/>
    </row>
    <row r="32" spans="1:22" s="4" customFormat="1" ht="15" customHeight="1" x14ac:dyDescent="0.25">
      <c r="A32" s="60"/>
      <c r="B32" s="39"/>
      <c r="C32" s="36"/>
      <c r="D32" s="39"/>
      <c r="E32" s="63" t="s">
        <v>86</v>
      </c>
      <c r="F32" s="45">
        <v>1</v>
      </c>
      <c r="G32" s="45">
        <v>18.399999999999999</v>
      </c>
      <c r="H32" s="45">
        <v>0.3</v>
      </c>
      <c r="I32" s="37">
        <v>0.82</v>
      </c>
      <c r="J32" s="73">
        <f t="shared" ref="J32:J38" si="24">F32*G32*H32</f>
        <v>5.52</v>
      </c>
      <c r="K32" s="74">
        <f t="shared" si="18"/>
        <v>4.5263999999999998</v>
      </c>
      <c r="L32" s="75">
        <f>F32*G32*I32*2</f>
        <v>30.175999999999995</v>
      </c>
      <c r="M32" s="76">
        <f t="shared" si="19"/>
        <v>5.52</v>
      </c>
      <c r="N32" s="76">
        <f t="shared" si="20"/>
        <v>30.175999999999995</v>
      </c>
      <c r="O32" s="77">
        <f t="shared" ref="O32:O38" si="25">J32</f>
        <v>5.52</v>
      </c>
      <c r="P32" s="77">
        <f t="shared" si="21"/>
        <v>30.175999999999995</v>
      </c>
      <c r="Q32" s="78">
        <f t="shared" si="22"/>
        <v>5.52</v>
      </c>
      <c r="R32" s="79">
        <f t="shared" si="23"/>
        <v>0.27599999999999997</v>
      </c>
      <c r="S32" s="62"/>
      <c r="T32" s="62"/>
    </row>
    <row r="33" spans="1:22" s="4" customFormat="1" ht="15" customHeight="1" x14ac:dyDescent="0.25">
      <c r="A33" s="60"/>
      <c r="B33" s="39"/>
      <c r="C33" s="36"/>
      <c r="D33" s="39"/>
      <c r="E33" s="63" t="s">
        <v>87</v>
      </c>
      <c r="F33" s="45">
        <v>1</v>
      </c>
      <c r="G33" s="45">
        <v>13.2</v>
      </c>
      <c r="H33" s="45">
        <v>0.25</v>
      </c>
      <c r="I33" s="37">
        <v>0.82</v>
      </c>
      <c r="J33" s="73">
        <f t="shared" si="24"/>
        <v>3.3</v>
      </c>
      <c r="K33" s="74">
        <f t="shared" si="18"/>
        <v>2.7059999999999995</v>
      </c>
      <c r="L33" s="75">
        <f t="shared" ref="L33:L38" si="26">F33*G33*I33*2</f>
        <v>21.647999999999996</v>
      </c>
      <c r="M33" s="76">
        <f t="shared" si="19"/>
        <v>3.3</v>
      </c>
      <c r="N33" s="76">
        <f t="shared" si="20"/>
        <v>21.647999999999996</v>
      </c>
      <c r="O33" s="77">
        <f t="shared" si="25"/>
        <v>3.3</v>
      </c>
      <c r="P33" s="77">
        <f t="shared" si="21"/>
        <v>21.647999999999996</v>
      </c>
      <c r="Q33" s="78">
        <f t="shared" si="22"/>
        <v>3.3</v>
      </c>
      <c r="R33" s="79">
        <f t="shared" si="23"/>
        <v>0.16500000000000001</v>
      </c>
      <c r="S33" s="62"/>
      <c r="T33" s="62"/>
    </row>
    <row r="34" spans="1:22" s="4" customFormat="1" ht="15" customHeight="1" x14ac:dyDescent="0.25">
      <c r="A34" s="60"/>
      <c r="B34" s="39"/>
      <c r="C34" s="36"/>
      <c r="D34" s="39"/>
      <c r="E34" s="63" t="s">
        <v>88</v>
      </c>
      <c r="F34" s="45">
        <v>1</v>
      </c>
      <c r="G34" s="45">
        <v>14.9</v>
      </c>
      <c r="H34" s="45">
        <v>0.3</v>
      </c>
      <c r="I34" s="37">
        <v>0.6</v>
      </c>
      <c r="J34" s="73">
        <f t="shared" si="24"/>
        <v>4.47</v>
      </c>
      <c r="K34" s="74">
        <f t="shared" si="18"/>
        <v>2.6819999999999999</v>
      </c>
      <c r="L34" s="75">
        <f t="shared" si="26"/>
        <v>17.88</v>
      </c>
      <c r="M34" s="76">
        <f t="shared" si="19"/>
        <v>4.47</v>
      </c>
      <c r="N34" s="76">
        <f t="shared" si="20"/>
        <v>17.88</v>
      </c>
      <c r="O34" s="77">
        <f t="shared" si="25"/>
        <v>4.47</v>
      </c>
      <c r="P34" s="77">
        <f t="shared" si="21"/>
        <v>17.88</v>
      </c>
      <c r="Q34" s="78">
        <f t="shared" si="22"/>
        <v>4.47</v>
      </c>
      <c r="R34" s="79">
        <f t="shared" si="23"/>
        <v>0.2235</v>
      </c>
      <c r="S34" s="62"/>
      <c r="T34" s="62"/>
    </row>
    <row r="35" spans="1:22" s="4" customFormat="1" ht="15" customHeight="1" x14ac:dyDescent="0.25">
      <c r="A35" s="60"/>
      <c r="B35" s="39"/>
      <c r="C35" s="36"/>
      <c r="D35" s="39"/>
      <c r="E35" s="63" t="s">
        <v>154</v>
      </c>
      <c r="F35" s="45">
        <v>1</v>
      </c>
      <c r="G35" s="45">
        <v>21.3</v>
      </c>
      <c r="H35" s="45">
        <v>0.25</v>
      </c>
      <c r="I35" s="37">
        <v>0.6</v>
      </c>
      <c r="J35" s="73">
        <f t="shared" si="24"/>
        <v>5.3250000000000002</v>
      </c>
      <c r="K35" s="74">
        <f t="shared" si="18"/>
        <v>3.1949999999999998</v>
      </c>
      <c r="L35" s="75">
        <f t="shared" si="26"/>
        <v>25.56</v>
      </c>
      <c r="M35" s="76">
        <f t="shared" si="19"/>
        <v>5.3250000000000002</v>
      </c>
      <c r="N35" s="76">
        <f t="shared" si="20"/>
        <v>25.56</v>
      </c>
      <c r="O35" s="77">
        <f t="shared" si="25"/>
        <v>5.3250000000000002</v>
      </c>
      <c r="P35" s="77">
        <f t="shared" si="21"/>
        <v>25.56</v>
      </c>
      <c r="Q35" s="78">
        <f t="shared" si="22"/>
        <v>5.3250000000000002</v>
      </c>
      <c r="R35" s="79">
        <f t="shared" si="23"/>
        <v>0.26625000000000004</v>
      </c>
      <c r="S35" s="62"/>
      <c r="T35" s="62"/>
    </row>
    <row r="36" spans="1:22" s="4" customFormat="1" ht="15" customHeight="1" x14ac:dyDescent="0.25">
      <c r="A36" s="60"/>
      <c r="B36" s="39"/>
      <c r="C36" s="36"/>
      <c r="D36" s="39"/>
      <c r="E36" s="63" t="s">
        <v>155</v>
      </c>
      <c r="F36" s="45">
        <v>1</v>
      </c>
      <c r="G36" s="45">
        <v>3.5</v>
      </c>
      <c r="H36" s="45">
        <v>0.25</v>
      </c>
      <c r="I36" s="37">
        <v>0.82</v>
      </c>
      <c r="J36" s="73">
        <f t="shared" si="24"/>
        <v>0.875</v>
      </c>
      <c r="K36" s="74">
        <f t="shared" si="18"/>
        <v>0.71749999999999992</v>
      </c>
      <c r="L36" s="75">
        <f t="shared" si="26"/>
        <v>5.7399999999999993</v>
      </c>
      <c r="M36" s="76">
        <f t="shared" si="19"/>
        <v>0.875</v>
      </c>
      <c r="N36" s="76">
        <f t="shared" si="20"/>
        <v>5.7399999999999993</v>
      </c>
      <c r="O36" s="77">
        <f t="shared" si="25"/>
        <v>0.875</v>
      </c>
      <c r="P36" s="77">
        <f t="shared" si="21"/>
        <v>5.7399999999999993</v>
      </c>
      <c r="Q36" s="78">
        <f t="shared" si="22"/>
        <v>0.875</v>
      </c>
      <c r="R36" s="79">
        <f t="shared" si="23"/>
        <v>4.3750000000000004E-2</v>
      </c>
      <c r="S36" s="62"/>
      <c r="T36" s="62"/>
    </row>
    <row r="37" spans="1:22" s="4" customFormat="1" ht="15" customHeight="1" x14ac:dyDescent="0.25">
      <c r="A37" s="60"/>
      <c r="B37" s="39"/>
      <c r="C37" s="36"/>
      <c r="D37" s="39"/>
      <c r="E37" s="63" t="s">
        <v>156</v>
      </c>
      <c r="F37" s="45">
        <v>1</v>
      </c>
      <c r="G37" s="45">
        <v>1.5</v>
      </c>
      <c r="H37" s="45">
        <v>0.25</v>
      </c>
      <c r="I37" s="37">
        <v>0.67</v>
      </c>
      <c r="J37" s="73">
        <f t="shared" si="24"/>
        <v>0.375</v>
      </c>
      <c r="K37" s="74">
        <f t="shared" si="18"/>
        <v>0.25125000000000003</v>
      </c>
      <c r="L37" s="75">
        <f t="shared" si="26"/>
        <v>2.0100000000000002</v>
      </c>
      <c r="M37" s="76">
        <f t="shared" si="19"/>
        <v>0.375</v>
      </c>
      <c r="N37" s="76">
        <f t="shared" si="20"/>
        <v>2.0100000000000002</v>
      </c>
      <c r="O37" s="77">
        <f t="shared" si="25"/>
        <v>0.375</v>
      </c>
      <c r="P37" s="77">
        <f t="shared" si="21"/>
        <v>2.0100000000000002</v>
      </c>
      <c r="Q37" s="78">
        <f t="shared" si="22"/>
        <v>0.375</v>
      </c>
      <c r="R37" s="79">
        <f t="shared" si="23"/>
        <v>1.8750000000000003E-2</v>
      </c>
      <c r="S37" s="62"/>
      <c r="T37" s="62"/>
    </row>
    <row r="38" spans="1:22" s="4" customFormat="1" ht="15" customHeight="1" x14ac:dyDescent="0.25">
      <c r="A38" s="60"/>
      <c r="B38" s="39"/>
      <c r="C38" s="36"/>
      <c r="D38" s="39"/>
      <c r="E38" s="63" t="s">
        <v>141</v>
      </c>
      <c r="F38" s="45">
        <v>1</v>
      </c>
      <c r="G38" s="45">
        <v>110.3</v>
      </c>
      <c r="H38" s="45">
        <v>0.2</v>
      </c>
      <c r="I38" s="37">
        <v>0.55000000000000004</v>
      </c>
      <c r="J38" s="73">
        <f t="shared" si="24"/>
        <v>22.060000000000002</v>
      </c>
      <c r="K38" s="74">
        <f t="shared" si="18"/>
        <v>12.133000000000003</v>
      </c>
      <c r="L38" s="75">
        <f t="shared" si="26"/>
        <v>121.33000000000001</v>
      </c>
      <c r="M38" s="76">
        <f t="shared" si="19"/>
        <v>22.060000000000002</v>
      </c>
      <c r="N38" s="76">
        <f t="shared" si="20"/>
        <v>121.33000000000001</v>
      </c>
      <c r="O38" s="77">
        <f t="shared" si="25"/>
        <v>22.060000000000002</v>
      </c>
      <c r="P38" s="77">
        <f t="shared" si="21"/>
        <v>121.33000000000001</v>
      </c>
      <c r="Q38" s="78">
        <f t="shared" si="22"/>
        <v>22.060000000000002</v>
      </c>
      <c r="R38" s="79">
        <f t="shared" si="23"/>
        <v>1.1030000000000002</v>
      </c>
      <c r="S38" s="62"/>
      <c r="T38" s="62"/>
    </row>
    <row r="39" spans="1:22" s="4" customFormat="1" ht="15" customHeight="1" x14ac:dyDescent="0.25">
      <c r="A39" s="60"/>
      <c r="B39" s="39"/>
      <c r="C39" s="36"/>
      <c r="D39" s="39"/>
      <c r="E39" s="63"/>
      <c r="F39" s="45"/>
      <c r="G39" s="45"/>
      <c r="H39" s="45"/>
      <c r="I39" s="37"/>
      <c r="J39" s="73"/>
      <c r="K39" s="74"/>
      <c r="L39" s="81"/>
      <c r="M39" s="82"/>
      <c r="N39" s="82"/>
      <c r="O39" s="87"/>
      <c r="P39" s="87"/>
      <c r="Q39" s="88"/>
      <c r="R39" s="86"/>
      <c r="S39" s="62"/>
      <c r="T39" s="62"/>
    </row>
    <row r="40" spans="1:22" s="4" customFormat="1" ht="18" customHeight="1" x14ac:dyDescent="0.25">
      <c r="A40" s="60">
        <v>4</v>
      </c>
      <c r="B40" s="39" t="s">
        <v>159</v>
      </c>
      <c r="C40" s="36" t="s">
        <v>52</v>
      </c>
      <c r="D40" s="39" t="s">
        <v>160</v>
      </c>
      <c r="E40" s="63"/>
      <c r="F40" s="45">
        <v>1</v>
      </c>
      <c r="G40" s="268">
        <v>530</v>
      </c>
      <c r="H40" s="270"/>
      <c r="I40" s="37">
        <v>0.15</v>
      </c>
      <c r="J40" s="73">
        <v>532</v>
      </c>
      <c r="K40" s="74">
        <f>J40*I40</f>
        <v>79.8</v>
      </c>
      <c r="L40" s="75"/>
      <c r="M40" s="76">
        <f t="shared" ref="M40" si="27">J40</f>
        <v>532</v>
      </c>
      <c r="N40" s="76">
        <f t="shared" ref="N40" si="28">L40</f>
        <v>0</v>
      </c>
      <c r="O40" s="77">
        <f>J40</f>
        <v>532</v>
      </c>
      <c r="P40" s="77">
        <f t="shared" ref="P40" si="29">L40</f>
        <v>0</v>
      </c>
      <c r="Q40" s="78">
        <f t="shared" ref="Q40" si="30">J40</f>
        <v>532</v>
      </c>
      <c r="R40" s="79">
        <f>J40*0.05</f>
        <v>26.6</v>
      </c>
      <c r="S40" s="62"/>
      <c r="T40" s="62"/>
    </row>
    <row r="41" spans="1:22" s="4" customFormat="1" ht="15" customHeight="1" x14ac:dyDescent="0.25">
      <c r="A41" s="60"/>
      <c r="B41" s="39"/>
      <c r="C41" s="36"/>
      <c r="D41" s="39"/>
      <c r="E41" s="63"/>
      <c r="F41" s="45"/>
      <c r="G41" s="45"/>
      <c r="H41" s="45"/>
      <c r="I41" s="37"/>
      <c r="J41" s="73"/>
      <c r="K41" s="74"/>
      <c r="L41" s="75"/>
      <c r="M41" s="76"/>
      <c r="N41" s="76"/>
      <c r="O41" s="77"/>
      <c r="P41" s="77"/>
      <c r="Q41" s="78"/>
      <c r="R41" s="79"/>
      <c r="S41" s="62"/>
      <c r="T41" s="62"/>
    </row>
    <row r="42" spans="1:22" s="4" customFormat="1" ht="22.5" customHeight="1" x14ac:dyDescent="0.25">
      <c r="A42" s="60">
        <v>5</v>
      </c>
      <c r="B42" s="39" t="s">
        <v>159</v>
      </c>
      <c r="C42" s="36" t="s">
        <v>52</v>
      </c>
      <c r="D42" s="61" t="s">
        <v>107</v>
      </c>
      <c r="E42" s="63" t="s">
        <v>162</v>
      </c>
      <c r="F42" s="45">
        <v>1</v>
      </c>
      <c r="G42" s="45">
        <v>38.1</v>
      </c>
      <c r="H42" s="45">
        <v>0.25</v>
      </c>
      <c r="I42" s="37">
        <f>SUM('Level Cal'!Y21:Y24)</f>
        <v>3.1</v>
      </c>
      <c r="J42" s="73">
        <f>F42*G42</f>
        <v>38.1</v>
      </c>
      <c r="K42" s="74">
        <f>G42*H42*I42</f>
        <v>29.527500000000003</v>
      </c>
      <c r="L42" s="75">
        <f>F42*140*I42</f>
        <v>434</v>
      </c>
      <c r="M42" s="76">
        <f>73.3*I42</f>
        <v>227.23</v>
      </c>
      <c r="N42" s="76"/>
      <c r="O42" s="77"/>
      <c r="P42" s="77"/>
      <c r="Q42" s="78"/>
      <c r="R42" s="79"/>
      <c r="S42" s="62"/>
      <c r="T42" s="62"/>
    </row>
    <row r="43" spans="1:22" s="4" customFormat="1" ht="18" customHeight="1" x14ac:dyDescent="0.25">
      <c r="A43" s="60"/>
      <c r="B43" s="61"/>
      <c r="C43" s="60"/>
      <c r="D43" s="61" t="s">
        <v>107</v>
      </c>
      <c r="E43" s="63" t="s">
        <v>163</v>
      </c>
      <c r="F43" s="45">
        <v>1</v>
      </c>
      <c r="G43" s="45"/>
      <c r="H43" s="45"/>
      <c r="I43" s="37">
        <v>0.2</v>
      </c>
      <c r="J43" s="73">
        <v>50.5</v>
      </c>
      <c r="K43" s="74">
        <f>J43*I43</f>
        <v>10.100000000000001</v>
      </c>
      <c r="L43" s="75">
        <f>F43*140*I43</f>
        <v>28</v>
      </c>
      <c r="M43" s="76"/>
      <c r="N43" s="76"/>
      <c r="O43" s="77"/>
      <c r="P43" s="77"/>
      <c r="Q43" s="78"/>
      <c r="R43" s="79"/>
      <c r="S43" s="62"/>
      <c r="T43" s="62"/>
    </row>
    <row r="44" spans="1:22" s="6" customFormat="1" ht="18" customHeight="1" x14ac:dyDescent="0.25">
      <c r="A44" s="42"/>
      <c r="B44" s="42"/>
      <c r="C44" s="42"/>
      <c r="D44" s="42"/>
      <c r="E44" s="43"/>
      <c r="F44" s="45"/>
      <c r="G44" s="45"/>
      <c r="H44" s="46"/>
      <c r="I44" s="45"/>
      <c r="J44" s="46"/>
      <c r="K44" s="89"/>
      <c r="L44" s="90"/>
      <c r="M44" s="91"/>
      <c r="N44" s="91"/>
      <c r="O44" s="92"/>
      <c r="P44" s="92"/>
      <c r="Q44" s="93"/>
      <c r="R44" s="94"/>
      <c r="S44" s="42"/>
      <c r="T44" s="42"/>
      <c r="V44" s="6">
        <f>80-57</f>
        <v>23</v>
      </c>
    </row>
    <row r="45" spans="1:22" s="4" customFormat="1" ht="22.5" customHeight="1" x14ac:dyDescent="0.25">
      <c r="A45" s="60">
        <v>6</v>
      </c>
      <c r="B45" s="39" t="s">
        <v>199</v>
      </c>
      <c r="C45" s="36" t="s">
        <v>52</v>
      </c>
      <c r="D45" s="61" t="s">
        <v>165</v>
      </c>
      <c r="E45" s="63" t="s">
        <v>181</v>
      </c>
      <c r="F45" s="45">
        <v>5</v>
      </c>
      <c r="G45" s="45">
        <v>0.4</v>
      </c>
      <c r="H45" s="45">
        <v>0.25</v>
      </c>
      <c r="I45" s="37">
        <f>1.5-AVERAGE($I$14:$I$27)</f>
        <v>1.1000000000000001</v>
      </c>
      <c r="J45" s="73">
        <f>F45*G45*H45</f>
        <v>0.5</v>
      </c>
      <c r="K45" s="74">
        <f>J45*I45</f>
        <v>0.55000000000000004</v>
      </c>
      <c r="L45" s="75">
        <f>(G45+H45)*2*I45*F45</f>
        <v>7.15</v>
      </c>
      <c r="M45" s="76"/>
      <c r="N45" s="76"/>
      <c r="O45" s="77"/>
      <c r="P45" s="77">
        <f>L45</f>
        <v>7.15</v>
      </c>
      <c r="Q45" s="78"/>
      <c r="R45" s="79"/>
      <c r="S45" s="62"/>
      <c r="T45" s="62"/>
    </row>
    <row r="46" spans="1:22" s="4" customFormat="1" ht="15" customHeight="1" x14ac:dyDescent="0.25">
      <c r="A46" s="60"/>
      <c r="B46" s="61"/>
      <c r="C46" s="60"/>
      <c r="D46" s="61"/>
      <c r="E46" s="63" t="s">
        <v>182</v>
      </c>
      <c r="F46" s="45">
        <v>6</v>
      </c>
      <c r="G46" s="45">
        <v>0.6</v>
      </c>
      <c r="H46" s="45">
        <v>0.25</v>
      </c>
      <c r="I46" s="37">
        <f>1.5-AVERAGE($I$14:$I$27)</f>
        <v>1.1000000000000001</v>
      </c>
      <c r="J46" s="73">
        <f t="shared" ref="J46:J57" si="31">F46*G46*H46</f>
        <v>0.89999999999999991</v>
      </c>
      <c r="K46" s="74">
        <f t="shared" ref="K46:K57" si="32">J46*I46</f>
        <v>0.99</v>
      </c>
      <c r="L46" s="75">
        <f t="shared" ref="L46:L57" si="33">(G46+H46)*2*I46*F46</f>
        <v>11.22</v>
      </c>
      <c r="M46" s="76"/>
      <c r="N46" s="76"/>
      <c r="O46" s="77"/>
      <c r="P46" s="77">
        <f t="shared" ref="P46:P57" si="34">L46</f>
        <v>11.22</v>
      </c>
      <c r="Q46" s="78"/>
      <c r="R46" s="79"/>
      <c r="S46" s="62"/>
      <c r="T46" s="62"/>
    </row>
    <row r="47" spans="1:22" s="4" customFormat="1" ht="15" customHeight="1" x14ac:dyDescent="0.25">
      <c r="A47" s="60"/>
      <c r="B47" s="61"/>
      <c r="C47" s="60"/>
      <c r="D47" s="61"/>
      <c r="E47" s="63" t="s">
        <v>83</v>
      </c>
      <c r="F47" s="45">
        <v>40</v>
      </c>
      <c r="G47" s="45">
        <v>0.2</v>
      </c>
      <c r="H47" s="45">
        <v>0.2</v>
      </c>
      <c r="I47" s="37">
        <f>1.5-AVERAGE($I$14:$I$27)</f>
        <v>1.1000000000000001</v>
      </c>
      <c r="J47" s="73">
        <f t="shared" si="31"/>
        <v>1.6</v>
      </c>
      <c r="K47" s="74">
        <f t="shared" si="32"/>
        <v>1.7600000000000002</v>
      </c>
      <c r="L47" s="75">
        <f>(G47+H47)*2*I47*F47</f>
        <v>35.200000000000003</v>
      </c>
      <c r="M47" s="76"/>
      <c r="N47" s="76"/>
      <c r="O47" s="77"/>
      <c r="P47" s="77">
        <f t="shared" si="34"/>
        <v>35.200000000000003</v>
      </c>
      <c r="Q47" s="78"/>
      <c r="R47" s="79"/>
      <c r="S47" s="62"/>
      <c r="T47" s="62"/>
    </row>
    <row r="48" spans="1:22" s="4" customFormat="1" ht="15" customHeight="1" x14ac:dyDescent="0.25">
      <c r="A48" s="60"/>
      <c r="B48" s="61"/>
      <c r="C48" s="60"/>
      <c r="D48" s="61"/>
      <c r="E48" s="63" t="s">
        <v>183</v>
      </c>
      <c r="F48" s="45">
        <v>3</v>
      </c>
      <c r="G48" s="45">
        <v>0.6</v>
      </c>
      <c r="H48" s="45">
        <v>0.25</v>
      </c>
      <c r="I48" s="37">
        <f t="shared" ref="I48:I62" si="35">1.5-AVERAGE($I$14:$I$27)</f>
        <v>1.1000000000000001</v>
      </c>
      <c r="J48" s="73">
        <f t="shared" si="31"/>
        <v>0.44999999999999996</v>
      </c>
      <c r="K48" s="74">
        <f t="shared" si="32"/>
        <v>0.495</v>
      </c>
      <c r="L48" s="75">
        <f t="shared" si="33"/>
        <v>5.61</v>
      </c>
      <c r="M48" s="76"/>
      <c r="N48" s="76"/>
      <c r="O48" s="77"/>
      <c r="P48" s="77">
        <f t="shared" si="34"/>
        <v>5.61</v>
      </c>
      <c r="Q48" s="78"/>
      <c r="R48" s="79"/>
      <c r="S48" s="62"/>
      <c r="T48" s="62"/>
    </row>
    <row r="49" spans="1:20" s="4" customFormat="1" ht="15" customHeight="1" x14ac:dyDescent="0.25">
      <c r="A49" s="60"/>
      <c r="B49" s="61"/>
      <c r="C49" s="60"/>
      <c r="D49" s="61"/>
      <c r="E49" s="63" t="s">
        <v>184</v>
      </c>
      <c r="F49" s="45">
        <v>8</v>
      </c>
      <c r="G49" s="45">
        <v>0.6</v>
      </c>
      <c r="H49" s="45">
        <v>0.25</v>
      </c>
      <c r="I49" s="37">
        <f t="shared" si="35"/>
        <v>1.1000000000000001</v>
      </c>
      <c r="J49" s="73">
        <f t="shared" si="31"/>
        <v>1.2</v>
      </c>
      <c r="K49" s="74">
        <f t="shared" si="32"/>
        <v>1.32</v>
      </c>
      <c r="L49" s="75">
        <f t="shared" si="33"/>
        <v>14.96</v>
      </c>
      <c r="M49" s="76"/>
      <c r="N49" s="76"/>
      <c r="O49" s="77"/>
      <c r="P49" s="77">
        <f t="shared" si="34"/>
        <v>14.96</v>
      </c>
      <c r="Q49" s="78"/>
      <c r="R49" s="79"/>
      <c r="S49" s="62"/>
      <c r="T49" s="62"/>
    </row>
    <row r="50" spans="1:20" s="4" customFormat="1" ht="15" customHeight="1" x14ac:dyDescent="0.25">
      <c r="A50" s="60"/>
      <c r="B50" s="61"/>
      <c r="C50" s="60"/>
      <c r="D50" s="61"/>
      <c r="E50" s="63" t="s">
        <v>185</v>
      </c>
      <c r="F50" s="45">
        <v>2</v>
      </c>
      <c r="G50" s="45">
        <v>0.6</v>
      </c>
      <c r="H50" s="45">
        <v>0.25</v>
      </c>
      <c r="I50" s="37">
        <f t="shared" si="35"/>
        <v>1.1000000000000001</v>
      </c>
      <c r="J50" s="73">
        <f t="shared" si="31"/>
        <v>0.3</v>
      </c>
      <c r="K50" s="74">
        <f t="shared" si="32"/>
        <v>0.33</v>
      </c>
      <c r="L50" s="75">
        <f t="shared" si="33"/>
        <v>3.74</v>
      </c>
      <c r="M50" s="76"/>
      <c r="N50" s="76"/>
      <c r="O50" s="77"/>
      <c r="P50" s="77">
        <f t="shared" si="34"/>
        <v>3.74</v>
      </c>
      <c r="Q50" s="78"/>
      <c r="R50" s="79"/>
      <c r="S50" s="62"/>
      <c r="T50" s="62"/>
    </row>
    <row r="51" spans="1:20" s="4" customFormat="1" ht="15" customHeight="1" x14ac:dyDescent="0.25">
      <c r="A51" s="60"/>
      <c r="B51" s="61"/>
      <c r="C51" s="60"/>
      <c r="D51" s="61"/>
      <c r="E51" s="63" t="s">
        <v>81</v>
      </c>
      <c r="F51" s="45">
        <v>2</v>
      </c>
      <c r="G51" s="45">
        <v>0.25</v>
      </c>
      <c r="H51" s="45">
        <v>0.25</v>
      </c>
      <c r="I51" s="37">
        <f t="shared" si="35"/>
        <v>1.1000000000000001</v>
      </c>
      <c r="J51" s="73">
        <f t="shared" si="31"/>
        <v>0.125</v>
      </c>
      <c r="K51" s="74">
        <f t="shared" si="32"/>
        <v>0.13750000000000001</v>
      </c>
      <c r="L51" s="75">
        <f t="shared" si="33"/>
        <v>2.2000000000000002</v>
      </c>
      <c r="M51" s="76"/>
      <c r="N51" s="76"/>
      <c r="O51" s="77"/>
      <c r="P51" s="77">
        <f t="shared" si="34"/>
        <v>2.2000000000000002</v>
      </c>
      <c r="Q51" s="78"/>
      <c r="R51" s="79"/>
      <c r="S51" s="62"/>
      <c r="T51" s="62"/>
    </row>
    <row r="52" spans="1:20" s="4" customFormat="1" ht="15" customHeight="1" x14ac:dyDescent="0.25">
      <c r="A52" s="60"/>
      <c r="B52" s="61"/>
      <c r="C52" s="60"/>
      <c r="D52" s="61"/>
      <c r="E52" s="63" t="s">
        <v>82</v>
      </c>
      <c r="F52" s="45">
        <v>2</v>
      </c>
      <c r="G52" s="45">
        <v>0.6</v>
      </c>
      <c r="H52" s="45">
        <v>0.25</v>
      </c>
      <c r="I52" s="37">
        <f t="shared" si="35"/>
        <v>1.1000000000000001</v>
      </c>
      <c r="J52" s="73">
        <f t="shared" si="31"/>
        <v>0.3</v>
      </c>
      <c r="K52" s="74">
        <f t="shared" si="32"/>
        <v>0.33</v>
      </c>
      <c r="L52" s="75">
        <f t="shared" si="33"/>
        <v>3.74</v>
      </c>
      <c r="M52" s="76"/>
      <c r="N52" s="76"/>
      <c r="O52" s="77"/>
      <c r="P52" s="77">
        <f t="shared" si="34"/>
        <v>3.74</v>
      </c>
      <c r="Q52" s="78"/>
      <c r="R52" s="79"/>
      <c r="S52" s="62"/>
      <c r="T52" s="62"/>
    </row>
    <row r="53" spans="1:20" s="4" customFormat="1" ht="15" customHeight="1" x14ac:dyDescent="0.25">
      <c r="A53" s="60"/>
      <c r="B53" s="61"/>
      <c r="C53" s="60"/>
      <c r="D53" s="61"/>
      <c r="E53" s="63" t="s">
        <v>186</v>
      </c>
      <c r="F53" s="45">
        <v>1</v>
      </c>
      <c r="G53" s="45">
        <v>1</v>
      </c>
      <c r="H53" s="45">
        <v>0.25</v>
      </c>
      <c r="I53" s="37">
        <f>1.5-AVERAGE($I$14:$I$27)</f>
        <v>1.1000000000000001</v>
      </c>
      <c r="J53" s="73">
        <f t="shared" si="31"/>
        <v>0.25</v>
      </c>
      <c r="K53" s="74">
        <f t="shared" si="32"/>
        <v>0.27500000000000002</v>
      </c>
      <c r="L53" s="75">
        <f t="shared" si="33"/>
        <v>2.75</v>
      </c>
      <c r="M53" s="76"/>
      <c r="N53" s="76"/>
      <c r="O53" s="77"/>
      <c r="P53" s="77">
        <f t="shared" si="34"/>
        <v>2.75</v>
      </c>
      <c r="Q53" s="78"/>
      <c r="R53" s="79"/>
      <c r="S53" s="62"/>
      <c r="T53" s="62"/>
    </row>
    <row r="54" spans="1:20" s="4" customFormat="1" ht="15" customHeight="1" x14ac:dyDescent="0.25">
      <c r="A54" s="60"/>
      <c r="B54" s="61"/>
      <c r="C54" s="60"/>
      <c r="D54" s="61"/>
      <c r="E54" s="63" t="s">
        <v>187</v>
      </c>
      <c r="F54" s="45">
        <v>1</v>
      </c>
      <c r="G54" s="45">
        <v>1</v>
      </c>
      <c r="H54" s="45">
        <v>0.25</v>
      </c>
      <c r="I54" s="37">
        <f t="shared" si="35"/>
        <v>1.1000000000000001</v>
      </c>
      <c r="J54" s="73">
        <f t="shared" si="31"/>
        <v>0.25</v>
      </c>
      <c r="K54" s="74">
        <f t="shared" si="32"/>
        <v>0.27500000000000002</v>
      </c>
      <c r="L54" s="75">
        <f t="shared" si="33"/>
        <v>2.75</v>
      </c>
      <c r="M54" s="76"/>
      <c r="N54" s="76"/>
      <c r="O54" s="77"/>
      <c r="P54" s="77">
        <f t="shared" si="34"/>
        <v>2.75</v>
      </c>
      <c r="Q54" s="78"/>
      <c r="R54" s="79"/>
      <c r="S54" s="62"/>
      <c r="T54" s="62"/>
    </row>
    <row r="55" spans="1:20" s="4" customFormat="1" ht="15" customHeight="1" x14ac:dyDescent="0.25">
      <c r="A55" s="60"/>
      <c r="B55" s="61"/>
      <c r="C55" s="60"/>
      <c r="D55" s="61"/>
      <c r="E55" s="63" t="s">
        <v>188</v>
      </c>
      <c r="F55" s="45">
        <v>1</v>
      </c>
      <c r="G55" s="45">
        <v>0.8</v>
      </c>
      <c r="H55" s="45">
        <v>0.25</v>
      </c>
      <c r="I55" s="37">
        <f t="shared" si="35"/>
        <v>1.1000000000000001</v>
      </c>
      <c r="J55" s="73">
        <f t="shared" si="31"/>
        <v>0.2</v>
      </c>
      <c r="K55" s="74">
        <f t="shared" si="32"/>
        <v>0.22000000000000003</v>
      </c>
      <c r="L55" s="75">
        <f t="shared" si="33"/>
        <v>2.3100000000000005</v>
      </c>
      <c r="M55" s="76"/>
      <c r="N55" s="76"/>
      <c r="O55" s="77"/>
      <c r="P55" s="77">
        <f t="shared" si="34"/>
        <v>2.3100000000000005</v>
      </c>
      <c r="Q55" s="78"/>
      <c r="R55" s="79"/>
      <c r="S55" s="62"/>
      <c r="T55" s="62"/>
    </row>
    <row r="56" spans="1:20" s="4" customFormat="1" ht="15" customHeight="1" x14ac:dyDescent="0.25">
      <c r="A56" s="60"/>
      <c r="B56" s="61"/>
      <c r="C56" s="60"/>
      <c r="D56" s="61"/>
      <c r="E56" s="63" t="s">
        <v>189</v>
      </c>
      <c r="F56" s="45">
        <v>1</v>
      </c>
      <c r="G56" s="45">
        <v>0.8</v>
      </c>
      <c r="H56" s="45">
        <v>0.25</v>
      </c>
      <c r="I56" s="37">
        <f t="shared" si="35"/>
        <v>1.1000000000000001</v>
      </c>
      <c r="J56" s="73">
        <f t="shared" si="31"/>
        <v>0.2</v>
      </c>
      <c r="K56" s="74">
        <f t="shared" si="32"/>
        <v>0.22000000000000003</v>
      </c>
      <c r="L56" s="75">
        <f t="shared" si="33"/>
        <v>2.3100000000000005</v>
      </c>
      <c r="M56" s="76"/>
      <c r="N56" s="76"/>
      <c r="O56" s="77"/>
      <c r="P56" s="77">
        <f t="shared" si="34"/>
        <v>2.3100000000000005</v>
      </c>
      <c r="Q56" s="78"/>
      <c r="R56" s="79"/>
      <c r="S56" s="62"/>
      <c r="T56" s="62"/>
    </row>
    <row r="57" spans="1:20" s="4" customFormat="1" ht="15" customHeight="1" x14ac:dyDescent="0.25">
      <c r="A57" s="60"/>
      <c r="B57" s="61"/>
      <c r="C57" s="60"/>
      <c r="D57" s="61"/>
      <c r="E57" s="63" t="s">
        <v>190</v>
      </c>
      <c r="F57" s="45">
        <v>1</v>
      </c>
      <c r="G57" s="45">
        <v>0.4</v>
      </c>
      <c r="H57" s="45">
        <v>0.25</v>
      </c>
      <c r="I57" s="37">
        <f t="shared" si="35"/>
        <v>1.1000000000000001</v>
      </c>
      <c r="J57" s="73">
        <f t="shared" si="31"/>
        <v>0.1</v>
      </c>
      <c r="K57" s="74">
        <f t="shared" si="32"/>
        <v>0.11000000000000001</v>
      </c>
      <c r="L57" s="75">
        <f t="shared" si="33"/>
        <v>1.4300000000000002</v>
      </c>
      <c r="M57" s="76"/>
      <c r="N57" s="76"/>
      <c r="O57" s="77"/>
      <c r="P57" s="77">
        <f t="shared" si="34"/>
        <v>1.4300000000000002</v>
      </c>
      <c r="Q57" s="78"/>
      <c r="R57" s="79"/>
      <c r="S57" s="62"/>
      <c r="T57" s="62"/>
    </row>
    <row r="58" spans="1:20" s="4" customFormat="1" ht="15" customHeight="1" x14ac:dyDescent="0.25">
      <c r="A58" s="60"/>
      <c r="B58" s="61"/>
      <c r="C58" s="60"/>
      <c r="D58" s="61"/>
      <c r="E58" s="63"/>
      <c r="F58" s="45"/>
      <c r="G58" s="45"/>
      <c r="H58" s="45"/>
      <c r="I58" s="37"/>
      <c r="J58" s="73"/>
      <c r="K58" s="74"/>
      <c r="L58" s="75"/>
      <c r="M58" s="76"/>
      <c r="N58" s="76"/>
      <c r="O58" s="77"/>
      <c r="P58" s="77"/>
      <c r="Q58" s="78"/>
      <c r="R58" s="79"/>
      <c r="S58" s="62"/>
      <c r="T58" s="62"/>
    </row>
    <row r="59" spans="1:20" s="4" customFormat="1" ht="15" customHeight="1" x14ac:dyDescent="0.25">
      <c r="A59" s="60">
        <v>7</v>
      </c>
      <c r="B59" s="39" t="s">
        <v>194</v>
      </c>
      <c r="C59" s="36" t="s">
        <v>52</v>
      </c>
      <c r="D59" s="61" t="s">
        <v>162</v>
      </c>
      <c r="E59" s="63" t="s">
        <v>193</v>
      </c>
      <c r="F59" s="45">
        <v>1</v>
      </c>
      <c r="G59" s="45">
        <v>9.5</v>
      </c>
      <c r="H59" s="45">
        <v>0.25</v>
      </c>
      <c r="I59" s="37">
        <v>1.2</v>
      </c>
      <c r="J59" s="73">
        <f>F59*G59*H59</f>
        <v>2.375</v>
      </c>
      <c r="K59" s="74">
        <f>J59*I59</f>
        <v>2.85</v>
      </c>
      <c r="L59" s="75">
        <f>(G59+H59)*2*I59</f>
        <v>23.4</v>
      </c>
      <c r="M59" s="76"/>
      <c r="N59" s="76"/>
      <c r="O59" s="77"/>
      <c r="P59" s="77">
        <f>G59*I59</f>
        <v>11.4</v>
      </c>
      <c r="Q59" s="78"/>
      <c r="R59" s="79"/>
      <c r="S59" s="62"/>
      <c r="T59" s="62"/>
    </row>
    <row r="60" spans="1:20" s="4" customFormat="1" ht="15" customHeight="1" x14ac:dyDescent="0.25">
      <c r="A60" s="60"/>
      <c r="B60" s="278" t="s">
        <v>198</v>
      </c>
      <c r="C60" s="60"/>
      <c r="D60" s="61" t="s">
        <v>195</v>
      </c>
      <c r="E60" s="63" t="s">
        <v>162</v>
      </c>
      <c r="F60" s="45">
        <v>1</v>
      </c>
      <c r="G60" s="45">
        <v>2.5</v>
      </c>
      <c r="H60" s="45">
        <v>0.3</v>
      </c>
      <c r="I60" s="37">
        <f t="shared" si="35"/>
        <v>1.1000000000000001</v>
      </c>
      <c r="J60" s="73">
        <f>F60*G60*H60</f>
        <v>0.75</v>
      </c>
      <c r="K60" s="74">
        <f>J60*I60</f>
        <v>0.82500000000000007</v>
      </c>
      <c r="L60" s="75">
        <f>(G60+H60)*2*I60*F60</f>
        <v>6.16</v>
      </c>
      <c r="M60" s="76"/>
      <c r="N60" s="76"/>
      <c r="O60" s="77"/>
      <c r="P60" s="77">
        <f>L60</f>
        <v>6.16</v>
      </c>
      <c r="Q60" s="78"/>
      <c r="R60" s="79"/>
      <c r="S60" s="62"/>
      <c r="T60" s="62"/>
    </row>
    <row r="61" spans="1:20" s="4" customFormat="1" ht="15" customHeight="1" x14ac:dyDescent="0.25">
      <c r="A61" s="60"/>
      <c r="B61" s="279"/>
      <c r="C61" s="60"/>
      <c r="D61" s="61" t="s">
        <v>196</v>
      </c>
      <c r="E61" s="63" t="s">
        <v>162</v>
      </c>
      <c r="F61" s="45">
        <v>2</v>
      </c>
      <c r="G61" s="45">
        <v>1.3</v>
      </c>
      <c r="H61" s="45">
        <v>0.25</v>
      </c>
      <c r="I61" s="37">
        <f t="shared" si="35"/>
        <v>1.1000000000000001</v>
      </c>
      <c r="J61" s="73">
        <f>F61*G61*H61</f>
        <v>0.65</v>
      </c>
      <c r="K61" s="74">
        <f>J61*I61</f>
        <v>0.71500000000000008</v>
      </c>
      <c r="L61" s="75">
        <f t="shared" ref="L61:L62" si="36">(G61+H61)*2*I61*F61</f>
        <v>6.8200000000000012</v>
      </c>
      <c r="M61" s="76"/>
      <c r="N61" s="76"/>
      <c r="O61" s="77"/>
      <c r="P61" s="77">
        <f t="shared" ref="P61:P62" si="37">L61</f>
        <v>6.8200000000000012</v>
      </c>
      <c r="Q61" s="78"/>
      <c r="R61" s="79"/>
      <c r="S61" s="62"/>
      <c r="T61" s="62"/>
    </row>
    <row r="62" spans="1:20" s="4" customFormat="1" ht="15" customHeight="1" x14ac:dyDescent="0.25">
      <c r="A62" s="60"/>
      <c r="B62" s="280"/>
      <c r="C62" s="60"/>
      <c r="D62" s="61" t="s">
        <v>197</v>
      </c>
      <c r="E62" s="63" t="s">
        <v>162</v>
      </c>
      <c r="F62" s="45">
        <v>2</v>
      </c>
      <c r="G62" s="45">
        <v>1.3</v>
      </c>
      <c r="H62" s="45">
        <v>0.25</v>
      </c>
      <c r="I62" s="37">
        <f t="shared" si="35"/>
        <v>1.1000000000000001</v>
      </c>
      <c r="J62" s="73">
        <f>F62*G62*H62</f>
        <v>0.65</v>
      </c>
      <c r="K62" s="74">
        <f t="shared" ref="K62" si="38">J62*I62</f>
        <v>0.71500000000000008</v>
      </c>
      <c r="L62" s="75">
        <f t="shared" si="36"/>
        <v>6.8200000000000012</v>
      </c>
      <c r="M62" s="76"/>
      <c r="N62" s="76"/>
      <c r="O62" s="77"/>
      <c r="P62" s="77">
        <f t="shared" si="37"/>
        <v>6.8200000000000012</v>
      </c>
      <c r="Q62" s="78"/>
      <c r="R62" s="79"/>
      <c r="S62" s="62"/>
      <c r="T62" s="62"/>
    </row>
    <row r="63" spans="1:20" s="4" customFormat="1" ht="15" customHeight="1" x14ac:dyDescent="0.25">
      <c r="A63" s="60"/>
      <c r="B63" s="61"/>
      <c r="C63" s="60"/>
      <c r="D63" s="61"/>
      <c r="E63" s="63"/>
      <c r="F63" s="45"/>
      <c r="G63" s="45"/>
      <c r="H63" s="45"/>
      <c r="I63" s="37"/>
      <c r="J63" s="73"/>
      <c r="K63" s="74"/>
      <c r="L63" s="75"/>
      <c r="M63" s="76"/>
      <c r="N63" s="76"/>
      <c r="O63" s="77"/>
      <c r="P63" s="77"/>
      <c r="Q63" s="78"/>
      <c r="R63" s="79"/>
      <c r="S63" s="62"/>
      <c r="T63" s="62"/>
    </row>
    <row r="64" spans="1:20" s="4" customFormat="1" ht="15" customHeight="1" x14ac:dyDescent="0.25">
      <c r="A64" s="60"/>
      <c r="B64" s="61"/>
      <c r="C64" s="60"/>
      <c r="D64" s="61"/>
      <c r="E64" s="63"/>
      <c r="F64" s="45"/>
      <c r="G64" s="45"/>
      <c r="H64" s="45"/>
      <c r="I64" s="37"/>
      <c r="J64" s="73"/>
      <c r="K64" s="74"/>
      <c r="L64" s="75"/>
      <c r="M64" s="76"/>
      <c r="N64" s="76"/>
      <c r="O64" s="77"/>
      <c r="P64" s="77"/>
      <c r="Q64" s="78"/>
      <c r="R64" s="79"/>
      <c r="S64" s="62"/>
      <c r="T64" s="62"/>
    </row>
    <row r="65" spans="1:20" s="6" customFormat="1" ht="18" customHeight="1" x14ac:dyDescent="0.25">
      <c r="A65" s="42"/>
      <c r="B65" s="42"/>
      <c r="C65" s="42"/>
      <c r="D65" s="42"/>
      <c r="E65" s="43"/>
      <c r="F65" s="45"/>
      <c r="G65" s="45"/>
      <c r="H65" s="46"/>
      <c r="I65" s="45"/>
      <c r="J65" s="46"/>
      <c r="K65" s="89"/>
      <c r="L65" s="90"/>
      <c r="M65" s="91"/>
      <c r="N65" s="91"/>
      <c r="O65" s="92"/>
      <c r="P65" s="92"/>
      <c r="Q65" s="93"/>
      <c r="R65" s="94"/>
      <c r="S65" s="42"/>
      <c r="T65" s="42"/>
    </row>
    <row r="66" spans="1:20" s="6" customFormat="1" ht="26.25" customHeight="1" x14ac:dyDescent="0.25">
      <c r="A66" s="275" t="s">
        <v>158</v>
      </c>
      <c r="B66" s="276"/>
      <c r="C66" s="276"/>
      <c r="D66" s="276"/>
      <c r="E66" s="276"/>
      <c r="F66" s="276"/>
      <c r="G66" s="276"/>
      <c r="H66" s="276"/>
      <c r="I66" s="277"/>
      <c r="J66" s="53">
        <f>SUM(J28:J44)</f>
        <v>705.75</v>
      </c>
      <c r="K66" s="54">
        <f t="shared" ref="K66:R66" si="39">SUM(K13:K44)</f>
        <v>301.49064999999996</v>
      </c>
      <c r="L66" s="54">
        <f t="shared" si="39"/>
        <v>1015.5839999999999</v>
      </c>
      <c r="M66" s="54">
        <f>SUM(M13:M44)-M42</f>
        <v>924.67000000000007</v>
      </c>
      <c r="N66" s="54">
        <f t="shared" si="39"/>
        <v>553.58399999999995</v>
      </c>
      <c r="O66" s="54">
        <f t="shared" si="39"/>
        <v>924.67000000000007</v>
      </c>
      <c r="P66" s="54">
        <f>SUM(P13:P65)</f>
        <v>680.154</v>
      </c>
      <c r="Q66" s="54">
        <f>SUM(Q13:Q44)</f>
        <v>924.67000000000007</v>
      </c>
      <c r="R66" s="54">
        <f t="shared" si="39"/>
        <v>46.233500000000006</v>
      </c>
      <c r="S66" s="47"/>
      <c r="T66" s="56"/>
    </row>
    <row r="67" spans="1:20" s="6" customFormat="1" ht="12.75" x14ac:dyDescent="0.25"/>
  </sheetData>
  <mergeCells count="4">
    <mergeCell ref="B11:E11"/>
    <mergeCell ref="G40:H40"/>
    <mergeCell ref="A66:I66"/>
    <mergeCell ref="B60:B6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EC83-085E-4B36-A33C-5F13409BEEA0}">
  <sheetPr>
    <tabColor rgb="FFFF0000"/>
  </sheetPr>
  <dimension ref="A2:W166"/>
  <sheetViews>
    <sheetView topLeftCell="A3" zoomScale="70" zoomScaleNormal="70" workbookViewId="0">
      <pane xSplit="6" ySplit="9" topLeftCell="G20" activePane="bottomRight" state="frozen"/>
      <selection activeCell="A3" sqref="A3"/>
      <selection pane="topRight" activeCell="G3" sqref="G3"/>
      <selection pane="bottomLeft" activeCell="A12" sqref="A12"/>
      <selection pane="bottomRight" activeCell="L26" activeCellId="1" sqref="L41 L26"/>
    </sheetView>
  </sheetViews>
  <sheetFormatPr defaultRowHeight="15" x14ac:dyDescent="0.25"/>
  <cols>
    <col min="2" max="2" width="30.140625" customWidth="1"/>
    <col min="3" max="3" width="9.140625" customWidth="1"/>
    <col min="4" max="4" width="23.140625" customWidth="1"/>
    <col min="5" max="5" width="27.42578125" customWidth="1"/>
    <col min="6" max="6" width="7.28515625" customWidth="1"/>
    <col min="11" max="11" width="11.7109375" customWidth="1"/>
    <col min="12" max="14" width="15.140625" customWidth="1"/>
    <col min="15" max="16" width="16.140625" customWidth="1"/>
    <col min="17" max="18" width="12.85546875" customWidth="1"/>
  </cols>
  <sheetData>
    <row r="2" spans="1:20" s="6" customFormat="1" ht="15.75" x14ac:dyDescent="0.25">
      <c r="A2" s="23" t="s">
        <v>8</v>
      </c>
      <c r="B2" s="2" t="s">
        <v>143</v>
      </c>
    </row>
    <row r="3" spans="1:20" s="6" customFormat="1" ht="15.75" x14ac:dyDescent="0.25">
      <c r="A3" s="24" t="s">
        <v>9</v>
      </c>
      <c r="B3" s="2" t="s">
        <v>142</v>
      </c>
    </row>
    <row r="4" spans="1:20" s="6" customFormat="1" ht="15.75" x14ac:dyDescent="0.25">
      <c r="A4" s="24" t="s">
        <v>10</v>
      </c>
      <c r="B4" s="2" t="s">
        <v>11</v>
      </c>
    </row>
    <row r="5" spans="1:20" s="6" customFormat="1" ht="15.75" x14ac:dyDescent="0.25">
      <c r="A5" s="24" t="s">
        <v>12</v>
      </c>
      <c r="B5" s="2" t="s">
        <v>13</v>
      </c>
    </row>
    <row r="6" spans="1:20" s="6" customFormat="1" ht="30" customHeight="1" x14ac:dyDescent="0.25">
      <c r="A6" s="25" t="s">
        <v>223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s="6" customFormat="1" ht="12.75" x14ac:dyDescent="0.25"/>
    <row r="8" spans="1:20" s="31" customFormat="1" ht="38.25" x14ac:dyDescent="0.25">
      <c r="A8" s="29" t="s">
        <v>36</v>
      </c>
      <c r="B8" s="29" t="s">
        <v>37</v>
      </c>
      <c r="C8" s="29" t="s">
        <v>38</v>
      </c>
      <c r="D8" s="29" t="s">
        <v>39</v>
      </c>
      <c r="E8" s="29" t="s">
        <v>16</v>
      </c>
      <c r="F8" s="29" t="s">
        <v>40</v>
      </c>
      <c r="G8" s="29" t="s">
        <v>41</v>
      </c>
      <c r="H8" s="29" t="s">
        <v>42</v>
      </c>
      <c r="I8" s="29" t="s">
        <v>43</v>
      </c>
      <c r="J8" s="30" t="s">
        <v>44</v>
      </c>
      <c r="K8" s="30" t="s">
        <v>67</v>
      </c>
      <c r="L8" s="30" t="s">
        <v>68</v>
      </c>
      <c r="M8" s="30" t="s">
        <v>69</v>
      </c>
      <c r="N8" s="30" t="s">
        <v>70</v>
      </c>
      <c r="O8" s="64" t="s">
        <v>71</v>
      </c>
      <c r="P8" s="64" t="s">
        <v>72</v>
      </c>
      <c r="Q8" s="30" t="s">
        <v>73</v>
      </c>
      <c r="R8" s="30" t="s">
        <v>105</v>
      </c>
      <c r="S8" s="29" t="s">
        <v>46</v>
      </c>
      <c r="T8" s="29" t="s">
        <v>47</v>
      </c>
    </row>
    <row r="9" spans="1:20" s="31" customFormat="1" ht="20.25" customHeight="1" x14ac:dyDescent="0.25">
      <c r="A9" s="32"/>
      <c r="B9" s="32"/>
      <c r="C9" s="32"/>
      <c r="D9" s="32"/>
      <c r="E9" s="32"/>
      <c r="F9" s="32"/>
      <c r="G9" s="29" t="s">
        <v>48</v>
      </c>
      <c r="H9" s="29" t="s">
        <v>48</v>
      </c>
      <c r="I9" s="29" t="s">
        <v>48</v>
      </c>
      <c r="J9" s="29" t="s">
        <v>49</v>
      </c>
      <c r="K9" s="29" t="s">
        <v>50</v>
      </c>
      <c r="L9" s="29" t="s">
        <v>49</v>
      </c>
      <c r="M9" s="29" t="s">
        <v>49</v>
      </c>
      <c r="N9" s="29" t="s">
        <v>49</v>
      </c>
      <c r="O9" s="65" t="s">
        <v>49</v>
      </c>
      <c r="P9" s="65" t="s">
        <v>49</v>
      </c>
      <c r="Q9" s="29" t="s">
        <v>49</v>
      </c>
      <c r="R9" s="29" t="s">
        <v>50</v>
      </c>
      <c r="S9" s="32"/>
      <c r="T9" s="32"/>
    </row>
    <row r="10" spans="1:20" s="6" customFormat="1" ht="3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66"/>
      <c r="P10" s="66"/>
      <c r="Q10" s="67"/>
      <c r="R10" s="68"/>
      <c r="S10" s="33"/>
      <c r="T10" s="33"/>
    </row>
    <row r="11" spans="1:20" s="4" customFormat="1" ht="20.25" customHeight="1" x14ac:dyDescent="0.25">
      <c r="A11" s="69" t="s">
        <v>74</v>
      </c>
      <c r="B11" s="272" t="s">
        <v>229</v>
      </c>
      <c r="C11" s="273"/>
      <c r="D11" s="273"/>
      <c r="E11" s="274"/>
      <c r="F11" s="70"/>
      <c r="G11" s="70"/>
      <c r="H11" s="70"/>
      <c r="I11" s="70"/>
      <c r="J11" s="71"/>
      <c r="K11" s="71"/>
      <c r="L11" s="71"/>
      <c r="M11" s="71"/>
      <c r="N11" s="71"/>
      <c r="O11" s="71"/>
      <c r="P11" s="71"/>
      <c r="Q11" s="71"/>
      <c r="R11" s="71"/>
      <c r="S11" s="36"/>
      <c r="T11" s="36"/>
    </row>
    <row r="12" spans="1:20" s="4" customFormat="1" ht="12.75" customHeight="1" x14ac:dyDescent="0.25">
      <c r="A12" s="34"/>
      <c r="B12" s="35"/>
      <c r="C12" s="35"/>
      <c r="D12" s="36"/>
      <c r="E12" s="72"/>
      <c r="F12" s="37"/>
      <c r="G12" s="37"/>
      <c r="H12" s="37"/>
      <c r="I12" s="37"/>
      <c r="J12" s="73"/>
      <c r="K12" s="74"/>
      <c r="L12" s="75"/>
      <c r="M12" s="76"/>
      <c r="N12" s="76"/>
      <c r="O12" s="77"/>
      <c r="P12" s="77"/>
      <c r="Q12" s="78"/>
      <c r="R12" s="79"/>
      <c r="S12" s="36"/>
      <c r="T12" s="36"/>
    </row>
    <row r="13" spans="1:20" s="4" customFormat="1" ht="22.5" customHeight="1" x14ac:dyDescent="0.25">
      <c r="A13" s="60">
        <v>1</v>
      </c>
      <c r="B13" s="39" t="s">
        <v>199</v>
      </c>
      <c r="C13" s="36" t="s">
        <v>52</v>
      </c>
      <c r="D13" s="61" t="s">
        <v>200</v>
      </c>
      <c r="E13" s="63" t="s">
        <v>181</v>
      </c>
      <c r="F13" s="45">
        <v>5</v>
      </c>
      <c r="G13" s="45">
        <v>0.4</v>
      </c>
      <c r="H13" s="45">
        <v>0.25</v>
      </c>
      <c r="I13" s="37">
        <v>4.5</v>
      </c>
      <c r="J13" s="73">
        <f>F13*G13*H13</f>
        <v>0.5</v>
      </c>
      <c r="K13" s="74">
        <f>F13*G13*H13*I13</f>
        <v>2.25</v>
      </c>
      <c r="L13" s="75">
        <f>(G13+H13)*2*I13*F13</f>
        <v>29.250000000000004</v>
      </c>
      <c r="M13" s="76"/>
      <c r="N13" s="76"/>
      <c r="O13" s="77"/>
      <c r="P13" s="77"/>
      <c r="Q13" s="78"/>
      <c r="R13" s="79"/>
      <c r="S13" s="62"/>
      <c r="T13" s="62"/>
    </row>
    <row r="14" spans="1:20" s="4" customFormat="1" ht="15" customHeight="1" x14ac:dyDescent="0.25">
      <c r="A14" s="60"/>
      <c r="B14" s="61"/>
      <c r="C14" s="60"/>
      <c r="D14" s="61"/>
      <c r="E14" s="63" t="s">
        <v>182</v>
      </c>
      <c r="F14" s="45">
        <v>6</v>
      </c>
      <c r="G14" s="45">
        <v>0.6</v>
      </c>
      <c r="H14" s="45">
        <v>0.25</v>
      </c>
      <c r="I14" s="37">
        <v>4.5</v>
      </c>
      <c r="J14" s="73">
        <f t="shared" ref="J14:J25" si="0">F14*G14*H14</f>
        <v>0.89999999999999991</v>
      </c>
      <c r="K14" s="74">
        <f t="shared" ref="K14:K25" si="1">F14*G14*H14*I14</f>
        <v>4.05</v>
      </c>
      <c r="L14" s="75">
        <f t="shared" ref="L14:L25" si="2">(G14+H14)*2*I14*F14</f>
        <v>45.9</v>
      </c>
      <c r="M14" s="76"/>
      <c r="N14" s="76"/>
      <c r="O14" s="77"/>
      <c r="P14" s="77"/>
      <c r="Q14" s="78"/>
      <c r="R14" s="79"/>
      <c r="S14" s="62"/>
      <c r="T14" s="62"/>
    </row>
    <row r="15" spans="1:20" s="4" customFormat="1" ht="15" customHeight="1" x14ac:dyDescent="0.25">
      <c r="A15" s="60"/>
      <c r="B15" s="61"/>
      <c r="C15" s="60"/>
      <c r="D15" s="61"/>
      <c r="E15" s="63" t="s">
        <v>83</v>
      </c>
      <c r="F15" s="45">
        <v>40</v>
      </c>
      <c r="G15" s="45">
        <v>0.2</v>
      </c>
      <c r="H15" s="45">
        <v>0.2</v>
      </c>
      <c r="I15" s="37">
        <v>1.9</v>
      </c>
      <c r="J15" s="73">
        <f t="shared" si="0"/>
        <v>1.6</v>
      </c>
      <c r="K15" s="74">
        <f t="shared" si="1"/>
        <v>3.04</v>
      </c>
      <c r="L15" s="75">
        <f>(G15+H15)*2*I15*F15</f>
        <v>60.8</v>
      </c>
      <c r="M15" s="76"/>
      <c r="N15" s="76"/>
      <c r="O15" s="77"/>
      <c r="P15" s="77"/>
      <c r="Q15" s="78"/>
      <c r="R15" s="79"/>
      <c r="S15" s="62"/>
      <c r="T15" s="62"/>
    </row>
    <row r="16" spans="1:20" s="4" customFormat="1" ht="15" customHeight="1" x14ac:dyDescent="0.25">
      <c r="A16" s="60"/>
      <c r="B16" s="61"/>
      <c r="C16" s="60"/>
      <c r="D16" s="61"/>
      <c r="E16" s="63" t="s">
        <v>183</v>
      </c>
      <c r="F16" s="45">
        <v>3</v>
      </c>
      <c r="G16" s="45">
        <v>0.6</v>
      </c>
      <c r="H16" s="45">
        <v>0.25</v>
      </c>
      <c r="I16" s="37">
        <v>4.5</v>
      </c>
      <c r="J16" s="73">
        <f t="shared" si="0"/>
        <v>0.44999999999999996</v>
      </c>
      <c r="K16" s="74">
        <f t="shared" si="1"/>
        <v>2.0249999999999999</v>
      </c>
      <c r="L16" s="75">
        <f t="shared" si="2"/>
        <v>22.95</v>
      </c>
      <c r="M16" s="76"/>
      <c r="N16" s="76"/>
      <c r="O16" s="77"/>
      <c r="P16" s="77"/>
      <c r="Q16" s="78"/>
      <c r="R16" s="79"/>
      <c r="S16" s="62"/>
      <c r="T16" s="62"/>
    </row>
    <row r="17" spans="1:20" s="4" customFormat="1" ht="15" customHeight="1" x14ac:dyDescent="0.25">
      <c r="A17" s="60"/>
      <c r="B17" s="61"/>
      <c r="C17" s="60"/>
      <c r="D17" s="61"/>
      <c r="E17" s="63" t="s">
        <v>184</v>
      </c>
      <c r="F17" s="45">
        <v>8</v>
      </c>
      <c r="G17" s="45">
        <v>0.6</v>
      </c>
      <c r="H17" s="45">
        <v>0.25</v>
      </c>
      <c r="I17" s="37">
        <v>4.5</v>
      </c>
      <c r="J17" s="73">
        <f t="shared" si="0"/>
        <v>1.2</v>
      </c>
      <c r="K17" s="74">
        <f t="shared" si="1"/>
        <v>5.3999999999999995</v>
      </c>
      <c r="L17" s="75">
        <f t="shared" si="2"/>
        <v>61.199999999999996</v>
      </c>
      <c r="M17" s="76"/>
      <c r="N17" s="76"/>
      <c r="O17" s="77"/>
      <c r="P17" s="77"/>
      <c r="Q17" s="78"/>
      <c r="R17" s="79"/>
      <c r="S17" s="62"/>
      <c r="T17" s="62"/>
    </row>
    <row r="18" spans="1:20" s="4" customFormat="1" ht="15" customHeight="1" x14ac:dyDescent="0.25">
      <c r="A18" s="60"/>
      <c r="B18" s="61"/>
      <c r="C18" s="60"/>
      <c r="D18" s="61"/>
      <c r="E18" s="63" t="s">
        <v>185</v>
      </c>
      <c r="F18" s="45">
        <v>2</v>
      </c>
      <c r="G18" s="45">
        <v>0.6</v>
      </c>
      <c r="H18" s="45">
        <v>0.25</v>
      </c>
      <c r="I18" s="37">
        <v>4.5</v>
      </c>
      <c r="J18" s="73">
        <f t="shared" si="0"/>
        <v>0.3</v>
      </c>
      <c r="K18" s="74">
        <f t="shared" si="1"/>
        <v>1.3499999999999999</v>
      </c>
      <c r="L18" s="75">
        <f t="shared" si="2"/>
        <v>15.299999999999999</v>
      </c>
      <c r="M18" s="76"/>
      <c r="N18" s="76"/>
      <c r="O18" s="77"/>
      <c r="P18" s="77"/>
      <c r="Q18" s="78"/>
      <c r="R18" s="79"/>
      <c r="S18" s="62"/>
      <c r="T18" s="62"/>
    </row>
    <row r="19" spans="1:20" s="4" customFormat="1" ht="15" customHeight="1" x14ac:dyDescent="0.25">
      <c r="A19" s="60"/>
      <c r="B19" s="61"/>
      <c r="C19" s="60"/>
      <c r="D19" s="61"/>
      <c r="E19" s="63" t="s">
        <v>81</v>
      </c>
      <c r="F19" s="45">
        <v>2</v>
      </c>
      <c r="G19" s="45">
        <v>0.25</v>
      </c>
      <c r="H19" s="45">
        <v>0.25</v>
      </c>
      <c r="I19" s="37">
        <v>4.5</v>
      </c>
      <c r="J19" s="73">
        <f t="shared" si="0"/>
        <v>0.125</v>
      </c>
      <c r="K19" s="74">
        <f t="shared" si="1"/>
        <v>0.5625</v>
      </c>
      <c r="L19" s="75">
        <f t="shared" si="2"/>
        <v>9</v>
      </c>
      <c r="M19" s="76"/>
      <c r="N19" s="76"/>
      <c r="O19" s="77"/>
      <c r="P19" s="77"/>
      <c r="Q19" s="78"/>
      <c r="R19" s="79"/>
      <c r="S19" s="62"/>
      <c r="T19" s="62"/>
    </row>
    <row r="20" spans="1:20" s="4" customFormat="1" ht="15" customHeight="1" x14ac:dyDescent="0.25">
      <c r="A20" s="60"/>
      <c r="B20" s="61"/>
      <c r="C20" s="60"/>
      <c r="D20" s="61"/>
      <c r="E20" s="63" t="s">
        <v>82</v>
      </c>
      <c r="F20" s="45">
        <v>2</v>
      </c>
      <c r="G20" s="45">
        <v>0.6</v>
      </c>
      <c r="H20" s="45">
        <v>0.25</v>
      </c>
      <c r="I20" s="37">
        <v>4.5</v>
      </c>
      <c r="J20" s="73">
        <f t="shared" si="0"/>
        <v>0.3</v>
      </c>
      <c r="K20" s="74">
        <f t="shared" si="1"/>
        <v>1.3499999999999999</v>
      </c>
      <c r="L20" s="75">
        <f t="shared" si="2"/>
        <v>15.299999999999999</v>
      </c>
      <c r="M20" s="76"/>
      <c r="N20" s="76"/>
      <c r="O20" s="77"/>
      <c r="P20" s="77"/>
      <c r="Q20" s="78"/>
      <c r="R20" s="79"/>
      <c r="S20" s="62"/>
      <c r="T20" s="62"/>
    </row>
    <row r="21" spans="1:20" s="4" customFormat="1" ht="15" customHeight="1" x14ac:dyDescent="0.25">
      <c r="A21" s="60"/>
      <c r="B21" s="61"/>
      <c r="C21" s="60"/>
      <c r="D21" s="61"/>
      <c r="E21" s="63" t="s">
        <v>186</v>
      </c>
      <c r="F21" s="45">
        <v>1</v>
      </c>
      <c r="G21" s="45">
        <v>1</v>
      </c>
      <c r="H21" s="45">
        <v>0.25</v>
      </c>
      <c r="I21" s="37">
        <v>4.5</v>
      </c>
      <c r="J21" s="73">
        <f t="shared" si="0"/>
        <v>0.25</v>
      </c>
      <c r="K21" s="74">
        <f t="shared" si="1"/>
        <v>1.125</v>
      </c>
      <c r="L21" s="75">
        <f t="shared" si="2"/>
        <v>11.25</v>
      </c>
      <c r="M21" s="76"/>
      <c r="N21" s="76"/>
      <c r="O21" s="77"/>
      <c r="P21" s="77"/>
      <c r="Q21" s="78"/>
      <c r="R21" s="79"/>
      <c r="S21" s="62"/>
      <c r="T21" s="62"/>
    </row>
    <row r="22" spans="1:20" s="4" customFormat="1" ht="15" customHeight="1" x14ac:dyDescent="0.25">
      <c r="A22" s="60"/>
      <c r="B22" s="61"/>
      <c r="C22" s="60"/>
      <c r="D22" s="61"/>
      <c r="E22" s="63" t="s">
        <v>187</v>
      </c>
      <c r="F22" s="45">
        <v>1</v>
      </c>
      <c r="G22" s="45">
        <v>1</v>
      </c>
      <c r="H22" s="45">
        <v>0.25</v>
      </c>
      <c r="I22" s="37">
        <v>4.5</v>
      </c>
      <c r="J22" s="73">
        <f t="shared" si="0"/>
        <v>0.25</v>
      </c>
      <c r="K22" s="74">
        <f t="shared" si="1"/>
        <v>1.125</v>
      </c>
      <c r="L22" s="75">
        <f t="shared" si="2"/>
        <v>11.25</v>
      </c>
      <c r="M22" s="76"/>
      <c r="N22" s="76"/>
      <c r="O22" s="77"/>
      <c r="P22" s="77"/>
      <c r="Q22" s="78"/>
      <c r="R22" s="79"/>
      <c r="S22" s="62"/>
      <c r="T22" s="62"/>
    </row>
    <row r="23" spans="1:20" s="4" customFormat="1" ht="15" customHeight="1" x14ac:dyDescent="0.25">
      <c r="A23" s="60"/>
      <c r="B23" s="61"/>
      <c r="C23" s="60"/>
      <c r="D23" s="61"/>
      <c r="E23" s="63" t="s">
        <v>188</v>
      </c>
      <c r="F23" s="45">
        <v>1</v>
      </c>
      <c r="G23" s="45">
        <v>0.8</v>
      </c>
      <c r="H23" s="45">
        <v>0.25</v>
      </c>
      <c r="I23" s="37">
        <v>4.5</v>
      </c>
      <c r="J23" s="73">
        <f t="shared" si="0"/>
        <v>0.2</v>
      </c>
      <c r="K23" s="74">
        <f t="shared" si="1"/>
        <v>0.9</v>
      </c>
      <c r="L23" s="75">
        <f t="shared" si="2"/>
        <v>9.4500000000000011</v>
      </c>
      <c r="M23" s="76"/>
      <c r="N23" s="76"/>
      <c r="O23" s="77"/>
      <c r="P23" s="77"/>
      <c r="Q23" s="78"/>
      <c r="R23" s="79"/>
      <c r="S23" s="62"/>
      <c r="T23" s="62"/>
    </row>
    <row r="24" spans="1:20" s="4" customFormat="1" ht="15" customHeight="1" x14ac:dyDescent="0.25">
      <c r="A24" s="60"/>
      <c r="B24" s="61"/>
      <c r="C24" s="60"/>
      <c r="D24" s="61"/>
      <c r="E24" s="63" t="s">
        <v>189</v>
      </c>
      <c r="F24" s="45">
        <v>1</v>
      </c>
      <c r="G24" s="45">
        <v>0.8</v>
      </c>
      <c r="H24" s="45">
        <v>0.25</v>
      </c>
      <c r="I24" s="37">
        <v>4.5</v>
      </c>
      <c r="J24" s="73">
        <f t="shared" si="0"/>
        <v>0.2</v>
      </c>
      <c r="K24" s="74">
        <f t="shared" si="1"/>
        <v>0.9</v>
      </c>
      <c r="L24" s="75">
        <f t="shared" si="2"/>
        <v>9.4500000000000011</v>
      </c>
      <c r="M24" s="76"/>
      <c r="N24" s="76"/>
      <c r="O24" s="77"/>
      <c r="P24" s="77"/>
      <c r="Q24" s="78"/>
      <c r="R24" s="79"/>
      <c r="S24" s="62"/>
      <c r="T24" s="62"/>
    </row>
    <row r="25" spans="1:20" s="4" customFormat="1" ht="15" customHeight="1" x14ac:dyDescent="0.25">
      <c r="A25" s="60"/>
      <c r="B25" s="61"/>
      <c r="C25" s="60"/>
      <c r="D25" s="61"/>
      <c r="E25" s="63" t="s">
        <v>190</v>
      </c>
      <c r="F25" s="45">
        <v>1</v>
      </c>
      <c r="G25" s="45">
        <v>0.4</v>
      </c>
      <c r="H25" s="45">
        <v>0.25</v>
      </c>
      <c r="I25" s="37">
        <v>4.5</v>
      </c>
      <c r="J25" s="73">
        <f t="shared" si="0"/>
        <v>0.1</v>
      </c>
      <c r="K25" s="74">
        <f t="shared" si="1"/>
        <v>0.45</v>
      </c>
      <c r="L25" s="75">
        <f t="shared" si="2"/>
        <v>5.8500000000000005</v>
      </c>
      <c r="M25" s="76"/>
      <c r="N25" s="76"/>
      <c r="O25" s="77"/>
      <c r="P25" s="77"/>
      <c r="Q25" s="78"/>
      <c r="R25" s="79"/>
      <c r="S25" s="62"/>
      <c r="T25" s="62"/>
    </row>
    <row r="26" spans="1:20" s="4" customFormat="1" ht="15" customHeight="1" x14ac:dyDescent="0.25">
      <c r="A26" s="60"/>
      <c r="B26" s="61"/>
      <c r="C26" s="60"/>
      <c r="D26" s="61"/>
      <c r="E26" s="63" t="s">
        <v>597</v>
      </c>
      <c r="F26" s="45"/>
      <c r="G26" s="45"/>
      <c r="H26" s="45"/>
      <c r="I26" s="37">
        <v>4.5</v>
      </c>
      <c r="J26" s="73">
        <v>1.4</v>
      </c>
      <c r="K26" s="74">
        <f>+I26*J26</f>
        <v>6.3</v>
      </c>
      <c r="L26" s="75">
        <f>12.4*I26</f>
        <v>55.800000000000004</v>
      </c>
      <c r="M26" s="76"/>
      <c r="N26" s="76"/>
      <c r="O26" s="77"/>
      <c r="P26" s="77"/>
      <c r="Q26" s="78"/>
      <c r="R26" s="79"/>
      <c r="S26" s="62"/>
      <c r="T26" s="62"/>
    </row>
    <row r="27" spans="1:20" s="4" customFormat="1" ht="15" customHeight="1" x14ac:dyDescent="0.25">
      <c r="A27" s="60"/>
      <c r="B27" s="61"/>
      <c r="C27" s="60"/>
      <c r="D27" s="61"/>
      <c r="E27" s="63"/>
      <c r="F27" s="45"/>
      <c r="G27" s="45"/>
      <c r="H27" s="45"/>
      <c r="I27" s="37"/>
      <c r="J27" s="73"/>
      <c r="K27" s="74"/>
      <c r="L27" s="75"/>
      <c r="M27" s="76"/>
      <c r="N27" s="76"/>
      <c r="O27" s="77"/>
      <c r="P27" s="77"/>
      <c r="Q27" s="78"/>
      <c r="R27" s="79"/>
      <c r="S27" s="62"/>
      <c r="T27" s="62"/>
    </row>
    <row r="28" spans="1:20" s="4" customFormat="1" ht="22.5" customHeight="1" x14ac:dyDescent="0.25">
      <c r="A28" s="60"/>
      <c r="B28" s="39" t="s">
        <v>203</v>
      </c>
      <c r="C28" s="36" t="s">
        <v>52</v>
      </c>
      <c r="D28" s="61" t="s">
        <v>201</v>
      </c>
      <c r="E28" s="63" t="s">
        <v>181</v>
      </c>
      <c r="F28" s="45"/>
      <c r="G28" s="45">
        <v>0.4</v>
      </c>
      <c r="H28" s="45">
        <v>0.25</v>
      </c>
      <c r="I28" s="37">
        <f>8.6-4.5</f>
        <v>4.0999999999999996</v>
      </c>
      <c r="J28" s="73">
        <f>F28*G28*H28</f>
        <v>0</v>
      </c>
      <c r="K28" s="74">
        <f>F28*G28*H28*I28</f>
        <v>0</v>
      </c>
      <c r="L28" s="75">
        <f>(G28+H28)*2*I28*F28</f>
        <v>0</v>
      </c>
      <c r="M28" s="76"/>
      <c r="N28" s="76"/>
      <c r="O28" s="77"/>
      <c r="P28" s="77"/>
      <c r="Q28" s="78"/>
      <c r="R28" s="79"/>
      <c r="S28" s="62"/>
      <c r="T28" s="62"/>
    </row>
    <row r="29" spans="1:20" s="4" customFormat="1" ht="15" customHeight="1" x14ac:dyDescent="0.25">
      <c r="A29" s="60"/>
      <c r="B29" s="61"/>
      <c r="C29" s="60"/>
      <c r="D29" s="61"/>
      <c r="E29" s="63" t="s">
        <v>182</v>
      </c>
      <c r="F29" s="45"/>
      <c r="G29" s="45">
        <v>0.6</v>
      </c>
      <c r="H29" s="45">
        <v>0.25</v>
      </c>
      <c r="I29" s="37">
        <f t="shared" ref="I29:I40" si="3">8.6-4.5</f>
        <v>4.0999999999999996</v>
      </c>
      <c r="J29" s="73">
        <f t="shared" ref="J29:J40" si="4">F29*G29*H29</f>
        <v>0</v>
      </c>
      <c r="K29" s="74">
        <f t="shared" ref="K29:K40" si="5">F29*G29*H29*I29</f>
        <v>0</v>
      </c>
      <c r="L29" s="75">
        <f t="shared" ref="L29" si="6">(G29+H29)*2*I29*F29</f>
        <v>0</v>
      </c>
      <c r="M29" s="76"/>
      <c r="N29" s="76"/>
      <c r="O29" s="77"/>
      <c r="P29" s="77"/>
      <c r="Q29" s="78"/>
      <c r="R29" s="79"/>
      <c r="S29" s="62"/>
      <c r="T29" s="62"/>
    </row>
    <row r="30" spans="1:20" s="4" customFormat="1" ht="15" customHeight="1" x14ac:dyDescent="0.25">
      <c r="A30" s="60"/>
      <c r="B30" s="61"/>
      <c r="C30" s="60"/>
      <c r="D30" s="61"/>
      <c r="E30" s="63" t="s">
        <v>83</v>
      </c>
      <c r="F30" s="45"/>
      <c r="G30" s="45">
        <v>0.2</v>
      </c>
      <c r="H30" s="45">
        <v>0.2</v>
      </c>
      <c r="I30" s="37">
        <f t="shared" si="3"/>
        <v>4.0999999999999996</v>
      </c>
      <c r="J30" s="73">
        <f t="shared" si="4"/>
        <v>0</v>
      </c>
      <c r="K30" s="74">
        <f t="shared" si="5"/>
        <v>0</v>
      </c>
      <c r="L30" s="75">
        <f>(G30+H30)*2*I30*F30</f>
        <v>0</v>
      </c>
      <c r="M30" s="76"/>
      <c r="N30" s="76"/>
      <c r="O30" s="77"/>
      <c r="P30" s="77"/>
      <c r="Q30" s="78"/>
      <c r="R30" s="79"/>
      <c r="S30" s="62"/>
      <c r="T30" s="62"/>
    </row>
    <row r="31" spans="1:20" s="4" customFormat="1" ht="15" customHeight="1" x14ac:dyDescent="0.25">
      <c r="A31" s="60"/>
      <c r="B31" s="61"/>
      <c r="C31" s="60"/>
      <c r="D31" s="61"/>
      <c r="E31" s="63" t="s">
        <v>183</v>
      </c>
      <c r="F31" s="45">
        <v>2</v>
      </c>
      <c r="G31" s="45">
        <v>0.6</v>
      </c>
      <c r="H31" s="45">
        <v>0.25</v>
      </c>
      <c r="I31" s="37">
        <f t="shared" si="3"/>
        <v>4.0999999999999996</v>
      </c>
      <c r="J31" s="73">
        <f t="shared" si="4"/>
        <v>0.3</v>
      </c>
      <c r="K31" s="74">
        <f t="shared" si="5"/>
        <v>1.2299999999999998</v>
      </c>
      <c r="L31" s="75">
        <f t="shared" ref="L31:L40" si="7">(G31+H31)*2*I31*F31</f>
        <v>13.939999999999998</v>
      </c>
      <c r="M31" s="76"/>
      <c r="N31" s="76"/>
      <c r="O31" s="77"/>
      <c r="P31" s="77"/>
      <c r="Q31" s="78"/>
      <c r="R31" s="79"/>
      <c r="S31" s="62"/>
      <c r="T31" s="62"/>
    </row>
    <row r="32" spans="1:20" s="4" customFormat="1" ht="15" customHeight="1" x14ac:dyDescent="0.25">
      <c r="A32" s="60"/>
      <c r="B32" s="61"/>
      <c r="C32" s="60"/>
      <c r="D32" s="61"/>
      <c r="E32" s="63" t="s">
        <v>184</v>
      </c>
      <c r="F32" s="45">
        <v>8</v>
      </c>
      <c r="G32" s="45">
        <v>0.6</v>
      </c>
      <c r="H32" s="45">
        <v>0.25</v>
      </c>
      <c r="I32" s="37">
        <f t="shared" si="3"/>
        <v>4.0999999999999996</v>
      </c>
      <c r="J32" s="73">
        <f t="shared" si="4"/>
        <v>1.2</v>
      </c>
      <c r="K32" s="74">
        <f t="shared" si="5"/>
        <v>4.919999999999999</v>
      </c>
      <c r="L32" s="75">
        <f t="shared" si="7"/>
        <v>55.759999999999991</v>
      </c>
      <c r="M32" s="76"/>
      <c r="N32" s="76"/>
      <c r="O32" s="77"/>
      <c r="P32" s="77"/>
      <c r="Q32" s="78"/>
      <c r="R32" s="79"/>
      <c r="S32" s="62"/>
      <c r="T32" s="62"/>
    </row>
    <row r="33" spans="1:20" s="4" customFormat="1" ht="15" customHeight="1" x14ac:dyDescent="0.25">
      <c r="A33" s="60"/>
      <c r="B33" s="61"/>
      <c r="C33" s="60"/>
      <c r="D33" s="61"/>
      <c r="E33" s="63" t="s">
        <v>185</v>
      </c>
      <c r="F33" s="45">
        <v>2</v>
      </c>
      <c r="G33" s="45">
        <v>0.6</v>
      </c>
      <c r="H33" s="45">
        <v>0.25</v>
      </c>
      <c r="I33" s="37">
        <f t="shared" si="3"/>
        <v>4.0999999999999996</v>
      </c>
      <c r="J33" s="73">
        <f t="shared" si="4"/>
        <v>0.3</v>
      </c>
      <c r="K33" s="74">
        <f t="shared" si="5"/>
        <v>1.2299999999999998</v>
      </c>
      <c r="L33" s="75">
        <f t="shared" si="7"/>
        <v>13.939999999999998</v>
      </c>
      <c r="M33" s="76"/>
      <c r="N33" s="76"/>
      <c r="O33" s="77"/>
      <c r="P33" s="77"/>
      <c r="Q33" s="78"/>
      <c r="R33" s="79"/>
      <c r="S33" s="62"/>
      <c r="T33" s="62"/>
    </row>
    <row r="34" spans="1:20" s="4" customFormat="1" ht="15" customHeight="1" x14ac:dyDescent="0.25">
      <c r="A34" s="60"/>
      <c r="B34" s="61"/>
      <c r="C34" s="60"/>
      <c r="D34" s="61"/>
      <c r="E34" s="63" t="s">
        <v>81</v>
      </c>
      <c r="F34" s="45">
        <v>2</v>
      </c>
      <c r="G34" s="45">
        <v>0.25</v>
      </c>
      <c r="H34" s="45">
        <v>0.25</v>
      </c>
      <c r="I34" s="37">
        <f t="shared" si="3"/>
        <v>4.0999999999999996</v>
      </c>
      <c r="J34" s="73">
        <f t="shared" si="4"/>
        <v>0.125</v>
      </c>
      <c r="K34" s="74">
        <f t="shared" si="5"/>
        <v>0.51249999999999996</v>
      </c>
      <c r="L34" s="75">
        <f t="shared" si="7"/>
        <v>8.1999999999999993</v>
      </c>
      <c r="M34" s="76"/>
      <c r="N34" s="76"/>
      <c r="O34" s="77"/>
      <c r="P34" s="77"/>
      <c r="Q34" s="78"/>
      <c r="R34" s="79"/>
      <c r="S34" s="62"/>
      <c r="T34" s="62"/>
    </row>
    <row r="35" spans="1:20" s="4" customFormat="1" ht="15" customHeight="1" x14ac:dyDescent="0.25">
      <c r="A35" s="60"/>
      <c r="B35" s="61"/>
      <c r="C35" s="60"/>
      <c r="D35" s="61"/>
      <c r="E35" s="63" t="s">
        <v>82</v>
      </c>
      <c r="F35" s="45">
        <v>2</v>
      </c>
      <c r="G35" s="45">
        <v>0.6</v>
      </c>
      <c r="H35" s="45">
        <v>0.25</v>
      </c>
      <c r="I35" s="37">
        <f t="shared" si="3"/>
        <v>4.0999999999999996</v>
      </c>
      <c r="J35" s="73">
        <f t="shared" si="4"/>
        <v>0.3</v>
      </c>
      <c r="K35" s="74">
        <f t="shared" si="5"/>
        <v>1.2299999999999998</v>
      </c>
      <c r="L35" s="75">
        <f t="shared" si="7"/>
        <v>13.939999999999998</v>
      </c>
      <c r="M35" s="76"/>
      <c r="N35" s="76"/>
      <c r="O35" s="77"/>
      <c r="P35" s="77"/>
      <c r="Q35" s="78"/>
      <c r="R35" s="79"/>
      <c r="S35" s="62"/>
      <c r="T35" s="62"/>
    </row>
    <row r="36" spans="1:20" s="4" customFormat="1" ht="15" customHeight="1" x14ac:dyDescent="0.25">
      <c r="A36" s="60"/>
      <c r="B36" s="61"/>
      <c r="C36" s="60"/>
      <c r="D36" s="61"/>
      <c r="E36" s="63" t="s">
        <v>186</v>
      </c>
      <c r="F36" s="45">
        <v>1</v>
      </c>
      <c r="G36" s="45">
        <v>1</v>
      </c>
      <c r="H36" s="45">
        <v>0.25</v>
      </c>
      <c r="I36" s="37">
        <f t="shared" si="3"/>
        <v>4.0999999999999996</v>
      </c>
      <c r="J36" s="73">
        <f t="shared" si="4"/>
        <v>0.25</v>
      </c>
      <c r="K36" s="74">
        <f t="shared" si="5"/>
        <v>1.0249999999999999</v>
      </c>
      <c r="L36" s="75">
        <f t="shared" si="7"/>
        <v>10.25</v>
      </c>
      <c r="M36" s="76"/>
      <c r="N36" s="76"/>
      <c r="O36" s="77"/>
      <c r="P36" s="77"/>
      <c r="Q36" s="78"/>
      <c r="R36" s="79"/>
      <c r="S36" s="62"/>
      <c r="T36" s="62"/>
    </row>
    <row r="37" spans="1:20" s="4" customFormat="1" ht="15" customHeight="1" x14ac:dyDescent="0.25">
      <c r="A37" s="60"/>
      <c r="B37" s="61"/>
      <c r="C37" s="60"/>
      <c r="D37" s="61"/>
      <c r="E37" s="63" t="s">
        <v>202</v>
      </c>
      <c r="F37" s="45">
        <v>2</v>
      </c>
      <c r="G37" s="45">
        <v>0.6</v>
      </c>
      <c r="H37" s="45">
        <v>0.25</v>
      </c>
      <c r="I37" s="37">
        <f t="shared" si="3"/>
        <v>4.0999999999999996</v>
      </c>
      <c r="J37" s="73">
        <f t="shared" si="4"/>
        <v>0.3</v>
      </c>
      <c r="K37" s="74">
        <f t="shared" si="5"/>
        <v>1.2299999999999998</v>
      </c>
      <c r="L37" s="75">
        <f t="shared" si="7"/>
        <v>13.939999999999998</v>
      </c>
      <c r="M37" s="76"/>
      <c r="N37" s="76"/>
      <c r="O37" s="77"/>
      <c r="P37" s="77"/>
      <c r="Q37" s="78"/>
      <c r="R37" s="79"/>
      <c r="S37" s="62"/>
      <c r="T37" s="62"/>
    </row>
    <row r="38" spans="1:20" s="4" customFormat="1" ht="15" customHeight="1" x14ac:dyDescent="0.25">
      <c r="A38" s="60"/>
      <c r="B38" s="61"/>
      <c r="C38" s="60"/>
      <c r="D38" s="61"/>
      <c r="E38" s="63" t="s">
        <v>188</v>
      </c>
      <c r="F38" s="45"/>
      <c r="G38" s="45">
        <v>0.8</v>
      </c>
      <c r="H38" s="45">
        <v>0.25</v>
      </c>
      <c r="I38" s="37">
        <f t="shared" si="3"/>
        <v>4.0999999999999996</v>
      </c>
      <c r="J38" s="73">
        <f t="shared" si="4"/>
        <v>0</v>
      </c>
      <c r="K38" s="74">
        <f t="shared" si="5"/>
        <v>0</v>
      </c>
      <c r="L38" s="75">
        <f t="shared" si="7"/>
        <v>0</v>
      </c>
      <c r="M38" s="76"/>
      <c r="N38" s="76"/>
      <c r="O38" s="77"/>
      <c r="P38" s="77"/>
      <c r="Q38" s="78"/>
      <c r="R38" s="79"/>
      <c r="S38" s="62"/>
      <c r="T38" s="62"/>
    </row>
    <row r="39" spans="1:20" s="4" customFormat="1" ht="15" customHeight="1" x14ac:dyDescent="0.25">
      <c r="A39" s="60"/>
      <c r="B39" s="61"/>
      <c r="C39" s="60"/>
      <c r="D39" s="61"/>
      <c r="E39" s="63" t="s">
        <v>189</v>
      </c>
      <c r="F39" s="45">
        <v>1</v>
      </c>
      <c r="G39" s="45">
        <v>0.8</v>
      </c>
      <c r="H39" s="45">
        <v>0.25</v>
      </c>
      <c r="I39" s="37">
        <f t="shared" si="3"/>
        <v>4.0999999999999996</v>
      </c>
      <c r="J39" s="73">
        <f t="shared" si="4"/>
        <v>0.2</v>
      </c>
      <c r="K39" s="74">
        <f t="shared" si="5"/>
        <v>0.82</v>
      </c>
      <c r="L39" s="75">
        <f t="shared" si="7"/>
        <v>8.61</v>
      </c>
      <c r="M39" s="76"/>
      <c r="N39" s="76"/>
      <c r="O39" s="77"/>
      <c r="P39" s="77"/>
      <c r="Q39" s="78"/>
      <c r="R39" s="79"/>
      <c r="S39" s="62"/>
      <c r="T39" s="62"/>
    </row>
    <row r="40" spans="1:20" s="4" customFormat="1" ht="15" customHeight="1" x14ac:dyDescent="0.25">
      <c r="A40" s="60"/>
      <c r="B40" s="61"/>
      <c r="C40" s="60"/>
      <c r="D40" s="61"/>
      <c r="E40" s="63" t="s">
        <v>190</v>
      </c>
      <c r="F40" s="45">
        <v>1</v>
      </c>
      <c r="G40" s="45">
        <v>0.4</v>
      </c>
      <c r="H40" s="45">
        <v>0.25</v>
      </c>
      <c r="I40" s="37">
        <f t="shared" si="3"/>
        <v>4.0999999999999996</v>
      </c>
      <c r="J40" s="73">
        <f t="shared" si="4"/>
        <v>0.1</v>
      </c>
      <c r="K40" s="74">
        <f t="shared" si="5"/>
        <v>0.41</v>
      </c>
      <c r="L40" s="75">
        <f t="shared" si="7"/>
        <v>5.33</v>
      </c>
      <c r="M40" s="76"/>
      <c r="N40" s="76"/>
      <c r="O40" s="77"/>
      <c r="P40" s="77"/>
      <c r="Q40" s="78"/>
      <c r="R40" s="79"/>
      <c r="S40" s="62"/>
      <c r="T40" s="62"/>
    </row>
    <row r="41" spans="1:20" s="4" customFormat="1" ht="15" customHeight="1" x14ac:dyDescent="0.25">
      <c r="A41" s="60"/>
      <c r="B41" s="61"/>
      <c r="C41" s="60"/>
      <c r="D41" s="61"/>
      <c r="E41" s="63" t="s">
        <v>597</v>
      </c>
      <c r="F41" s="45"/>
      <c r="G41" s="45"/>
      <c r="H41" s="45"/>
      <c r="I41" s="37">
        <v>4.0999999999999996</v>
      </c>
      <c r="J41" s="73">
        <v>1.4</v>
      </c>
      <c r="K41" s="74">
        <f>+I41*J41</f>
        <v>5.7399999999999993</v>
      </c>
      <c r="L41" s="75">
        <f>12.2*I41</f>
        <v>50.019999999999996</v>
      </c>
      <c r="M41" s="76"/>
      <c r="N41" s="76"/>
      <c r="O41" s="77"/>
      <c r="P41" s="77"/>
      <c r="Q41" s="78"/>
      <c r="R41" s="79"/>
      <c r="S41" s="62"/>
      <c r="T41" s="62"/>
    </row>
    <row r="42" spans="1:20" s="4" customFormat="1" ht="15" customHeight="1" x14ac:dyDescent="0.25">
      <c r="A42" s="60"/>
      <c r="B42" s="61"/>
      <c r="C42" s="60"/>
      <c r="D42" s="61"/>
      <c r="E42" s="63"/>
      <c r="F42" s="45"/>
      <c r="G42" s="45"/>
      <c r="H42" s="45"/>
      <c r="I42" s="37"/>
      <c r="J42" s="73"/>
      <c r="K42" s="74"/>
      <c r="L42" s="75"/>
      <c r="M42" s="76"/>
      <c r="N42" s="76"/>
      <c r="O42" s="77"/>
      <c r="P42" s="77"/>
      <c r="Q42" s="78"/>
      <c r="R42" s="79"/>
      <c r="S42" s="62"/>
      <c r="T42" s="62"/>
    </row>
    <row r="43" spans="1:20" s="4" customFormat="1" ht="22.5" customHeight="1" x14ac:dyDescent="0.25">
      <c r="A43" s="60"/>
      <c r="B43" s="39" t="s">
        <v>207</v>
      </c>
      <c r="C43" s="36" t="s">
        <v>52</v>
      </c>
      <c r="D43" s="61" t="s">
        <v>204</v>
      </c>
      <c r="E43" s="63" t="s">
        <v>205</v>
      </c>
      <c r="F43" s="45">
        <v>1</v>
      </c>
      <c r="G43" s="45">
        <v>0.8</v>
      </c>
      <c r="H43" s="45">
        <v>0.25</v>
      </c>
      <c r="I43" s="37">
        <f>12.37-8.6</f>
        <v>3.7699999999999996</v>
      </c>
      <c r="J43" s="73">
        <f>F43*G43*H43</f>
        <v>0.2</v>
      </c>
      <c r="K43" s="74">
        <f>F43*G43*H43*I43</f>
        <v>0.754</v>
      </c>
      <c r="L43" s="75">
        <f>(G43+H43)*2*I43*F43</f>
        <v>7.9169999999999998</v>
      </c>
      <c r="M43" s="76"/>
      <c r="N43" s="76"/>
      <c r="O43" s="77"/>
      <c r="P43" s="77"/>
      <c r="Q43" s="78"/>
      <c r="R43" s="79"/>
      <c r="S43" s="62"/>
      <c r="T43" s="62"/>
    </row>
    <row r="44" spans="1:20" s="4" customFormat="1" ht="15" customHeight="1" x14ac:dyDescent="0.25">
      <c r="A44" s="60"/>
      <c r="B44" s="61"/>
      <c r="C44" s="60"/>
      <c r="D44" s="61"/>
      <c r="E44" s="63" t="s">
        <v>206</v>
      </c>
      <c r="F44" s="45">
        <v>3</v>
      </c>
      <c r="G44" s="45">
        <v>0.6</v>
      </c>
      <c r="H44" s="45">
        <v>0.25</v>
      </c>
      <c r="I44" s="37">
        <f t="shared" ref="I44:I46" si="8">12.37-8.6</f>
        <v>3.7699999999999996</v>
      </c>
      <c r="J44" s="73">
        <f t="shared" ref="J44:J46" si="9">F44*G44*H44</f>
        <v>0.44999999999999996</v>
      </c>
      <c r="K44" s="74">
        <f t="shared" ref="K44:K46" si="10">F44*G44*H44*I44</f>
        <v>1.6964999999999997</v>
      </c>
      <c r="L44" s="75">
        <f t="shared" ref="L44" si="11">(G44+H44)*2*I44*F44</f>
        <v>19.226999999999997</v>
      </c>
      <c r="M44" s="76"/>
      <c r="N44" s="76"/>
      <c r="O44" s="77"/>
      <c r="P44" s="77"/>
      <c r="Q44" s="78"/>
      <c r="R44" s="79"/>
      <c r="S44" s="62"/>
      <c r="T44" s="62"/>
    </row>
    <row r="45" spans="1:20" s="4" customFormat="1" ht="15" customHeight="1" x14ac:dyDescent="0.25">
      <c r="A45" s="60"/>
      <c r="B45" s="61"/>
      <c r="C45" s="60"/>
      <c r="D45" s="61"/>
      <c r="E45" s="63" t="s">
        <v>80</v>
      </c>
      <c r="F45" s="45">
        <v>1</v>
      </c>
      <c r="G45" s="45"/>
      <c r="H45" s="45"/>
      <c r="I45" s="37">
        <f t="shared" si="8"/>
        <v>3.7699999999999996</v>
      </c>
      <c r="J45" s="73">
        <f>PI()*0.25^2*0.205</f>
        <v>4.0251655874119219E-2</v>
      </c>
      <c r="K45" s="74">
        <f>I45*J45</f>
        <v>0.15174874264542942</v>
      </c>
      <c r="L45" s="75">
        <f>(G45+H45)*2*I45*F45</f>
        <v>0</v>
      </c>
      <c r="M45" s="76"/>
      <c r="N45" s="76"/>
      <c r="O45" s="77"/>
      <c r="P45" s="77"/>
      <c r="Q45" s="78"/>
      <c r="R45" s="79"/>
      <c r="S45" s="62"/>
      <c r="T45" s="62"/>
    </row>
    <row r="46" spans="1:20" s="4" customFormat="1" ht="15" customHeight="1" x14ac:dyDescent="0.25">
      <c r="A46" s="60"/>
      <c r="B46" s="61"/>
      <c r="C46" s="60"/>
      <c r="D46" s="61"/>
      <c r="E46" s="63" t="s">
        <v>185</v>
      </c>
      <c r="F46" s="45">
        <v>2</v>
      </c>
      <c r="G46" s="45">
        <v>0.6</v>
      </c>
      <c r="H46" s="45">
        <v>0.25</v>
      </c>
      <c r="I46" s="37">
        <f t="shared" si="8"/>
        <v>3.7699999999999996</v>
      </c>
      <c r="J46" s="73">
        <f t="shared" si="9"/>
        <v>0.3</v>
      </c>
      <c r="K46" s="74">
        <f t="shared" si="10"/>
        <v>1.1309999999999998</v>
      </c>
      <c r="L46" s="75">
        <f t="shared" ref="L46" si="12">(G46+H46)*2*I46*F46</f>
        <v>12.817999999999998</v>
      </c>
      <c r="M46" s="76"/>
      <c r="N46" s="76"/>
      <c r="O46" s="77"/>
      <c r="P46" s="77"/>
      <c r="Q46" s="78"/>
      <c r="R46" s="79"/>
      <c r="S46" s="62"/>
      <c r="T46" s="62"/>
    </row>
    <row r="47" spans="1:20" s="4" customFormat="1" ht="15" customHeight="1" x14ac:dyDescent="0.25">
      <c r="A47" s="60"/>
      <c r="B47" s="61"/>
      <c r="C47" s="60"/>
      <c r="D47" s="61"/>
      <c r="E47" s="63"/>
      <c r="F47" s="45"/>
      <c r="G47" s="45"/>
      <c r="H47" s="45"/>
      <c r="I47" s="37"/>
      <c r="J47" s="73"/>
      <c r="K47" s="74"/>
      <c r="L47" s="75"/>
      <c r="M47" s="76"/>
      <c r="N47" s="76"/>
      <c r="O47" s="77"/>
      <c r="P47" s="77"/>
      <c r="Q47" s="78"/>
      <c r="R47" s="79"/>
      <c r="S47" s="62"/>
      <c r="T47" s="62"/>
    </row>
    <row r="48" spans="1:20" s="4" customFormat="1" ht="15" customHeight="1" x14ac:dyDescent="0.25">
      <c r="A48" s="60"/>
      <c r="B48" s="61"/>
      <c r="C48" s="60"/>
      <c r="D48" s="61"/>
      <c r="E48" s="63"/>
      <c r="F48" s="45"/>
      <c r="G48" s="45"/>
      <c r="H48" s="45"/>
      <c r="I48" s="37"/>
      <c r="J48" s="73"/>
      <c r="K48" s="74"/>
      <c r="L48" s="75"/>
      <c r="M48" s="76"/>
      <c r="N48" s="76"/>
      <c r="O48" s="77"/>
      <c r="P48" s="77"/>
      <c r="Q48" s="78"/>
      <c r="R48" s="79"/>
      <c r="S48" s="62"/>
      <c r="T48" s="62"/>
    </row>
    <row r="49" spans="1:23" s="4" customFormat="1" ht="20.25" customHeight="1" x14ac:dyDescent="0.25">
      <c r="A49" s="69" t="s">
        <v>79</v>
      </c>
      <c r="B49" s="272" t="s">
        <v>230</v>
      </c>
      <c r="C49" s="273"/>
      <c r="D49" s="273"/>
      <c r="E49" s="274"/>
      <c r="F49" s="70"/>
      <c r="G49" s="70"/>
      <c r="H49" s="70"/>
      <c r="I49" s="70"/>
      <c r="J49" s="71"/>
      <c r="K49" s="71"/>
      <c r="L49" s="71"/>
      <c r="M49" s="71"/>
      <c r="N49" s="71"/>
      <c r="O49" s="71"/>
      <c r="P49" s="71"/>
      <c r="Q49" s="71"/>
      <c r="R49" s="71"/>
      <c r="S49" s="36"/>
      <c r="T49" s="36"/>
    </row>
    <row r="50" spans="1:23" s="4" customFormat="1" ht="15" customHeight="1" x14ac:dyDescent="0.25">
      <c r="A50" s="60"/>
      <c r="B50" s="61"/>
      <c r="C50" s="60"/>
      <c r="D50" s="61"/>
      <c r="E50" s="143" t="s">
        <v>220</v>
      </c>
      <c r="F50" s="45"/>
      <c r="G50" s="45"/>
      <c r="H50" s="45"/>
      <c r="I50" s="37"/>
      <c r="J50" s="73"/>
      <c r="K50" s="74"/>
      <c r="L50" s="75"/>
      <c r="M50" s="76"/>
      <c r="N50" s="76"/>
      <c r="O50" s="77"/>
      <c r="P50" s="77"/>
      <c r="Q50" s="78"/>
      <c r="R50" s="79"/>
      <c r="S50" s="62"/>
      <c r="T50" s="62"/>
    </row>
    <row r="51" spans="1:23" s="4" customFormat="1" ht="15" customHeight="1" x14ac:dyDescent="0.25">
      <c r="A51" s="60">
        <v>2</v>
      </c>
      <c r="B51" s="39" t="s">
        <v>215</v>
      </c>
      <c r="C51" s="60"/>
      <c r="D51" s="61" t="s">
        <v>208</v>
      </c>
      <c r="E51" s="63" t="s">
        <v>209</v>
      </c>
      <c r="F51" s="45">
        <v>1</v>
      </c>
      <c r="G51" s="45"/>
      <c r="H51" s="45"/>
      <c r="I51" s="37">
        <v>0.2</v>
      </c>
      <c r="J51" s="73">
        <v>494</v>
      </c>
      <c r="K51" s="74">
        <f>F51*I51*J51</f>
        <v>98.800000000000011</v>
      </c>
      <c r="L51" s="75"/>
      <c r="M51" s="76"/>
      <c r="N51" s="76"/>
      <c r="O51" s="77"/>
      <c r="P51" s="77"/>
      <c r="Q51" s="78"/>
      <c r="R51" s="79"/>
      <c r="S51" s="62"/>
      <c r="T51" s="62"/>
    </row>
    <row r="52" spans="1:23" s="4" customFormat="1" ht="15" customHeight="1" x14ac:dyDescent="0.25">
      <c r="A52" s="60"/>
      <c r="B52" s="61"/>
      <c r="C52" s="60"/>
      <c r="D52" s="61"/>
      <c r="E52" s="63" t="s">
        <v>210</v>
      </c>
      <c r="F52" s="45">
        <v>1</v>
      </c>
      <c r="G52" s="45"/>
      <c r="H52" s="45"/>
      <c r="I52" s="37">
        <v>0.18</v>
      </c>
      <c r="J52" s="73">
        <v>28.5</v>
      </c>
      <c r="K52" s="74">
        <f>F52*I52*J52</f>
        <v>5.13</v>
      </c>
      <c r="L52" s="75"/>
      <c r="M52" s="76"/>
      <c r="N52" s="76"/>
      <c r="O52" s="77"/>
      <c r="P52" s="77"/>
      <c r="Q52" s="78"/>
      <c r="R52" s="79"/>
      <c r="S52" s="62"/>
      <c r="T52" s="62"/>
    </row>
    <row r="53" spans="1:23" s="4" customFormat="1" ht="15" customHeight="1" x14ac:dyDescent="0.25">
      <c r="A53" s="60"/>
      <c r="B53" s="61"/>
      <c r="C53" s="60"/>
      <c r="D53" s="61"/>
      <c r="E53" s="63"/>
      <c r="F53" s="45"/>
      <c r="G53" s="45"/>
      <c r="H53" s="45"/>
      <c r="I53" s="45"/>
      <c r="J53" s="141"/>
      <c r="K53" s="142"/>
      <c r="L53" s="81"/>
      <c r="M53" s="82"/>
      <c r="N53" s="82"/>
      <c r="O53" s="87"/>
      <c r="P53" s="87"/>
      <c r="Q53" s="88"/>
      <c r="R53" s="86"/>
      <c r="S53" s="62"/>
      <c r="T53" s="62"/>
    </row>
    <row r="54" spans="1:23" s="4" customFormat="1" ht="15" customHeight="1" x14ac:dyDescent="0.25">
      <c r="A54" s="60"/>
      <c r="B54" s="39" t="s">
        <v>214</v>
      </c>
      <c r="C54" s="60"/>
      <c r="D54" s="61" t="s">
        <v>211</v>
      </c>
      <c r="E54" s="63" t="s">
        <v>209</v>
      </c>
      <c r="F54" s="45">
        <v>1</v>
      </c>
      <c r="G54" s="45"/>
      <c r="H54" s="45"/>
      <c r="I54" s="37">
        <v>0.2</v>
      </c>
      <c r="J54" s="73">
        <v>182</v>
      </c>
      <c r="K54" s="74">
        <f>F54*I54*J54</f>
        <v>36.4</v>
      </c>
      <c r="L54" s="81"/>
      <c r="M54" s="82"/>
      <c r="N54" s="82"/>
      <c r="O54" s="87"/>
      <c r="P54" s="87"/>
      <c r="Q54" s="88"/>
      <c r="R54" s="86"/>
      <c r="S54" s="62"/>
      <c r="T54" s="62"/>
    </row>
    <row r="55" spans="1:23" s="4" customFormat="1" ht="15" customHeight="1" x14ac:dyDescent="0.25">
      <c r="A55" s="60"/>
      <c r="B55" s="61"/>
      <c r="C55" s="60"/>
      <c r="D55" s="61"/>
      <c r="E55" s="63" t="s">
        <v>212</v>
      </c>
      <c r="F55" s="45">
        <v>1</v>
      </c>
      <c r="G55" s="45"/>
      <c r="H55" s="45"/>
      <c r="I55" s="37">
        <v>0.25</v>
      </c>
      <c r="J55" s="73">
        <v>104.7</v>
      </c>
      <c r="K55" s="74">
        <f>F55*I55*J55</f>
        <v>26.175000000000001</v>
      </c>
      <c r="L55" s="81"/>
      <c r="M55" s="82"/>
      <c r="N55" s="82"/>
      <c r="O55" s="87"/>
      <c r="P55" s="87"/>
      <c r="Q55" s="88"/>
      <c r="R55" s="86"/>
      <c r="S55" s="62"/>
      <c r="T55" s="62"/>
    </row>
    <row r="56" spans="1:23" s="4" customFormat="1" ht="15" customHeight="1" x14ac:dyDescent="0.25">
      <c r="A56" s="60"/>
      <c r="B56" s="61"/>
      <c r="C56" s="60"/>
      <c r="D56" s="61"/>
      <c r="E56" s="63" t="s">
        <v>213</v>
      </c>
      <c r="F56" s="45">
        <v>1</v>
      </c>
      <c r="G56" s="45"/>
      <c r="H56" s="45"/>
      <c r="I56" s="37">
        <v>0.27500000000000002</v>
      </c>
      <c r="J56" s="73">
        <v>154.9</v>
      </c>
      <c r="K56" s="74">
        <f>F56*I56*J56</f>
        <v>42.597500000000004</v>
      </c>
      <c r="L56" s="81"/>
      <c r="M56" s="82"/>
      <c r="N56" s="82"/>
      <c r="O56" s="87"/>
      <c r="P56" s="87"/>
      <c r="Q56" s="88"/>
      <c r="R56" s="86"/>
      <c r="S56" s="62"/>
      <c r="T56" s="62"/>
    </row>
    <row r="57" spans="1:23" s="4" customFormat="1" ht="15" customHeight="1" x14ac:dyDescent="0.25">
      <c r="A57" s="60"/>
      <c r="B57" s="61"/>
      <c r="C57" s="60"/>
      <c r="D57" s="61"/>
      <c r="E57" s="63"/>
      <c r="F57" s="45"/>
      <c r="G57" s="45"/>
      <c r="H57" s="45"/>
      <c r="I57" s="45"/>
      <c r="J57" s="141"/>
      <c r="K57" s="142"/>
      <c r="L57" s="81"/>
      <c r="M57" s="82"/>
      <c r="N57" s="82"/>
      <c r="O57" s="87"/>
      <c r="P57" s="87"/>
      <c r="Q57" s="88"/>
      <c r="R57" s="86"/>
      <c r="S57" s="62"/>
      <c r="T57" s="62"/>
    </row>
    <row r="58" spans="1:23" s="4" customFormat="1" ht="15" customHeight="1" x14ac:dyDescent="0.25">
      <c r="A58" s="60"/>
      <c r="B58" s="39" t="s">
        <v>216</v>
      </c>
      <c r="C58" s="60"/>
      <c r="D58" s="61" t="s">
        <v>217</v>
      </c>
      <c r="E58" s="63" t="s">
        <v>218</v>
      </c>
      <c r="F58" s="45">
        <v>1</v>
      </c>
      <c r="G58" s="45"/>
      <c r="H58" s="45"/>
      <c r="I58" s="37">
        <v>0.22</v>
      </c>
      <c r="J58" s="73">
        <v>99.8</v>
      </c>
      <c r="K58" s="74">
        <f>F58*I58*J58</f>
        <v>21.956</v>
      </c>
      <c r="L58" s="81"/>
      <c r="M58" s="82"/>
      <c r="N58" s="82"/>
      <c r="O58" s="87"/>
      <c r="P58" s="87"/>
      <c r="Q58" s="88"/>
      <c r="R58" s="86"/>
      <c r="S58" s="62"/>
      <c r="T58" s="62"/>
    </row>
    <row r="59" spans="1:23" s="4" customFormat="1" ht="15" customHeight="1" x14ac:dyDescent="0.25">
      <c r="A59" s="60"/>
      <c r="B59" s="61"/>
      <c r="C59" s="60"/>
      <c r="D59" s="61"/>
      <c r="E59" s="63"/>
      <c r="F59" s="45"/>
      <c r="G59" s="45"/>
      <c r="H59" s="45"/>
      <c r="I59" s="45"/>
      <c r="J59" s="141"/>
      <c r="K59" s="142"/>
      <c r="L59" s="81"/>
      <c r="M59" s="82"/>
      <c r="N59" s="82"/>
      <c r="O59" s="87"/>
      <c r="P59" s="87"/>
      <c r="Q59" s="88"/>
      <c r="R59" s="86"/>
      <c r="S59" s="62"/>
      <c r="T59" s="62"/>
    </row>
    <row r="60" spans="1:23" s="4" customFormat="1" ht="15" customHeight="1" x14ac:dyDescent="0.25">
      <c r="A60" s="60"/>
      <c r="B60" s="61"/>
      <c r="C60" s="60"/>
      <c r="D60" s="61"/>
      <c r="E60" s="144" t="s">
        <v>219</v>
      </c>
      <c r="F60" s="45"/>
      <c r="G60" s="45"/>
      <c r="H60" s="45"/>
      <c r="I60" s="45"/>
      <c r="J60" s="141"/>
      <c r="K60" s="142"/>
      <c r="L60" s="81"/>
      <c r="M60" s="82"/>
      <c r="N60" s="82"/>
      <c r="O60" s="87"/>
      <c r="P60" s="87"/>
      <c r="Q60" s="88"/>
      <c r="R60" s="86"/>
      <c r="S60" s="62"/>
      <c r="T60" s="62"/>
    </row>
    <row r="61" spans="1:23" s="4" customFormat="1" ht="15" customHeight="1" x14ac:dyDescent="0.25">
      <c r="A61" s="60"/>
      <c r="B61" s="39" t="s">
        <v>214</v>
      </c>
      <c r="C61" s="60"/>
      <c r="D61" s="61" t="s">
        <v>217</v>
      </c>
      <c r="E61" s="63" t="s">
        <v>218</v>
      </c>
      <c r="F61" s="45">
        <v>1</v>
      </c>
      <c r="G61" s="45"/>
      <c r="H61" s="45"/>
      <c r="I61" s="45">
        <v>0.22</v>
      </c>
      <c r="J61" s="141">
        <v>126.7</v>
      </c>
      <c r="K61" s="74">
        <f t="shared" ref="K61:K66" si="13">F61*I61*J61</f>
        <v>27.874000000000002</v>
      </c>
      <c r="L61" s="81"/>
      <c r="M61" s="82"/>
      <c r="N61" s="82"/>
      <c r="O61" s="87"/>
      <c r="P61" s="87"/>
      <c r="Q61" s="88"/>
      <c r="R61" s="86"/>
      <c r="S61" s="62"/>
      <c r="T61" s="62"/>
      <c r="U61" s="256">
        <f>SUM(K61:K66)</f>
        <v>273.76299999999998</v>
      </c>
    </row>
    <row r="62" spans="1:23" s="4" customFormat="1" ht="15" customHeight="1" x14ac:dyDescent="0.25">
      <c r="A62" s="60"/>
      <c r="B62" s="39" t="s">
        <v>214</v>
      </c>
      <c r="C62" s="60"/>
      <c r="D62" s="61" t="s">
        <v>211</v>
      </c>
      <c r="E62" s="63" t="s">
        <v>209</v>
      </c>
      <c r="F62" s="45">
        <v>1</v>
      </c>
      <c r="G62" s="45"/>
      <c r="H62" s="45"/>
      <c r="I62" s="37">
        <v>0.2</v>
      </c>
      <c r="J62" s="73">
        <v>181.1</v>
      </c>
      <c r="K62" s="74">
        <f t="shared" si="13"/>
        <v>36.22</v>
      </c>
      <c r="L62" s="81"/>
      <c r="M62" s="82"/>
      <c r="N62" s="82"/>
      <c r="O62" s="87"/>
      <c r="P62" s="87"/>
      <c r="Q62" s="88"/>
      <c r="R62" s="86"/>
      <c r="S62" s="62"/>
      <c r="T62" s="62"/>
      <c r="U62" s="256">
        <f>K61</f>
        <v>27.874000000000002</v>
      </c>
      <c r="V62" s="4" t="s">
        <v>580</v>
      </c>
      <c r="W62" s="257">
        <f>U62/U61</f>
        <v>0.10181799585773098</v>
      </c>
    </row>
    <row r="63" spans="1:23" s="4" customFormat="1" ht="15" customHeight="1" x14ac:dyDescent="0.25">
      <c r="A63" s="60"/>
      <c r="B63" s="61"/>
      <c r="C63" s="60"/>
      <c r="D63" s="61"/>
      <c r="E63" s="63" t="s">
        <v>212</v>
      </c>
      <c r="F63" s="45">
        <v>1</v>
      </c>
      <c r="G63" s="45"/>
      <c r="H63" s="45"/>
      <c r="I63" s="37">
        <v>0.25</v>
      </c>
      <c r="J63" s="73">
        <v>145</v>
      </c>
      <c r="K63" s="74">
        <f t="shared" si="13"/>
        <v>36.25</v>
      </c>
      <c r="L63" s="81"/>
      <c r="M63" s="82"/>
      <c r="N63" s="82"/>
      <c r="O63" s="87"/>
      <c r="P63" s="87"/>
      <c r="Q63" s="88"/>
      <c r="R63" s="86"/>
      <c r="S63" s="62"/>
      <c r="T63" s="62"/>
      <c r="U63" s="256">
        <f>SUM(K62:K64)</f>
        <v>127.19499999999999</v>
      </c>
      <c r="V63" s="4" t="s">
        <v>577</v>
      </c>
      <c r="W63" s="257">
        <f>U63/U61</f>
        <v>0.4646172053929859</v>
      </c>
    </row>
    <row r="64" spans="1:23" s="4" customFormat="1" ht="15" customHeight="1" x14ac:dyDescent="0.25">
      <c r="A64" s="60"/>
      <c r="B64" s="61"/>
      <c r="C64" s="60"/>
      <c r="D64" s="61"/>
      <c r="E64" s="63" t="s">
        <v>213</v>
      </c>
      <c r="F64" s="45">
        <v>1</v>
      </c>
      <c r="G64" s="45"/>
      <c r="H64" s="45"/>
      <c r="I64" s="37">
        <v>0.27500000000000002</v>
      </c>
      <c r="J64" s="73">
        <v>199</v>
      </c>
      <c r="K64" s="74">
        <f t="shared" si="13"/>
        <v>54.725000000000001</v>
      </c>
      <c r="L64" s="81"/>
      <c r="M64" s="82"/>
      <c r="N64" s="82"/>
      <c r="O64" s="87"/>
      <c r="P64" s="87"/>
      <c r="Q64" s="88"/>
      <c r="R64" s="86"/>
      <c r="S64" s="62"/>
      <c r="T64" s="62"/>
      <c r="U64" s="256">
        <f>SUM(K65:K66)</f>
        <v>118.69400000000002</v>
      </c>
      <c r="V64" s="4" t="s">
        <v>575</v>
      </c>
      <c r="W64" s="257">
        <f>U64/U61</f>
        <v>0.43356479874928322</v>
      </c>
    </row>
    <row r="65" spans="1:20" s="4" customFormat="1" ht="15" customHeight="1" x14ac:dyDescent="0.25">
      <c r="A65" s="60"/>
      <c r="B65" s="39" t="s">
        <v>215</v>
      </c>
      <c r="C65" s="60"/>
      <c r="D65" s="61" t="s">
        <v>208</v>
      </c>
      <c r="E65" s="63" t="s">
        <v>209</v>
      </c>
      <c r="F65" s="45">
        <v>1</v>
      </c>
      <c r="G65" s="45"/>
      <c r="H65" s="45"/>
      <c r="I65" s="37">
        <v>0.2</v>
      </c>
      <c r="J65" s="73">
        <v>562.6</v>
      </c>
      <c r="K65" s="74">
        <f t="shared" si="13"/>
        <v>112.52000000000001</v>
      </c>
      <c r="L65" s="75"/>
      <c r="M65" s="76"/>
      <c r="N65" s="76"/>
      <c r="O65" s="77"/>
      <c r="P65" s="77"/>
      <c r="Q65" s="78"/>
      <c r="R65" s="79"/>
      <c r="S65" s="62"/>
      <c r="T65" s="62"/>
    </row>
    <row r="66" spans="1:20" s="4" customFormat="1" ht="15" customHeight="1" x14ac:dyDescent="0.25">
      <c r="A66" s="60"/>
      <c r="B66" s="61"/>
      <c r="C66" s="60"/>
      <c r="D66" s="61"/>
      <c r="E66" s="63" t="s">
        <v>210</v>
      </c>
      <c r="F66" s="45">
        <v>1</v>
      </c>
      <c r="G66" s="45"/>
      <c r="H66" s="45"/>
      <c r="I66" s="37">
        <v>0.18</v>
      </c>
      <c r="J66" s="73">
        <v>34.299999999999997</v>
      </c>
      <c r="K66" s="74">
        <f t="shared" si="13"/>
        <v>6.1739999999999995</v>
      </c>
      <c r="L66" s="75"/>
      <c r="M66" s="76"/>
      <c r="N66" s="76"/>
      <c r="O66" s="77"/>
      <c r="P66" s="77"/>
      <c r="Q66" s="78"/>
      <c r="R66" s="79"/>
      <c r="S66" s="62"/>
      <c r="T66" s="62"/>
    </row>
    <row r="67" spans="1:20" s="4" customFormat="1" ht="15" customHeight="1" x14ac:dyDescent="0.25">
      <c r="A67" s="60"/>
      <c r="B67" s="61"/>
      <c r="C67" s="60"/>
      <c r="D67" s="61"/>
      <c r="E67" s="63"/>
      <c r="F67" s="45"/>
      <c r="G67" s="45"/>
      <c r="H67" s="45"/>
      <c r="I67" s="45"/>
      <c r="J67" s="141"/>
      <c r="K67" s="142"/>
      <c r="L67" s="81"/>
      <c r="M67" s="82"/>
      <c r="N67" s="82"/>
      <c r="O67" s="87"/>
      <c r="P67" s="87"/>
      <c r="Q67" s="88"/>
      <c r="R67" s="86"/>
      <c r="S67" s="62"/>
      <c r="T67" s="62"/>
    </row>
    <row r="68" spans="1:20" s="4" customFormat="1" ht="20.25" customHeight="1" x14ac:dyDescent="0.25">
      <c r="A68" s="69" t="s">
        <v>231</v>
      </c>
      <c r="B68" s="272" t="s">
        <v>232</v>
      </c>
      <c r="C68" s="273"/>
      <c r="D68" s="273"/>
      <c r="E68" s="274"/>
      <c r="F68" s="70"/>
      <c r="G68" s="70"/>
      <c r="H68" s="70"/>
      <c r="I68" s="70"/>
      <c r="J68" s="71"/>
      <c r="K68" s="71"/>
      <c r="L68" s="71"/>
      <c r="M68" s="71"/>
      <c r="N68" s="71"/>
      <c r="O68" s="71"/>
      <c r="P68" s="71"/>
      <c r="Q68" s="71"/>
      <c r="R68" s="71"/>
      <c r="S68" s="36"/>
      <c r="T68" s="36"/>
    </row>
    <row r="69" spans="1:20" s="4" customFormat="1" ht="15" customHeight="1" x14ac:dyDescent="0.25">
      <c r="A69" s="60">
        <v>3</v>
      </c>
      <c r="B69" s="39" t="s">
        <v>215</v>
      </c>
      <c r="C69" s="36" t="s">
        <v>52</v>
      </c>
      <c r="D69" s="61" t="s">
        <v>277</v>
      </c>
      <c r="E69" s="63" t="s">
        <v>221</v>
      </c>
      <c r="F69" s="45">
        <v>1</v>
      </c>
      <c r="G69" s="45">
        <v>6</v>
      </c>
      <c r="H69" s="45">
        <v>0.25</v>
      </c>
      <c r="I69" s="37">
        <v>0.6</v>
      </c>
      <c r="J69" s="141">
        <f>G69*H69</f>
        <v>1.5</v>
      </c>
      <c r="K69" s="74">
        <f>F69*I69*J69</f>
        <v>0.89999999999999991</v>
      </c>
      <c r="L69" s="75">
        <f>J69+(G69*I69*2)</f>
        <v>8.6999999999999993</v>
      </c>
      <c r="M69" s="76"/>
      <c r="N69" s="76"/>
      <c r="O69" s="77"/>
      <c r="P69" s="77"/>
      <c r="Q69" s="78"/>
      <c r="R69" s="79"/>
      <c r="S69" s="62"/>
      <c r="T69" s="62"/>
    </row>
    <row r="70" spans="1:20" s="4" customFormat="1" ht="15" customHeight="1" x14ac:dyDescent="0.25">
      <c r="A70" s="60"/>
      <c r="B70" s="61"/>
      <c r="C70" s="60"/>
      <c r="D70" s="61"/>
      <c r="E70" s="63" t="s">
        <v>278</v>
      </c>
      <c r="F70" s="45">
        <v>1</v>
      </c>
      <c r="G70" s="45">
        <v>4.2</v>
      </c>
      <c r="H70" s="45">
        <v>0.25</v>
      </c>
      <c r="I70" s="37">
        <v>0.5</v>
      </c>
      <c r="J70" s="141">
        <f t="shared" ref="J70" si="14">G70*H70</f>
        <v>1.05</v>
      </c>
      <c r="K70" s="74">
        <f>F70*I70*J70</f>
        <v>0.52500000000000002</v>
      </c>
      <c r="L70" s="75">
        <f t="shared" ref="L70:L101" si="15">J70+(G70*I70*2)</f>
        <v>5.25</v>
      </c>
      <c r="M70" s="76"/>
      <c r="N70" s="76"/>
      <c r="O70" s="77"/>
      <c r="P70" s="77"/>
      <c r="Q70" s="78"/>
      <c r="R70" s="79"/>
      <c r="S70" s="62"/>
      <c r="T70" s="62"/>
    </row>
    <row r="71" spans="1:20" s="4" customFormat="1" ht="15" customHeight="1" x14ac:dyDescent="0.25">
      <c r="A71" s="60"/>
      <c r="B71" s="61"/>
      <c r="C71" s="60"/>
      <c r="D71" s="61"/>
      <c r="E71" s="63" t="s">
        <v>222</v>
      </c>
      <c r="F71" s="45">
        <v>1</v>
      </c>
      <c r="G71" s="45">
        <v>7.1</v>
      </c>
      <c r="H71" s="45">
        <v>0.25</v>
      </c>
      <c r="I71" s="45">
        <v>0.6</v>
      </c>
      <c r="J71" s="141">
        <f>G71*H71</f>
        <v>1.7749999999999999</v>
      </c>
      <c r="K71" s="74">
        <f>F71*I71*J71</f>
        <v>1.0649999999999999</v>
      </c>
      <c r="L71" s="75">
        <f t="shared" si="15"/>
        <v>10.295</v>
      </c>
      <c r="M71" s="82"/>
      <c r="N71" s="82"/>
      <c r="O71" s="87"/>
      <c r="P71" s="87"/>
      <c r="Q71" s="88"/>
      <c r="R71" s="86"/>
      <c r="S71" s="62"/>
      <c r="T71" s="62"/>
    </row>
    <row r="72" spans="1:20" s="4" customFormat="1" ht="15" customHeight="1" x14ac:dyDescent="0.25">
      <c r="A72" s="60"/>
      <c r="B72" s="61"/>
      <c r="C72" s="60"/>
      <c r="D72" s="61"/>
      <c r="E72" s="63" t="s">
        <v>279</v>
      </c>
      <c r="F72" s="45">
        <v>1</v>
      </c>
      <c r="G72" s="45">
        <v>12.2</v>
      </c>
      <c r="H72" s="45">
        <v>0.25</v>
      </c>
      <c r="I72" s="37">
        <v>0.5</v>
      </c>
      <c r="J72" s="141">
        <f t="shared" ref="J72:J101" si="16">G72*H72</f>
        <v>3.05</v>
      </c>
      <c r="K72" s="74">
        <f t="shared" ref="K72:K101" si="17">F72*I72*J72</f>
        <v>1.5249999999999999</v>
      </c>
      <c r="L72" s="75">
        <f t="shared" si="15"/>
        <v>15.25</v>
      </c>
      <c r="M72" s="82"/>
      <c r="N72" s="82"/>
      <c r="O72" s="87"/>
      <c r="P72" s="87"/>
      <c r="Q72" s="88"/>
      <c r="R72" s="86"/>
      <c r="S72" s="62"/>
      <c r="T72" s="62"/>
    </row>
    <row r="73" spans="1:20" s="4" customFormat="1" ht="15" customHeight="1" x14ac:dyDescent="0.25">
      <c r="A73" s="60"/>
      <c r="B73" s="61"/>
      <c r="C73" s="60"/>
      <c r="D73" s="61"/>
      <c r="E73" s="63" t="s">
        <v>280</v>
      </c>
      <c r="F73" s="45">
        <v>1</v>
      </c>
      <c r="G73" s="45">
        <v>2.1</v>
      </c>
      <c r="H73" s="45">
        <v>0.2</v>
      </c>
      <c r="I73" s="45">
        <v>0.5</v>
      </c>
      <c r="J73" s="141">
        <f t="shared" si="16"/>
        <v>0.42000000000000004</v>
      </c>
      <c r="K73" s="74">
        <f t="shared" si="17"/>
        <v>0.21000000000000002</v>
      </c>
      <c r="L73" s="75">
        <f t="shared" si="15"/>
        <v>2.52</v>
      </c>
      <c r="M73" s="82"/>
      <c r="N73" s="82"/>
      <c r="O73" s="87"/>
      <c r="P73" s="87"/>
      <c r="Q73" s="88"/>
      <c r="R73" s="86"/>
      <c r="S73" s="62"/>
      <c r="T73" s="62"/>
    </row>
    <row r="74" spans="1:20" s="4" customFormat="1" ht="15" customHeight="1" x14ac:dyDescent="0.25">
      <c r="A74" s="60"/>
      <c r="B74" s="61"/>
      <c r="C74" s="60"/>
      <c r="D74" s="61"/>
      <c r="E74" s="63" t="s">
        <v>281</v>
      </c>
      <c r="F74" s="45">
        <v>1</v>
      </c>
      <c r="G74" s="45">
        <v>15.5</v>
      </c>
      <c r="H74" s="45">
        <v>0.2</v>
      </c>
      <c r="I74" s="45">
        <v>0.7</v>
      </c>
      <c r="J74" s="141">
        <f t="shared" si="16"/>
        <v>3.1</v>
      </c>
      <c r="K74" s="74">
        <f t="shared" si="17"/>
        <v>2.17</v>
      </c>
      <c r="L74" s="75">
        <f t="shared" si="15"/>
        <v>24.8</v>
      </c>
      <c r="M74" s="82"/>
      <c r="N74" s="82"/>
      <c r="O74" s="87"/>
      <c r="P74" s="87"/>
      <c r="Q74" s="88"/>
      <c r="R74" s="86"/>
      <c r="S74" s="62"/>
      <c r="T74" s="62"/>
    </row>
    <row r="75" spans="1:20" s="4" customFormat="1" ht="15" customHeight="1" x14ac:dyDescent="0.25">
      <c r="A75" s="60"/>
      <c r="B75" s="61"/>
      <c r="C75" s="60"/>
      <c r="D75" s="61"/>
      <c r="E75" s="63" t="s">
        <v>282</v>
      </c>
      <c r="F75" s="45">
        <v>1</v>
      </c>
      <c r="G75" s="45">
        <v>8.3000000000000007</v>
      </c>
      <c r="H75" s="45">
        <v>0.25</v>
      </c>
      <c r="I75" s="45">
        <v>0.7</v>
      </c>
      <c r="J75" s="141">
        <f t="shared" si="16"/>
        <v>2.0750000000000002</v>
      </c>
      <c r="K75" s="74">
        <f t="shared" si="17"/>
        <v>1.4525000000000001</v>
      </c>
      <c r="L75" s="75">
        <f t="shared" si="15"/>
        <v>13.695</v>
      </c>
      <c r="M75" s="82"/>
      <c r="N75" s="82"/>
      <c r="O75" s="87"/>
      <c r="P75" s="87"/>
      <c r="Q75" s="88"/>
      <c r="R75" s="86"/>
      <c r="S75" s="62"/>
      <c r="T75" s="62"/>
    </row>
    <row r="76" spans="1:20" s="4" customFormat="1" ht="15" customHeight="1" x14ac:dyDescent="0.25">
      <c r="A76" s="60"/>
      <c r="B76" s="61"/>
      <c r="C76" s="60"/>
      <c r="D76" s="61"/>
      <c r="E76" s="63" t="s">
        <v>283</v>
      </c>
      <c r="F76" s="45">
        <v>1</v>
      </c>
      <c r="G76" s="45">
        <v>9.5</v>
      </c>
      <c r="H76" s="45">
        <v>0.25</v>
      </c>
      <c r="I76" s="45">
        <v>0.7</v>
      </c>
      <c r="J76" s="141">
        <f t="shared" si="16"/>
        <v>2.375</v>
      </c>
      <c r="K76" s="74">
        <f t="shared" si="17"/>
        <v>1.6624999999999999</v>
      </c>
      <c r="L76" s="75">
        <f t="shared" si="15"/>
        <v>15.674999999999999</v>
      </c>
      <c r="M76" s="82"/>
      <c r="N76" s="82"/>
      <c r="O76" s="87"/>
      <c r="P76" s="87"/>
      <c r="Q76" s="88"/>
      <c r="R76" s="86"/>
      <c r="S76" s="62"/>
      <c r="T76" s="62"/>
    </row>
    <row r="77" spans="1:20" s="4" customFormat="1" ht="15" customHeight="1" x14ac:dyDescent="0.25">
      <c r="A77" s="60"/>
      <c r="B77" s="61"/>
      <c r="C77" s="60"/>
      <c r="D77" s="61"/>
      <c r="E77" s="63" t="s">
        <v>284</v>
      </c>
      <c r="F77" s="45">
        <v>1</v>
      </c>
      <c r="G77" s="45">
        <v>5.3</v>
      </c>
      <c r="H77" s="45">
        <v>0.25</v>
      </c>
      <c r="I77" s="45">
        <v>0.7</v>
      </c>
      <c r="J77" s="141">
        <f t="shared" si="16"/>
        <v>1.325</v>
      </c>
      <c r="K77" s="74">
        <f t="shared" si="17"/>
        <v>0.92749999999999988</v>
      </c>
      <c r="L77" s="75">
        <f t="shared" si="15"/>
        <v>8.7449999999999992</v>
      </c>
      <c r="M77" s="82"/>
      <c r="N77" s="82"/>
      <c r="O77" s="87"/>
      <c r="P77" s="87"/>
      <c r="Q77" s="88"/>
      <c r="R77" s="86"/>
      <c r="S77" s="62"/>
      <c r="T77" s="62"/>
    </row>
    <row r="78" spans="1:20" s="4" customFormat="1" ht="15" customHeight="1" x14ac:dyDescent="0.25">
      <c r="A78" s="60"/>
      <c r="B78" s="61"/>
      <c r="C78" s="60"/>
      <c r="D78" s="61"/>
      <c r="E78" s="63" t="s">
        <v>285</v>
      </c>
      <c r="F78" s="45">
        <v>1</v>
      </c>
      <c r="G78" s="45">
        <v>15.7</v>
      </c>
      <c r="H78" s="45">
        <v>0.25</v>
      </c>
      <c r="I78" s="45">
        <v>0.7</v>
      </c>
      <c r="J78" s="141">
        <f t="shared" si="16"/>
        <v>3.9249999999999998</v>
      </c>
      <c r="K78" s="74">
        <f t="shared" si="17"/>
        <v>2.7474999999999996</v>
      </c>
      <c r="L78" s="75">
        <f t="shared" si="15"/>
        <v>25.904999999999998</v>
      </c>
      <c r="M78" s="82"/>
      <c r="N78" s="82"/>
      <c r="O78" s="87"/>
      <c r="P78" s="87"/>
      <c r="Q78" s="88"/>
      <c r="R78" s="86"/>
      <c r="S78" s="62"/>
      <c r="T78" s="62"/>
    </row>
    <row r="79" spans="1:20" s="4" customFormat="1" ht="15" customHeight="1" x14ac:dyDescent="0.25">
      <c r="A79" s="60"/>
      <c r="B79" s="61"/>
      <c r="C79" s="60"/>
      <c r="D79" s="61"/>
      <c r="E79" s="63" t="s">
        <v>286</v>
      </c>
      <c r="F79" s="45">
        <v>1</v>
      </c>
      <c r="G79" s="45">
        <v>12.7</v>
      </c>
      <c r="H79" s="45">
        <v>0.25</v>
      </c>
      <c r="I79" s="37">
        <v>0.5</v>
      </c>
      <c r="J79" s="141">
        <f t="shared" si="16"/>
        <v>3.1749999999999998</v>
      </c>
      <c r="K79" s="74">
        <f t="shared" si="17"/>
        <v>1.5874999999999999</v>
      </c>
      <c r="L79" s="75">
        <f t="shared" si="15"/>
        <v>15.875</v>
      </c>
      <c r="M79" s="82"/>
      <c r="N79" s="82"/>
      <c r="O79" s="87"/>
      <c r="P79" s="87"/>
      <c r="Q79" s="88"/>
      <c r="R79" s="86"/>
      <c r="S79" s="62"/>
      <c r="T79" s="62"/>
    </row>
    <row r="80" spans="1:20" s="4" customFormat="1" ht="15" customHeight="1" x14ac:dyDescent="0.25">
      <c r="A80" s="60"/>
      <c r="B80" s="61"/>
      <c r="C80" s="60"/>
      <c r="D80" s="61"/>
      <c r="E80" s="63" t="s">
        <v>287</v>
      </c>
      <c r="F80" s="45">
        <v>1</v>
      </c>
      <c r="G80" s="45">
        <v>8.6999999999999993</v>
      </c>
      <c r="H80" s="45">
        <v>0.25</v>
      </c>
      <c r="I80" s="45">
        <v>0.6</v>
      </c>
      <c r="J80" s="141">
        <f t="shared" si="16"/>
        <v>2.1749999999999998</v>
      </c>
      <c r="K80" s="74">
        <f t="shared" si="17"/>
        <v>1.3049999999999999</v>
      </c>
      <c r="L80" s="75">
        <f t="shared" si="15"/>
        <v>12.614999999999998</v>
      </c>
      <c r="M80" s="82"/>
      <c r="N80" s="82"/>
      <c r="O80" s="87"/>
      <c r="P80" s="87"/>
      <c r="Q80" s="88"/>
      <c r="R80" s="86"/>
      <c r="S80" s="62"/>
      <c r="T80" s="62"/>
    </row>
    <row r="81" spans="1:20" s="4" customFormat="1" ht="15" customHeight="1" x14ac:dyDescent="0.25">
      <c r="A81" s="60"/>
      <c r="B81" s="61"/>
      <c r="C81" s="60"/>
      <c r="D81" s="61"/>
      <c r="E81" s="63" t="s">
        <v>288</v>
      </c>
      <c r="F81" s="45">
        <v>1</v>
      </c>
      <c r="G81" s="45">
        <v>5.2</v>
      </c>
      <c r="H81" s="45">
        <v>0.25</v>
      </c>
      <c r="I81" s="45">
        <v>0.6</v>
      </c>
      <c r="J81" s="141">
        <f t="shared" si="16"/>
        <v>1.3</v>
      </c>
      <c r="K81" s="74">
        <f t="shared" si="17"/>
        <v>0.78</v>
      </c>
      <c r="L81" s="75">
        <f t="shared" si="15"/>
        <v>7.54</v>
      </c>
      <c r="M81" s="82"/>
      <c r="N81" s="82"/>
      <c r="O81" s="87"/>
      <c r="P81" s="87"/>
      <c r="Q81" s="88"/>
      <c r="R81" s="86"/>
      <c r="S81" s="62"/>
      <c r="T81" s="62"/>
    </row>
    <row r="82" spans="1:20" s="4" customFormat="1" ht="15" customHeight="1" x14ac:dyDescent="0.25">
      <c r="A82" s="60"/>
      <c r="B82" s="61"/>
      <c r="C82" s="60"/>
      <c r="D82" s="61"/>
      <c r="E82" s="63" t="s">
        <v>289</v>
      </c>
      <c r="F82" s="45">
        <v>1</v>
      </c>
      <c r="G82" s="45">
        <v>3</v>
      </c>
      <c r="H82" s="45">
        <v>0.25</v>
      </c>
      <c r="I82" s="37">
        <v>0.5</v>
      </c>
      <c r="J82" s="141">
        <f t="shared" si="16"/>
        <v>0.75</v>
      </c>
      <c r="K82" s="74">
        <f t="shared" si="17"/>
        <v>0.375</v>
      </c>
      <c r="L82" s="75">
        <f t="shared" si="15"/>
        <v>3.75</v>
      </c>
      <c r="M82" s="82"/>
      <c r="N82" s="82"/>
      <c r="O82" s="87"/>
      <c r="P82" s="87"/>
      <c r="Q82" s="88"/>
      <c r="R82" s="86"/>
      <c r="S82" s="62"/>
      <c r="T82" s="62"/>
    </row>
    <row r="83" spans="1:20" s="4" customFormat="1" ht="15" customHeight="1" x14ac:dyDescent="0.25">
      <c r="A83" s="60"/>
      <c r="B83" s="61"/>
      <c r="C83" s="60"/>
      <c r="D83" s="61"/>
      <c r="E83" s="63" t="s">
        <v>290</v>
      </c>
      <c r="F83" s="45">
        <v>1</v>
      </c>
      <c r="G83" s="45">
        <v>10.7</v>
      </c>
      <c r="H83" s="45">
        <v>0.25</v>
      </c>
      <c r="I83" s="45">
        <v>0.7</v>
      </c>
      <c r="J83" s="141">
        <f t="shared" si="16"/>
        <v>2.6749999999999998</v>
      </c>
      <c r="K83" s="74">
        <f t="shared" si="17"/>
        <v>1.8724999999999998</v>
      </c>
      <c r="L83" s="75">
        <f t="shared" si="15"/>
        <v>17.654999999999998</v>
      </c>
      <c r="M83" s="82"/>
      <c r="N83" s="82"/>
      <c r="O83" s="87"/>
      <c r="P83" s="87"/>
      <c r="Q83" s="88"/>
      <c r="R83" s="86"/>
      <c r="S83" s="62"/>
      <c r="T83" s="62"/>
    </row>
    <row r="84" spans="1:20" s="4" customFormat="1" ht="15" customHeight="1" x14ac:dyDescent="0.25">
      <c r="A84" s="60"/>
      <c r="B84" s="61"/>
      <c r="C84" s="60"/>
      <c r="D84" s="61"/>
      <c r="E84" s="63" t="s">
        <v>291</v>
      </c>
      <c r="F84" s="45">
        <v>1</v>
      </c>
      <c r="G84" s="45">
        <v>13.7</v>
      </c>
      <c r="H84" s="45">
        <v>0.25</v>
      </c>
      <c r="I84" s="45">
        <v>0.7</v>
      </c>
      <c r="J84" s="141">
        <f t="shared" si="16"/>
        <v>3.4249999999999998</v>
      </c>
      <c r="K84" s="74">
        <f t="shared" si="17"/>
        <v>2.3974999999999995</v>
      </c>
      <c r="L84" s="75">
        <f t="shared" si="15"/>
        <v>22.604999999999997</v>
      </c>
      <c r="M84" s="82"/>
      <c r="N84" s="82"/>
      <c r="O84" s="87"/>
      <c r="P84" s="87"/>
      <c r="Q84" s="88"/>
      <c r="R84" s="86"/>
      <c r="S84" s="62"/>
      <c r="T84" s="62"/>
    </row>
    <row r="85" spans="1:20" s="4" customFormat="1" ht="15" customHeight="1" x14ac:dyDescent="0.25">
      <c r="A85" s="60"/>
      <c r="B85" s="61"/>
      <c r="C85" s="60"/>
      <c r="D85" s="61"/>
      <c r="E85" s="63" t="s">
        <v>292</v>
      </c>
      <c r="F85" s="45">
        <v>1</v>
      </c>
      <c r="G85" s="45">
        <v>10.8</v>
      </c>
      <c r="H85" s="45">
        <v>0.25</v>
      </c>
      <c r="I85" s="45">
        <v>0.7</v>
      </c>
      <c r="J85" s="141">
        <f t="shared" si="16"/>
        <v>2.7</v>
      </c>
      <c r="K85" s="74">
        <f t="shared" si="17"/>
        <v>1.89</v>
      </c>
      <c r="L85" s="75">
        <f t="shared" si="15"/>
        <v>17.82</v>
      </c>
      <c r="M85" s="82"/>
      <c r="N85" s="82"/>
      <c r="O85" s="87"/>
      <c r="P85" s="87"/>
      <c r="Q85" s="88"/>
      <c r="R85" s="86"/>
      <c r="S85" s="62"/>
      <c r="T85" s="62"/>
    </row>
    <row r="86" spans="1:20" s="4" customFormat="1" ht="15" customHeight="1" x14ac:dyDescent="0.25">
      <c r="A86" s="60"/>
      <c r="B86" s="61"/>
      <c r="C86" s="60"/>
      <c r="D86" s="61"/>
      <c r="E86" s="63" t="s">
        <v>293</v>
      </c>
      <c r="F86" s="45">
        <v>1</v>
      </c>
      <c r="G86" s="45">
        <v>4.9000000000000004</v>
      </c>
      <c r="H86" s="45">
        <v>0.2</v>
      </c>
      <c r="I86" s="45">
        <v>0.6</v>
      </c>
      <c r="J86" s="141">
        <f t="shared" si="16"/>
        <v>0.98000000000000009</v>
      </c>
      <c r="K86" s="74">
        <f t="shared" si="17"/>
        <v>0.58800000000000008</v>
      </c>
      <c r="L86" s="75">
        <f t="shared" si="15"/>
        <v>6.86</v>
      </c>
      <c r="M86" s="82"/>
      <c r="N86" s="82"/>
      <c r="O86" s="87"/>
      <c r="P86" s="87"/>
      <c r="Q86" s="88"/>
      <c r="R86" s="86"/>
      <c r="S86" s="62"/>
      <c r="T86" s="62"/>
    </row>
    <row r="87" spans="1:20" s="4" customFormat="1" ht="15" customHeight="1" x14ac:dyDescent="0.25">
      <c r="A87" s="60"/>
      <c r="B87" s="61"/>
      <c r="C87" s="60"/>
      <c r="D87" s="61"/>
      <c r="E87" s="63" t="s">
        <v>294</v>
      </c>
      <c r="F87" s="45">
        <v>1</v>
      </c>
      <c r="G87" s="45">
        <v>9.4</v>
      </c>
      <c r="H87" s="45">
        <v>0.2</v>
      </c>
      <c r="I87" s="45">
        <v>0.7</v>
      </c>
      <c r="J87" s="141">
        <f t="shared" si="16"/>
        <v>1.8800000000000001</v>
      </c>
      <c r="K87" s="74">
        <f t="shared" si="17"/>
        <v>1.3160000000000001</v>
      </c>
      <c r="L87" s="75">
        <f t="shared" si="15"/>
        <v>15.040000000000001</v>
      </c>
      <c r="M87" s="82"/>
      <c r="N87" s="82"/>
      <c r="O87" s="87"/>
      <c r="P87" s="87"/>
      <c r="Q87" s="88"/>
      <c r="R87" s="86"/>
      <c r="S87" s="62"/>
      <c r="T87" s="62"/>
    </row>
    <row r="88" spans="1:20" s="4" customFormat="1" ht="15" customHeight="1" x14ac:dyDescent="0.25">
      <c r="A88" s="60"/>
      <c r="B88" s="61"/>
      <c r="C88" s="60"/>
      <c r="D88" s="61"/>
      <c r="E88" s="63" t="s">
        <v>295</v>
      </c>
      <c r="F88" s="45">
        <v>1</v>
      </c>
      <c r="G88" s="45">
        <v>7.9</v>
      </c>
      <c r="H88" s="45">
        <v>0.25</v>
      </c>
      <c r="I88" s="45">
        <v>0.7</v>
      </c>
      <c r="J88" s="141">
        <f t="shared" si="16"/>
        <v>1.9750000000000001</v>
      </c>
      <c r="K88" s="74">
        <f t="shared" si="17"/>
        <v>1.3825000000000001</v>
      </c>
      <c r="L88" s="75">
        <f t="shared" si="15"/>
        <v>13.035</v>
      </c>
      <c r="M88" s="82"/>
      <c r="N88" s="82"/>
      <c r="O88" s="87"/>
      <c r="P88" s="87"/>
      <c r="Q88" s="88"/>
      <c r="R88" s="86"/>
      <c r="S88" s="62"/>
      <c r="T88" s="62"/>
    </row>
    <row r="89" spans="1:20" s="4" customFormat="1" ht="15" customHeight="1" x14ac:dyDescent="0.25">
      <c r="A89" s="60"/>
      <c r="B89" s="61"/>
      <c r="C89" s="60"/>
      <c r="D89" s="61"/>
      <c r="E89" s="63" t="s">
        <v>296</v>
      </c>
      <c r="F89" s="45">
        <v>1</v>
      </c>
      <c r="G89" s="45">
        <v>3</v>
      </c>
      <c r="H89" s="45">
        <v>0.25</v>
      </c>
      <c r="I89" s="45">
        <v>0.7</v>
      </c>
      <c r="J89" s="141">
        <f t="shared" si="16"/>
        <v>0.75</v>
      </c>
      <c r="K89" s="74">
        <f t="shared" si="17"/>
        <v>0.52499999999999991</v>
      </c>
      <c r="L89" s="75">
        <f t="shared" si="15"/>
        <v>4.9499999999999993</v>
      </c>
      <c r="M89" s="82"/>
      <c r="N89" s="82"/>
      <c r="O89" s="87"/>
      <c r="P89" s="87"/>
      <c r="Q89" s="88"/>
      <c r="R89" s="86"/>
      <c r="S89" s="62"/>
      <c r="T89" s="62"/>
    </row>
    <row r="90" spans="1:20" s="4" customFormat="1" ht="15" customHeight="1" x14ac:dyDescent="0.25">
      <c r="A90" s="60"/>
      <c r="B90" s="61"/>
      <c r="C90" s="60"/>
      <c r="D90" s="61"/>
      <c r="E90" s="63" t="s">
        <v>297</v>
      </c>
      <c r="F90" s="45">
        <v>1</v>
      </c>
      <c r="G90" s="45">
        <v>1.8</v>
      </c>
      <c r="H90" s="45">
        <v>0.25</v>
      </c>
      <c r="I90" s="45">
        <v>0.7</v>
      </c>
      <c r="J90" s="141">
        <f t="shared" si="16"/>
        <v>0.45</v>
      </c>
      <c r="K90" s="74">
        <f t="shared" si="17"/>
        <v>0.315</v>
      </c>
      <c r="L90" s="75">
        <f t="shared" si="15"/>
        <v>2.97</v>
      </c>
      <c r="M90" s="82"/>
      <c r="N90" s="82"/>
      <c r="O90" s="87"/>
      <c r="P90" s="87"/>
      <c r="Q90" s="88"/>
      <c r="R90" s="86"/>
      <c r="S90" s="62"/>
      <c r="T90" s="62"/>
    </row>
    <row r="91" spans="1:20" s="4" customFormat="1" ht="15" customHeight="1" x14ac:dyDescent="0.25">
      <c r="A91" s="60"/>
      <c r="B91" s="61"/>
      <c r="C91" s="60"/>
      <c r="D91" s="61"/>
      <c r="E91" s="63" t="s">
        <v>298</v>
      </c>
      <c r="F91" s="45">
        <v>1</v>
      </c>
      <c r="G91" s="45">
        <v>0.3</v>
      </c>
      <c r="H91" s="45">
        <v>0.25</v>
      </c>
      <c r="I91" s="45">
        <v>0.7</v>
      </c>
      <c r="J91" s="141">
        <f t="shared" si="16"/>
        <v>7.4999999999999997E-2</v>
      </c>
      <c r="K91" s="74">
        <f t="shared" si="17"/>
        <v>5.2499999999999998E-2</v>
      </c>
      <c r="L91" s="75">
        <f t="shared" si="15"/>
        <v>0.495</v>
      </c>
      <c r="M91" s="82"/>
      <c r="N91" s="82"/>
      <c r="O91" s="87"/>
      <c r="P91" s="87"/>
      <c r="Q91" s="88"/>
      <c r="R91" s="86"/>
      <c r="S91" s="62"/>
      <c r="T91" s="62"/>
    </row>
    <row r="92" spans="1:20" s="4" customFormat="1" ht="15" customHeight="1" x14ac:dyDescent="0.25">
      <c r="A92" s="60"/>
      <c r="B92" s="61"/>
      <c r="C92" s="60"/>
      <c r="D92" s="61"/>
      <c r="E92" s="63" t="s">
        <v>299</v>
      </c>
      <c r="F92" s="45">
        <v>1</v>
      </c>
      <c r="G92" s="45">
        <v>7.9</v>
      </c>
      <c r="H92" s="45">
        <v>0.25</v>
      </c>
      <c r="I92" s="45">
        <v>0.7</v>
      </c>
      <c r="J92" s="141">
        <f t="shared" si="16"/>
        <v>1.9750000000000001</v>
      </c>
      <c r="K92" s="74">
        <f t="shared" si="17"/>
        <v>1.3825000000000001</v>
      </c>
      <c r="L92" s="75">
        <f t="shared" si="15"/>
        <v>13.035</v>
      </c>
      <c r="M92" s="82"/>
      <c r="N92" s="82"/>
      <c r="O92" s="87"/>
      <c r="P92" s="87"/>
      <c r="Q92" s="88"/>
      <c r="R92" s="86"/>
      <c r="S92" s="62"/>
      <c r="T92" s="62"/>
    </row>
    <row r="93" spans="1:20" s="4" customFormat="1" ht="15" customHeight="1" x14ac:dyDescent="0.25">
      <c r="A93" s="60"/>
      <c r="B93" s="61"/>
      <c r="C93" s="60"/>
      <c r="D93" s="61"/>
      <c r="E93" s="63" t="s">
        <v>300</v>
      </c>
      <c r="F93" s="45">
        <v>1</v>
      </c>
      <c r="G93" s="45">
        <v>3.4</v>
      </c>
      <c r="H93" s="45">
        <v>0.25</v>
      </c>
      <c r="I93" s="37">
        <v>0.5</v>
      </c>
      <c r="J93" s="141">
        <f t="shared" si="16"/>
        <v>0.85</v>
      </c>
      <c r="K93" s="74">
        <f t="shared" si="17"/>
        <v>0.42499999999999999</v>
      </c>
      <c r="L93" s="75">
        <f t="shared" si="15"/>
        <v>4.25</v>
      </c>
      <c r="M93" s="82"/>
      <c r="N93" s="82"/>
      <c r="O93" s="87"/>
      <c r="P93" s="87"/>
      <c r="Q93" s="88"/>
      <c r="R93" s="86"/>
      <c r="S93" s="62"/>
      <c r="T93" s="62"/>
    </row>
    <row r="94" spans="1:20" s="4" customFormat="1" ht="15" customHeight="1" x14ac:dyDescent="0.25">
      <c r="A94" s="60"/>
      <c r="B94" s="61"/>
      <c r="C94" s="60"/>
      <c r="D94" s="61"/>
      <c r="E94" s="63" t="s">
        <v>301</v>
      </c>
      <c r="F94" s="45">
        <v>1</v>
      </c>
      <c r="G94" s="45">
        <v>4.9000000000000004</v>
      </c>
      <c r="H94" s="45">
        <v>1.3</v>
      </c>
      <c r="I94" s="45">
        <v>0.4</v>
      </c>
      <c r="J94" s="141">
        <f t="shared" si="16"/>
        <v>6.370000000000001</v>
      </c>
      <c r="K94" s="74">
        <f t="shared" si="17"/>
        <v>2.5480000000000005</v>
      </c>
      <c r="L94" s="75">
        <f t="shared" si="15"/>
        <v>10.290000000000001</v>
      </c>
      <c r="M94" s="82"/>
      <c r="N94" s="82"/>
      <c r="O94" s="87"/>
      <c r="P94" s="87"/>
      <c r="Q94" s="88"/>
      <c r="R94" s="86"/>
      <c r="S94" s="62"/>
      <c r="T94" s="62"/>
    </row>
    <row r="95" spans="1:20" s="4" customFormat="1" ht="15" customHeight="1" x14ac:dyDescent="0.25">
      <c r="A95" s="60"/>
      <c r="B95" s="61"/>
      <c r="C95" s="60"/>
      <c r="D95" s="61"/>
      <c r="E95" s="63" t="s">
        <v>302</v>
      </c>
      <c r="F95" s="45">
        <v>1</v>
      </c>
      <c r="G95" s="45">
        <v>11.5</v>
      </c>
      <c r="H95" s="45">
        <v>1.3</v>
      </c>
      <c r="I95" s="45">
        <v>0.6</v>
      </c>
      <c r="J95" s="141">
        <f t="shared" si="16"/>
        <v>14.950000000000001</v>
      </c>
      <c r="K95" s="74">
        <f t="shared" si="17"/>
        <v>8.9700000000000006</v>
      </c>
      <c r="L95" s="75">
        <f t="shared" si="15"/>
        <v>28.75</v>
      </c>
      <c r="M95" s="82"/>
      <c r="N95" s="82"/>
      <c r="O95" s="87"/>
      <c r="P95" s="87"/>
      <c r="Q95" s="88"/>
      <c r="R95" s="86"/>
      <c r="S95" s="62"/>
      <c r="T95" s="62"/>
    </row>
    <row r="96" spans="1:20" s="4" customFormat="1" ht="15" customHeight="1" x14ac:dyDescent="0.25">
      <c r="A96" s="60"/>
      <c r="B96" s="61"/>
      <c r="C96" s="60"/>
      <c r="D96" s="61"/>
      <c r="E96" s="63" t="s">
        <v>303</v>
      </c>
      <c r="F96" s="45">
        <v>1</v>
      </c>
      <c r="G96" s="45">
        <v>4.5</v>
      </c>
      <c r="H96" s="45">
        <v>1.3</v>
      </c>
      <c r="I96" s="45">
        <v>0.4</v>
      </c>
      <c r="J96" s="141">
        <f t="shared" si="16"/>
        <v>5.8500000000000005</v>
      </c>
      <c r="K96" s="74">
        <f t="shared" si="17"/>
        <v>2.3400000000000003</v>
      </c>
      <c r="L96" s="75">
        <f t="shared" si="15"/>
        <v>9.4500000000000011</v>
      </c>
      <c r="M96" s="82"/>
      <c r="N96" s="82"/>
      <c r="O96" s="87"/>
      <c r="P96" s="87"/>
      <c r="Q96" s="88"/>
      <c r="R96" s="86"/>
      <c r="S96" s="62"/>
      <c r="T96" s="62"/>
    </row>
    <row r="97" spans="1:22" s="4" customFormat="1" ht="15" customHeight="1" x14ac:dyDescent="0.25">
      <c r="A97" s="60"/>
      <c r="B97" s="61"/>
      <c r="C97" s="60"/>
      <c r="D97" s="61"/>
      <c r="E97" s="63" t="s">
        <v>304</v>
      </c>
      <c r="F97" s="45">
        <v>1</v>
      </c>
      <c r="G97" s="45">
        <v>8.4</v>
      </c>
      <c r="H97" s="45">
        <v>0.25</v>
      </c>
      <c r="I97" s="45">
        <v>0.6</v>
      </c>
      <c r="J97" s="141">
        <f t="shared" si="16"/>
        <v>2.1</v>
      </c>
      <c r="K97" s="74">
        <f t="shared" si="17"/>
        <v>1.26</v>
      </c>
      <c r="L97" s="75">
        <f t="shared" si="15"/>
        <v>12.18</v>
      </c>
      <c r="M97" s="82"/>
      <c r="N97" s="82"/>
      <c r="O97" s="87"/>
      <c r="P97" s="87"/>
      <c r="Q97" s="88"/>
      <c r="R97" s="86"/>
      <c r="S97" s="62"/>
      <c r="T97" s="62"/>
    </row>
    <row r="98" spans="1:22" s="4" customFormat="1" ht="15" customHeight="1" x14ac:dyDescent="0.25">
      <c r="A98" s="60"/>
      <c r="B98" s="61"/>
      <c r="C98" s="60"/>
      <c r="D98" s="61"/>
      <c r="E98" s="63" t="s">
        <v>305</v>
      </c>
      <c r="F98" s="45">
        <v>1</v>
      </c>
      <c r="G98" s="45">
        <v>6.7</v>
      </c>
      <c r="H98" s="45">
        <v>1.2</v>
      </c>
      <c r="I98" s="45">
        <v>0.6</v>
      </c>
      <c r="J98" s="141">
        <f t="shared" si="16"/>
        <v>8.0399999999999991</v>
      </c>
      <c r="K98" s="74">
        <f t="shared" si="17"/>
        <v>4.823999999999999</v>
      </c>
      <c r="L98" s="75">
        <f t="shared" si="15"/>
        <v>16.079999999999998</v>
      </c>
      <c r="M98" s="82"/>
      <c r="N98" s="82"/>
      <c r="O98" s="87"/>
      <c r="P98" s="87"/>
      <c r="Q98" s="88"/>
      <c r="R98" s="86"/>
      <c r="S98" s="62"/>
      <c r="T98" s="62"/>
    </row>
    <row r="99" spans="1:22" s="4" customFormat="1" ht="15" customHeight="1" x14ac:dyDescent="0.25">
      <c r="A99" s="60"/>
      <c r="B99" s="61"/>
      <c r="C99" s="60"/>
      <c r="D99" s="61"/>
      <c r="E99" s="63" t="s">
        <v>306</v>
      </c>
      <c r="F99" s="45">
        <v>1</v>
      </c>
      <c r="G99" s="45">
        <v>6</v>
      </c>
      <c r="H99" s="45">
        <v>1.2</v>
      </c>
      <c r="I99" s="45">
        <v>0.7</v>
      </c>
      <c r="J99" s="141">
        <f t="shared" si="16"/>
        <v>7.1999999999999993</v>
      </c>
      <c r="K99" s="74">
        <f t="shared" si="17"/>
        <v>5.0399999999999991</v>
      </c>
      <c r="L99" s="75">
        <f t="shared" si="15"/>
        <v>15.599999999999998</v>
      </c>
      <c r="M99" s="82"/>
      <c r="N99" s="82"/>
      <c r="O99" s="87"/>
      <c r="P99" s="87"/>
      <c r="Q99" s="88"/>
      <c r="R99" s="86"/>
      <c r="S99" s="62"/>
      <c r="T99" s="62"/>
    </row>
    <row r="100" spans="1:22" s="4" customFormat="1" ht="15" customHeight="1" x14ac:dyDescent="0.25">
      <c r="A100" s="60"/>
      <c r="B100" s="61"/>
      <c r="C100" s="60"/>
      <c r="D100" s="61"/>
      <c r="E100" s="63" t="s">
        <v>307</v>
      </c>
      <c r="F100" s="45">
        <v>1</v>
      </c>
      <c r="G100" s="45">
        <v>9.3000000000000007</v>
      </c>
      <c r="H100" s="45">
        <v>0.25</v>
      </c>
      <c r="I100" s="37">
        <v>0.5</v>
      </c>
      <c r="J100" s="141">
        <f t="shared" si="16"/>
        <v>2.3250000000000002</v>
      </c>
      <c r="K100" s="74">
        <f t="shared" si="17"/>
        <v>1.1625000000000001</v>
      </c>
      <c r="L100" s="75">
        <f t="shared" si="15"/>
        <v>11.625</v>
      </c>
      <c r="M100" s="82"/>
      <c r="N100" s="82"/>
      <c r="O100" s="87"/>
      <c r="P100" s="87"/>
      <c r="Q100" s="88"/>
      <c r="R100" s="86"/>
      <c r="S100" s="62"/>
      <c r="T100" s="62"/>
      <c r="V100" s="172"/>
    </row>
    <row r="101" spans="1:22" s="4" customFormat="1" ht="15" customHeight="1" x14ac:dyDescent="0.25">
      <c r="A101" s="60"/>
      <c r="B101" s="61"/>
      <c r="C101" s="60"/>
      <c r="D101" s="61"/>
      <c r="E101" s="63" t="s">
        <v>129</v>
      </c>
      <c r="F101" s="45">
        <v>1</v>
      </c>
      <c r="G101" s="45">
        <v>17</v>
      </c>
      <c r="H101" s="45">
        <v>0.2</v>
      </c>
      <c r="I101" s="45">
        <v>0.55000000000000004</v>
      </c>
      <c r="J101" s="141">
        <f t="shared" si="16"/>
        <v>3.4000000000000004</v>
      </c>
      <c r="K101" s="74">
        <f t="shared" si="17"/>
        <v>1.8700000000000003</v>
      </c>
      <c r="L101" s="75">
        <f t="shared" si="15"/>
        <v>22.1</v>
      </c>
      <c r="M101" s="82"/>
      <c r="N101" s="82"/>
      <c r="O101" s="87"/>
      <c r="P101" s="87"/>
      <c r="Q101" s="88"/>
      <c r="R101" s="86"/>
      <c r="S101" s="62"/>
      <c r="T101" s="62"/>
      <c r="V101" s="172"/>
    </row>
    <row r="102" spans="1:22" s="4" customFormat="1" ht="15" customHeight="1" x14ac:dyDescent="0.25">
      <c r="A102" s="60"/>
      <c r="B102" s="61"/>
      <c r="C102" s="60"/>
      <c r="D102" s="61"/>
      <c r="E102" s="63"/>
      <c r="F102" s="45"/>
      <c r="G102" s="45"/>
      <c r="H102" s="45"/>
      <c r="I102" s="45"/>
      <c r="J102" s="141"/>
      <c r="K102" s="142"/>
      <c r="L102" s="81"/>
      <c r="M102" s="82"/>
      <c r="N102" s="82"/>
      <c r="O102" s="87"/>
      <c r="P102" s="87"/>
      <c r="Q102" s="88"/>
      <c r="R102" s="86"/>
      <c r="S102" s="62"/>
      <c r="T102" s="62"/>
    </row>
    <row r="103" spans="1:22" s="4" customFormat="1" ht="15" customHeight="1" x14ac:dyDescent="0.25">
      <c r="A103" s="60">
        <v>3</v>
      </c>
      <c r="B103" s="39" t="s">
        <v>214</v>
      </c>
      <c r="C103" s="36" t="s">
        <v>52</v>
      </c>
      <c r="D103" s="61" t="s">
        <v>308</v>
      </c>
      <c r="E103" s="63" t="s">
        <v>110</v>
      </c>
      <c r="F103" s="45">
        <v>1</v>
      </c>
      <c r="G103" s="45">
        <v>8.6</v>
      </c>
      <c r="H103" s="45">
        <v>0.2</v>
      </c>
      <c r="I103" s="37">
        <v>0.8</v>
      </c>
      <c r="J103" s="141">
        <f>G103*H103</f>
        <v>1.72</v>
      </c>
      <c r="K103" s="74">
        <f>F103*I103*J103</f>
        <v>1.3760000000000001</v>
      </c>
      <c r="L103" s="75">
        <f>J103+(G103*I103*2)</f>
        <v>15.48</v>
      </c>
      <c r="M103" s="76"/>
      <c r="N103" s="76"/>
      <c r="O103" s="77"/>
      <c r="P103" s="77"/>
      <c r="Q103" s="78"/>
      <c r="R103" s="79"/>
      <c r="S103" s="62"/>
      <c r="T103" s="62"/>
    </row>
    <row r="104" spans="1:22" s="4" customFormat="1" ht="15" customHeight="1" x14ac:dyDescent="0.25">
      <c r="A104" s="60"/>
      <c r="B104" s="61"/>
      <c r="C104" s="60"/>
      <c r="D104" s="61"/>
      <c r="E104" s="63" t="s">
        <v>111</v>
      </c>
      <c r="F104" s="45">
        <v>1</v>
      </c>
      <c r="G104" s="45">
        <v>3.2</v>
      </c>
      <c r="H104" s="45">
        <v>0.25</v>
      </c>
      <c r="I104" s="37">
        <v>0.8</v>
      </c>
      <c r="J104" s="141">
        <f t="shared" ref="J104:J122" si="18">G104*H104</f>
        <v>0.8</v>
      </c>
      <c r="K104" s="74">
        <f t="shared" ref="K104:K122" si="19">F104*I104*J104</f>
        <v>0.64000000000000012</v>
      </c>
      <c r="L104" s="75">
        <f t="shared" ref="L104:L122" si="20">J104+(G104*I104*2)</f>
        <v>5.9200000000000008</v>
      </c>
      <c r="M104" s="76"/>
      <c r="N104" s="76"/>
      <c r="O104" s="77"/>
      <c r="P104" s="77"/>
      <c r="Q104" s="78"/>
      <c r="R104" s="79"/>
      <c r="S104" s="62"/>
      <c r="T104" s="62"/>
    </row>
    <row r="105" spans="1:22" s="4" customFormat="1" ht="15" customHeight="1" x14ac:dyDescent="0.25">
      <c r="A105" s="60"/>
      <c r="B105" s="61"/>
      <c r="C105" s="60"/>
      <c r="D105" s="61"/>
      <c r="E105" s="63" t="s">
        <v>112</v>
      </c>
      <c r="F105" s="45">
        <v>1</v>
      </c>
      <c r="G105" s="45">
        <v>5.0999999999999996</v>
      </c>
      <c r="H105" s="45">
        <v>0.25</v>
      </c>
      <c r="I105" s="37">
        <v>0.8</v>
      </c>
      <c r="J105" s="141">
        <f t="shared" si="18"/>
        <v>1.2749999999999999</v>
      </c>
      <c r="K105" s="74">
        <f t="shared" si="19"/>
        <v>1.02</v>
      </c>
      <c r="L105" s="75">
        <f t="shared" si="20"/>
        <v>9.4350000000000005</v>
      </c>
      <c r="M105" s="82"/>
      <c r="N105" s="82"/>
      <c r="O105" s="87"/>
      <c r="P105" s="87"/>
      <c r="Q105" s="88"/>
      <c r="R105" s="86"/>
      <c r="S105" s="62"/>
      <c r="T105" s="62"/>
    </row>
    <row r="106" spans="1:22" s="4" customFormat="1" ht="15" customHeight="1" x14ac:dyDescent="0.25">
      <c r="A106" s="60"/>
      <c r="B106" s="61"/>
      <c r="C106" s="60"/>
      <c r="D106" s="61"/>
      <c r="E106" s="63" t="s">
        <v>113</v>
      </c>
      <c r="F106" s="45">
        <v>1</v>
      </c>
      <c r="G106" s="45">
        <v>8.6999999999999993</v>
      </c>
      <c r="H106" s="45">
        <v>0.25</v>
      </c>
      <c r="I106" s="37">
        <v>0.8</v>
      </c>
      <c r="J106" s="141">
        <f t="shared" si="18"/>
        <v>2.1749999999999998</v>
      </c>
      <c r="K106" s="74">
        <f t="shared" si="19"/>
        <v>1.74</v>
      </c>
      <c r="L106" s="75">
        <f t="shared" si="20"/>
        <v>16.094999999999999</v>
      </c>
      <c r="M106" s="82"/>
      <c r="N106" s="82"/>
      <c r="O106" s="87"/>
      <c r="P106" s="87"/>
      <c r="Q106" s="88"/>
      <c r="R106" s="86"/>
      <c r="S106" s="62"/>
      <c r="T106" s="62"/>
    </row>
    <row r="107" spans="1:22" s="4" customFormat="1" ht="15" customHeight="1" x14ac:dyDescent="0.25">
      <c r="A107" s="60"/>
      <c r="B107" s="61"/>
      <c r="C107" s="60"/>
      <c r="D107" s="61"/>
      <c r="E107" s="63" t="s">
        <v>114</v>
      </c>
      <c r="F107" s="45">
        <v>1</v>
      </c>
      <c r="G107" s="45">
        <v>3.5</v>
      </c>
      <c r="H107" s="45">
        <v>0.2</v>
      </c>
      <c r="I107" s="37">
        <v>0.8</v>
      </c>
      <c r="J107" s="141">
        <f t="shared" si="18"/>
        <v>0.70000000000000007</v>
      </c>
      <c r="K107" s="74">
        <f t="shared" si="19"/>
        <v>0.56000000000000005</v>
      </c>
      <c r="L107" s="75">
        <f t="shared" si="20"/>
        <v>6.3000000000000007</v>
      </c>
      <c r="M107" s="82"/>
      <c r="N107" s="82"/>
      <c r="O107" s="87"/>
      <c r="P107" s="87"/>
      <c r="Q107" s="88"/>
      <c r="R107" s="86"/>
      <c r="S107" s="62"/>
      <c r="T107" s="62"/>
    </row>
    <row r="108" spans="1:22" s="4" customFormat="1" ht="15" customHeight="1" x14ac:dyDescent="0.25">
      <c r="A108" s="60"/>
      <c r="B108" s="61"/>
      <c r="C108" s="60"/>
      <c r="D108" s="61"/>
      <c r="E108" s="63" t="s">
        <v>115</v>
      </c>
      <c r="F108" s="45">
        <v>1</v>
      </c>
      <c r="G108" s="45">
        <v>6.1</v>
      </c>
      <c r="H108" s="45">
        <v>0.25</v>
      </c>
      <c r="I108" s="45">
        <v>0.7</v>
      </c>
      <c r="J108" s="141">
        <f t="shared" si="18"/>
        <v>1.5249999999999999</v>
      </c>
      <c r="K108" s="74">
        <f t="shared" si="19"/>
        <v>1.0674999999999999</v>
      </c>
      <c r="L108" s="75">
        <f t="shared" si="20"/>
        <v>10.065</v>
      </c>
      <c r="M108" s="82"/>
      <c r="N108" s="82"/>
      <c r="O108" s="87"/>
      <c r="P108" s="87"/>
      <c r="Q108" s="88"/>
      <c r="R108" s="86"/>
      <c r="S108" s="62"/>
      <c r="T108" s="62"/>
    </row>
    <row r="109" spans="1:22" s="4" customFormat="1" ht="15" customHeight="1" x14ac:dyDescent="0.25">
      <c r="A109" s="60"/>
      <c r="B109" s="61"/>
      <c r="C109" s="60"/>
      <c r="D109" s="61"/>
      <c r="E109" s="63" t="s">
        <v>116</v>
      </c>
      <c r="F109" s="45">
        <v>1</v>
      </c>
      <c r="G109" s="45">
        <v>13.7</v>
      </c>
      <c r="H109" s="45">
        <v>0.25</v>
      </c>
      <c r="I109" s="37">
        <v>0.8</v>
      </c>
      <c r="J109" s="141">
        <f t="shared" si="18"/>
        <v>3.4249999999999998</v>
      </c>
      <c r="K109" s="74">
        <f t="shared" si="19"/>
        <v>2.74</v>
      </c>
      <c r="L109" s="75">
        <f t="shared" si="20"/>
        <v>25.345000000000002</v>
      </c>
      <c r="M109" s="82"/>
      <c r="N109" s="82"/>
      <c r="O109" s="87"/>
      <c r="P109" s="87"/>
      <c r="Q109" s="88"/>
      <c r="R109" s="86"/>
      <c r="S109" s="62"/>
      <c r="T109" s="62"/>
    </row>
    <row r="110" spans="1:22" s="4" customFormat="1" ht="15" customHeight="1" x14ac:dyDescent="0.25">
      <c r="A110" s="60"/>
      <c r="B110" s="61"/>
      <c r="C110" s="60"/>
      <c r="D110" s="61"/>
      <c r="E110" s="63" t="s">
        <v>117</v>
      </c>
      <c r="F110" s="45">
        <v>1</v>
      </c>
      <c r="G110" s="45">
        <v>8</v>
      </c>
      <c r="H110" s="45">
        <v>0.25</v>
      </c>
      <c r="I110" s="37">
        <v>0.8</v>
      </c>
      <c r="J110" s="141">
        <f t="shared" si="18"/>
        <v>2</v>
      </c>
      <c r="K110" s="74">
        <f t="shared" si="19"/>
        <v>1.6</v>
      </c>
      <c r="L110" s="75">
        <f t="shared" si="20"/>
        <v>14.8</v>
      </c>
      <c r="M110" s="82"/>
      <c r="N110" s="82"/>
      <c r="O110" s="87"/>
      <c r="P110" s="87"/>
      <c r="Q110" s="88"/>
      <c r="R110" s="86"/>
      <c r="S110" s="62"/>
      <c r="T110" s="62"/>
    </row>
    <row r="111" spans="1:22" s="4" customFormat="1" ht="15" customHeight="1" x14ac:dyDescent="0.25">
      <c r="A111" s="60"/>
      <c r="B111" s="61"/>
      <c r="C111" s="60"/>
      <c r="D111" s="61"/>
      <c r="E111" s="63" t="s">
        <v>118</v>
      </c>
      <c r="F111" s="45">
        <v>1</v>
      </c>
      <c r="G111" s="45">
        <v>4.9000000000000004</v>
      </c>
      <c r="H111" s="45">
        <v>0.25</v>
      </c>
      <c r="I111" s="37">
        <v>0.8</v>
      </c>
      <c r="J111" s="141">
        <f t="shared" si="18"/>
        <v>1.2250000000000001</v>
      </c>
      <c r="K111" s="74">
        <f t="shared" si="19"/>
        <v>0.98000000000000009</v>
      </c>
      <c r="L111" s="75">
        <f t="shared" si="20"/>
        <v>9.0650000000000013</v>
      </c>
      <c r="M111" s="82"/>
      <c r="N111" s="82"/>
      <c r="O111" s="87"/>
      <c r="P111" s="87"/>
      <c r="Q111" s="88"/>
      <c r="R111" s="86"/>
      <c r="S111" s="62"/>
      <c r="T111" s="62"/>
    </row>
    <row r="112" spans="1:22" s="4" customFormat="1" ht="15" customHeight="1" x14ac:dyDescent="0.25">
      <c r="A112" s="60"/>
      <c r="B112" s="61"/>
      <c r="C112" s="60"/>
      <c r="D112" s="61"/>
      <c r="E112" s="63" t="s">
        <v>119</v>
      </c>
      <c r="F112" s="45">
        <v>1</v>
      </c>
      <c r="G112" s="45">
        <v>6</v>
      </c>
      <c r="H112" s="45">
        <v>0.25</v>
      </c>
      <c r="I112" s="37">
        <v>0.8</v>
      </c>
      <c r="J112" s="141">
        <f t="shared" si="18"/>
        <v>1.5</v>
      </c>
      <c r="K112" s="74">
        <f t="shared" si="19"/>
        <v>1.2000000000000002</v>
      </c>
      <c r="L112" s="75">
        <f t="shared" si="20"/>
        <v>11.100000000000001</v>
      </c>
      <c r="M112" s="82"/>
      <c r="N112" s="82"/>
      <c r="O112" s="87"/>
      <c r="P112" s="87"/>
      <c r="Q112" s="88"/>
      <c r="R112" s="86"/>
      <c r="S112" s="62"/>
      <c r="T112" s="62"/>
    </row>
    <row r="113" spans="1:20" s="4" customFormat="1" ht="15" customHeight="1" x14ac:dyDescent="0.25">
      <c r="A113" s="60"/>
      <c r="B113" s="61"/>
      <c r="C113" s="60"/>
      <c r="D113" s="61"/>
      <c r="E113" s="63" t="s">
        <v>120</v>
      </c>
      <c r="F113" s="45">
        <v>1</v>
      </c>
      <c r="G113" s="45">
        <v>7.9</v>
      </c>
      <c r="H113" s="45">
        <v>0.25</v>
      </c>
      <c r="I113" s="37">
        <v>0.8</v>
      </c>
      <c r="J113" s="141">
        <f t="shared" si="18"/>
        <v>1.9750000000000001</v>
      </c>
      <c r="K113" s="74">
        <f t="shared" si="19"/>
        <v>1.58</v>
      </c>
      <c r="L113" s="75">
        <f t="shared" si="20"/>
        <v>14.615</v>
      </c>
      <c r="M113" s="82"/>
      <c r="N113" s="82"/>
      <c r="O113" s="87"/>
      <c r="P113" s="87"/>
      <c r="Q113" s="88"/>
      <c r="R113" s="86"/>
      <c r="S113" s="62"/>
      <c r="T113" s="62"/>
    </row>
    <row r="114" spans="1:20" s="4" customFormat="1" ht="15" customHeight="1" x14ac:dyDescent="0.25">
      <c r="A114" s="60"/>
      <c r="B114" s="61"/>
      <c r="C114" s="60"/>
      <c r="D114" s="61"/>
      <c r="E114" s="63" t="s">
        <v>121</v>
      </c>
      <c r="F114" s="45">
        <v>1</v>
      </c>
      <c r="G114" s="45">
        <v>3.2</v>
      </c>
      <c r="H114" s="45">
        <v>0.25</v>
      </c>
      <c r="I114" s="37">
        <v>0.8</v>
      </c>
      <c r="J114" s="141">
        <f t="shared" si="18"/>
        <v>0.8</v>
      </c>
      <c r="K114" s="74">
        <f t="shared" si="19"/>
        <v>0.64000000000000012</v>
      </c>
      <c r="L114" s="75">
        <f t="shared" si="20"/>
        <v>5.9200000000000008</v>
      </c>
      <c r="M114" s="82"/>
      <c r="N114" s="82"/>
      <c r="O114" s="87"/>
      <c r="P114" s="87"/>
      <c r="Q114" s="88"/>
      <c r="R114" s="86"/>
      <c r="S114" s="62"/>
      <c r="T114" s="62"/>
    </row>
    <row r="115" spans="1:20" s="4" customFormat="1" ht="15" customHeight="1" x14ac:dyDescent="0.25">
      <c r="A115" s="60"/>
      <c r="B115" s="61"/>
      <c r="C115" s="60"/>
      <c r="D115" s="61"/>
      <c r="E115" s="63" t="s">
        <v>122</v>
      </c>
      <c r="F115" s="45">
        <v>1</v>
      </c>
      <c r="G115" s="45">
        <v>0.3</v>
      </c>
      <c r="H115" s="45">
        <v>0.25</v>
      </c>
      <c r="I115" s="37">
        <v>0.7</v>
      </c>
      <c r="J115" s="141">
        <f t="shared" si="18"/>
        <v>7.4999999999999997E-2</v>
      </c>
      <c r="K115" s="74">
        <f t="shared" si="19"/>
        <v>5.2499999999999998E-2</v>
      </c>
      <c r="L115" s="75">
        <f t="shared" si="20"/>
        <v>0.495</v>
      </c>
      <c r="M115" s="82"/>
      <c r="N115" s="82"/>
      <c r="O115" s="87"/>
      <c r="P115" s="87"/>
      <c r="Q115" s="88"/>
      <c r="R115" s="86"/>
      <c r="S115" s="62"/>
      <c r="T115" s="62"/>
    </row>
    <row r="116" spans="1:20" s="4" customFormat="1" ht="15" customHeight="1" x14ac:dyDescent="0.25">
      <c r="A116" s="60"/>
      <c r="B116" s="61"/>
      <c r="C116" s="60"/>
      <c r="D116" s="61"/>
      <c r="E116" s="63" t="s">
        <v>123</v>
      </c>
      <c r="F116" s="45">
        <v>1</v>
      </c>
      <c r="G116" s="45">
        <v>7.9</v>
      </c>
      <c r="H116" s="45">
        <v>0.25</v>
      </c>
      <c r="I116" s="37">
        <v>0.7</v>
      </c>
      <c r="J116" s="141">
        <f t="shared" si="18"/>
        <v>1.9750000000000001</v>
      </c>
      <c r="K116" s="74">
        <f t="shared" si="19"/>
        <v>1.3825000000000001</v>
      </c>
      <c r="L116" s="75">
        <f t="shared" si="20"/>
        <v>13.035</v>
      </c>
      <c r="M116" s="82"/>
      <c r="N116" s="82"/>
      <c r="O116" s="87"/>
      <c r="P116" s="87"/>
      <c r="Q116" s="88"/>
      <c r="R116" s="86"/>
      <c r="S116" s="62"/>
      <c r="T116" s="62"/>
    </row>
    <row r="117" spans="1:20" s="4" customFormat="1" ht="15" customHeight="1" x14ac:dyDescent="0.25">
      <c r="A117" s="60"/>
      <c r="B117" s="61"/>
      <c r="C117" s="60"/>
      <c r="D117" s="61"/>
      <c r="E117" s="63" t="s">
        <v>124</v>
      </c>
      <c r="F117" s="45">
        <v>1</v>
      </c>
      <c r="G117" s="173">
        <v>7.1</v>
      </c>
      <c r="H117" s="45">
        <v>0.25</v>
      </c>
      <c r="I117" s="37">
        <v>0.7</v>
      </c>
      <c r="J117" s="141">
        <f t="shared" si="18"/>
        <v>1.7749999999999999</v>
      </c>
      <c r="K117" s="74">
        <f t="shared" si="19"/>
        <v>1.2424999999999999</v>
      </c>
      <c r="L117" s="75">
        <f t="shared" si="20"/>
        <v>11.715</v>
      </c>
      <c r="M117" s="82"/>
      <c r="N117" s="82"/>
      <c r="O117" s="87"/>
      <c r="P117" s="87"/>
      <c r="Q117" s="88"/>
      <c r="R117" s="86"/>
      <c r="S117" s="62"/>
      <c r="T117" s="62"/>
    </row>
    <row r="118" spans="1:20" s="4" customFormat="1" ht="15" customHeight="1" x14ac:dyDescent="0.25">
      <c r="A118" s="60"/>
      <c r="B118" s="61"/>
      <c r="C118" s="60"/>
      <c r="D118" s="61"/>
      <c r="E118" s="63" t="s">
        <v>125</v>
      </c>
      <c r="F118" s="45">
        <v>1</v>
      </c>
      <c r="G118" s="45">
        <v>3.6</v>
      </c>
      <c r="H118" s="45">
        <v>0.25</v>
      </c>
      <c r="I118" s="37">
        <v>0.5</v>
      </c>
      <c r="J118" s="141">
        <f t="shared" si="18"/>
        <v>0.9</v>
      </c>
      <c r="K118" s="74">
        <f t="shared" si="19"/>
        <v>0.45</v>
      </c>
      <c r="L118" s="75">
        <f t="shared" si="20"/>
        <v>4.5</v>
      </c>
      <c r="M118" s="82"/>
      <c r="N118" s="82"/>
      <c r="O118" s="87"/>
      <c r="P118" s="87"/>
      <c r="Q118" s="88"/>
      <c r="R118" s="86"/>
      <c r="S118" s="62"/>
      <c r="T118" s="62"/>
    </row>
    <row r="119" spans="1:20" s="4" customFormat="1" ht="15" customHeight="1" x14ac:dyDescent="0.25">
      <c r="A119" s="60"/>
      <c r="B119" s="61"/>
      <c r="C119" s="60"/>
      <c r="D119" s="61"/>
      <c r="E119" s="63" t="s">
        <v>126</v>
      </c>
      <c r="F119" s="45">
        <v>1</v>
      </c>
      <c r="G119" s="45">
        <v>5.2</v>
      </c>
      <c r="H119" s="45">
        <v>1.3</v>
      </c>
      <c r="I119" s="45">
        <v>0.5</v>
      </c>
      <c r="J119" s="141">
        <f t="shared" si="18"/>
        <v>6.7600000000000007</v>
      </c>
      <c r="K119" s="74">
        <f t="shared" si="19"/>
        <v>3.3800000000000003</v>
      </c>
      <c r="L119" s="75">
        <f t="shared" si="20"/>
        <v>11.96</v>
      </c>
      <c r="M119" s="82"/>
      <c r="N119" s="82"/>
      <c r="O119" s="87"/>
      <c r="P119" s="87"/>
      <c r="Q119" s="88"/>
      <c r="R119" s="86"/>
      <c r="S119" s="62"/>
      <c r="T119" s="62"/>
    </row>
    <row r="120" spans="1:20" s="4" customFormat="1" ht="15" customHeight="1" x14ac:dyDescent="0.25">
      <c r="A120" s="60"/>
      <c r="B120" s="61"/>
      <c r="C120" s="60"/>
      <c r="D120" s="61"/>
      <c r="E120" s="63" t="s">
        <v>127</v>
      </c>
      <c r="F120" s="45">
        <v>1</v>
      </c>
      <c r="G120" s="45">
        <v>11.6</v>
      </c>
      <c r="H120" s="45">
        <v>1.3</v>
      </c>
      <c r="I120" s="45">
        <v>0.5</v>
      </c>
      <c r="J120" s="141">
        <f t="shared" si="18"/>
        <v>15.08</v>
      </c>
      <c r="K120" s="74">
        <f t="shared" si="19"/>
        <v>7.54</v>
      </c>
      <c r="L120" s="75">
        <f t="shared" si="20"/>
        <v>26.68</v>
      </c>
      <c r="M120" s="82"/>
      <c r="N120" s="82"/>
      <c r="O120" s="87"/>
      <c r="P120" s="87"/>
      <c r="Q120" s="88"/>
      <c r="R120" s="86"/>
      <c r="S120" s="62"/>
      <c r="T120" s="62"/>
    </row>
    <row r="121" spans="1:20" s="4" customFormat="1" ht="15" customHeight="1" x14ac:dyDescent="0.25">
      <c r="A121" s="60"/>
      <c r="B121" s="61"/>
      <c r="C121" s="60"/>
      <c r="D121" s="61"/>
      <c r="E121" s="63" t="s">
        <v>128</v>
      </c>
      <c r="F121" s="45">
        <v>1</v>
      </c>
      <c r="G121" s="45">
        <v>4.74</v>
      </c>
      <c r="H121" s="45">
        <v>1.3</v>
      </c>
      <c r="I121" s="45">
        <v>0.5</v>
      </c>
      <c r="J121" s="141">
        <f t="shared" si="18"/>
        <v>6.1620000000000008</v>
      </c>
      <c r="K121" s="74">
        <f t="shared" si="19"/>
        <v>3.0810000000000004</v>
      </c>
      <c r="L121" s="75">
        <f t="shared" si="20"/>
        <v>10.902000000000001</v>
      </c>
      <c r="M121" s="82"/>
      <c r="N121" s="82"/>
      <c r="O121" s="87"/>
      <c r="P121" s="87"/>
      <c r="Q121" s="88"/>
      <c r="R121" s="86"/>
      <c r="S121" s="62"/>
      <c r="T121" s="62"/>
    </row>
    <row r="122" spans="1:20" s="4" customFormat="1" ht="15" customHeight="1" x14ac:dyDescent="0.25">
      <c r="A122" s="60"/>
      <c r="B122" s="61"/>
      <c r="C122" s="60"/>
      <c r="D122" s="61"/>
      <c r="E122" s="63" t="s">
        <v>129</v>
      </c>
      <c r="F122" s="45">
        <v>1</v>
      </c>
      <c r="G122" s="45">
        <v>45.9</v>
      </c>
      <c r="H122" s="45">
        <v>0.2</v>
      </c>
      <c r="I122" s="45">
        <v>0.45</v>
      </c>
      <c r="J122" s="141">
        <f t="shared" si="18"/>
        <v>9.18</v>
      </c>
      <c r="K122" s="74">
        <f t="shared" si="19"/>
        <v>4.1310000000000002</v>
      </c>
      <c r="L122" s="75">
        <f t="shared" si="20"/>
        <v>50.49</v>
      </c>
      <c r="M122" s="82"/>
      <c r="N122" s="82"/>
      <c r="O122" s="87"/>
      <c r="P122" s="87"/>
      <c r="Q122" s="88"/>
      <c r="R122" s="86"/>
      <c r="S122" s="62"/>
      <c r="T122" s="62"/>
    </row>
    <row r="123" spans="1:20" s="4" customFormat="1" ht="15" customHeight="1" x14ac:dyDescent="0.25">
      <c r="A123" s="60"/>
      <c r="B123" s="61"/>
      <c r="C123" s="60"/>
      <c r="D123" s="61"/>
      <c r="E123" s="63"/>
      <c r="F123" s="45"/>
      <c r="G123" s="45"/>
      <c r="H123" s="45"/>
      <c r="I123" s="45"/>
      <c r="J123" s="141"/>
      <c r="K123" s="142"/>
      <c r="L123" s="81"/>
      <c r="M123" s="82"/>
      <c r="N123" s="82"/>
      <c r="O123" s="87"/>
      <c r="P123" s="87"/>
      <c r="Q123" s="88"/>
      <c r="R123" s="86"/>
      <c r="S123" s="62"/>
      <c r="T123" s="62"/>
    </row>
    <row r="124" spans="1:20" s="4" customFormat="1" ht="15" customHeight="1" x14ac:dyDescent="0.25">
      <c r="A124" s="60">
        <v>3</v>
      </c>
      <c r="B124" s="39" t="s">
        <v>214</v>
      </c>
      <c r="C124" s="36" t="s">
        <v>52</v>
      </c>
      <c r="D124" s="61" t="s">
        <v>309</v>
      </c>
      <c r="E124" s="63" t="s">
        <v>130</v>
      </c>
      <c r="F124" s="45">
        <v>1</v>
      </c>
      <c r="G124" s="45">
        <v>3.5</v>
      </c>
      <c r="H124" s="45">
        <v>0.25</v>
      </c>
      <c r="I124" s="37">
        <v>0.6</v>
      </c>
      <c r="J124" s="141">
        <f>G124*H124</f>
        <v>0.875</v>
      </c>
      <c r="K124" s="74">
        <f>F124*I124*J124</f>
        <v>0.52500000000000002</v>
      </c>
      <c r="L124" s="75">
        <f>J124+(G124*I124*2)</f>
        <v>5.0750000000000002</v>
      </c>
      <c r="M124" s="76"/>
      <c r="N124" s="76"/>
      <c r="O124" s="77"/>
      <c r="P124" s="77"/>
      <c r="Q124" s="78"/>
      <c r="R124" s="79"/>
      <c r="S124" s="62"/>
      <c r="T124" s="62"/>
    </row>
    <row r="125" spans="1:20" s="4" customFormat="1" ht="15" customHeight="1" x14ac:dyDescent="0.25">
      <c r="A125" s="60"/>
      <c r="B125" s="61"/>
      <c r="C125" s="60"/>
      <c r="D125" s="61"/>
      <c r="E125" s="63" t="s">
        <v>131</v>
      </c>
      <c r="F125" s="45">
        <v>1</v>
      </c>
      <c r="G125" s="45">
        <v>7.3</v>
      </c>
      <c r="H125" s="45">
        <v>0.25</v>
      </c>
      <c r="I125" s="37">
        <v>0.7</v>
      </c>
      <c r="J125" s="141">
        <f t="shared" ref="J125" si="21">G125*H125</f>
        <v>1.825</v>
      </c>
      <c r="K125" s="74">
        <f t="shared" ref="K125" si="22">F125*I125*J125</f>
        <v>1.2774999999999999</v>
      </c>
      <c r="L125" s="75">
        <f t="shared" ref="L125" si="23">J125+(G125*I125*2)</f>
        <v>12.044999999999998</v>
      </c>
      <c r="M125" s="76"/>
      <c r="N125" s="76"/>
      <c r="O125" s="77"/>
      <c r="P125" s="77"/>
      <c r="Q125" s="78"/>
      <c r="R125" s="79"/>
      <c r="S125" s="62"/>
      <c r="T125" s="62"/>
    </row>
    <row r="126" spans="1:20" s="4" customFormat="1" ht="15" customHeight="1" x14ac:dyDescent="0.25">
      <c r="A126" s="60"/>
      <c r="B126" s="61"/>
      <c r="C126" s="60"/>
      <c r="D126" s="61"/>
      <c r="E126" s="63" t="s">
        <v>132</v>
      </c>
      <c r="F126" s="45">
        <v>1</v>
      </c>
      <c r="G126" s="45">
        <v>4.5999999999999996</v>
      </c>
      <c r="H126" s="45">
        <v>0.25</v>
      </c>
      <c r="I126" s="37">
        <v>0.6</v>
      </c>
      <c r="J126" s="141">
        <f t="shared" ref="J126:J134" si="24">G126*H126</f>
        <v>1.1499999999999999</v>
      </c>
      <c r="K126" s="74">
        <f t="shared" ref="K126:K134" si="25">F126*I126*J126</f>
        <v>0.69</v>
      </c>
      <c r="L126" s="75">
        <f t="shared" ref="L126:L134" si="26">J126+(G126*I126*2)</f>
        <v>6.67</v>
      </c>
      <c r="M126" s="82"/>
      <c r="N126" s="82"/>
      <c r="O126" s="87"/>
      <c r="P126" s="87"/>
      <c r="Q126" s="88"/>
      <c r="R126" s="86"/>
      <c r="S126" s="62"/>
      <c r="T126" s="62"/>
    </row>
    <row r="127" spans="1:20" s="4" customFormat="1" ht="15" customHeight="1" x14ac:dyDescent="0.25">
      <c r="A127" s="60"/>
      <c r="B127" s="61"/>
      <c r="C127" s="60"/>
      <c r="D127" s="61"/>
      <c r="E127" s="63" t="s">
        <v>133</v>
      </c>
      <c r="F127" s="45">
        <v>1</v>
      </c>
      <c r="G127" s="45">
        <v>7.1</v>
      </c>
      <c r="H127" s="45">
        <v>0.2</v>
      </c>
      <c r="I127" s="45">
        <v>0.6</v>
      </c>
      <c r="J127" s="141">
        <f t="shared" si="24"/>
        <v>1.42</v>
      </c>
      <c r="K127" s="74">
        <f t="shared" si="25"/>
        <v>0.85199999999999998</v>
      </c>
      <c r="L127" s="75">
        <f t="shared" si="26"/>
        <v>9.94</v>
      </c>
      <c r="M127" s="82"/>
      <c r="N127" s="82"/>
      <c r="O127" s="87"/>
      <c r="P127" s="87"/>
      <c r="Q127" s="88"/>
      <c r="R127" s="86"/>
      <c r="S127" s="62"/>
      <c r="T127" s="62"/>
    </row>
    <row r="128" spans="1:20" s="4" customFormat="1" ht="15" customHeight="1" x14ac:dyDescent="0.25">
      <c r="A128" s="60"/>
      <c r="B128" s="61"/>
      <c r="C128" s="60"/>
      <c r="D128" s="61"/>
      <c r="E128" s="63" t="s">
        <v>134</v>
      </c>
      <c r="F128" s="45">
        <v>1</v>
      </c>
      <c r="G128" s="45">
        <v>1.6</v>
      </c>
      <c r="H128" s="45">
        <v>0.25</v>
      </c>
      <c r="I128" s="37">
        <v>0.6</v>
      </c>
      <c r="J128" s="141">
        <f t="shared" si="24"/>
        <v>0.4</v>
      </c>
      <c r="K128" s="74">
        <f t="shared" si="25"/>
        <v>0.24</v>
      </c>
      <c r="L128" s="75">
        <f t="shared" si="26"/>
        <v>2.3199999999999998</v>
      </c>
      <c r="M128" s="82"/>
      <c r="N128" s="82"/>
      <c r="O128" s="87"/>
      <c r="P128" s="87"/>
      <c r="Q128" s="88"/>
      <c r="R128" s="86"/>
      <c r="S128" s="62"/>
      <c r="T128" s="62"/>
    </row>
    <row r="129" spans="1:20" s="4" customFormat="1" ht="15" customHeight="1" x14ac:dyDescent="0.25">
      <c r="A129" s="60"/>
      <c r="B129" s="61"/>
      <c r="C129" s="60"/>
      <c r="D129" s="61"/>
      <c r="E129" s="63" t="s">
        <v>135</v>
      </c>
      <c r="F129" s="45">
        <v>1</v>
      </c>
      <c r="G129" s="45">
        <v>8.1</v>
      </c>
      <c r="H129" s="45">
        <v>0.25</v>
      </c>
      <c r="I129" s="37">
        <v>0.6</v>
      </c>
      <c r="J129" s="141">
        <f t="shared" si="24"/>
        <v>2.0249999999999999</v>
      </c>
      <c r="K129" s="74">
        <f t="shared" si="25"/>
        <v>1.2149999999999999</v>
      </c>
      <c r="L129" s="75">
        <f t="shared" si="26"/>
        <v>11.744999999999999</v>
      </c>
      <c r="M129" s="82"/>
      <c r="N129" s="82"/>
      <c r="O129" s="87"/>
      <c r="P129" s="87"/>
      <c r="Q129" s="88"/>
      <c r="R129" s="86"/>
      <c r="S129" s="62"/>
      <c r="T129" s="62"/>
    </row>
    <row r="130" spans="1:20" s="4" customFormat="1" ht="15" customHeight="1" x14ac:dyDescent="0.25">
      <c r="A130" s="60"/>
      <c r="B130" s="61"/>
      <c r="C130" s="60"/>
      <c r="D130" s="61"/>
      <c r="E130" s="63" t="s">
        <v>136</v>
      </c>
      <c r="F130" s="45">
        <v>1</v>
      </c>
      <c r="G130" s="45">
        <v>1.5</v>
      </c>
      <c r="H130" s="45">
        <v>0.25</v>
      </c>
      <c r="I130" s="37">
        <v>0.6</v>
      </c>
      <c r="J130" s="141">
        <f t="shared" si="24"/>
        <v>0.375</v>
      </c>
      <c r="K130" s="74">
        <f t="shared" si="25"/>
        <v>0.22499999999999998</v>
      </c>
      <c r="L130" s="75">
        <f t="shared" si="26"/>
        <v>2.1749999999999998</v>
      </c>
      <c r="M130" s="82"/>
      <c r="N130" s="82"/>
      <c r="O130" s="87"/>
      <c r="P130" s="87"/>
      <c r="Q130" s="88"/>
      <c r="R130" s="86"/>
      <c r="S130" s="62"/>
      <c r="T130" s="62"/>
    </row>
    <row r="131" spans="1:20" s="4" customFormat="1" ht="15" customHeight="1" x14ac:dyDescent="0.25">
      <c r="A131" s="60"/>
      <c r="B131" s="61"/>
      <c r="C131" s="60"/>
      <c r="D131" s="61"/>
      <c r="E131" s="63" t="s">
        <v>137</v>
      </c>
      <c r="F131" s="45">
        <v>1</v>
      </c>
      <c r="G131" s="45">
        <v>3.6</v>
      </c>
      <c r="H131" s="45">
        <v>0.25</v>
      </c>
      <c r="I131" s="37">
        <v>0.6</v>
      </c>
      <c r="J131" s="141">
        <f t="shared" si="24"/>
        <v>0.9</v>
      </c>
      <c r="K131" s="74">
        <f t="shared" si="25"/>
        <v>0.54</v>
      </c>
      <c r="L131" s="75">
        <f t="shared" si="26"/>
        <v>5.2200000000000006</v>
      </c>
      <c r="M131" s="82"/>
      <c r="N131" s="82"/>
      <c r="O131" s="87"/>
      <c r="P131" s="87"/>
      <c r="Q131" s="88"/>
      <c r="R131" s="86"/>
      <c r="S131" s="62"/>
      <c r="T131" s="62"/>
    </row>
    <row r="132" spans="1:20" s="4" customFormat="1" ht="15" customHeight="1" x14ac:dyDescent="0.25">
      <c r="A132" s="60"/>
      <c r="B132" s="61"/>
      <c r="C132" s="60"/>
      <c r="D132" s="61"/>
      <c r="E132" s="63" t="s">
        <v>138</v>
      </c>
      <c r="F132" s="45">
        <v>1</v>
      </c>
      <c r="G132" s="45">
        <v>1.9</v>
      </c>
      <c r="H132" s="45">
        <v>0.2</v>
      </c>
      <c r="I132" s="45">
        <v>0.62</v>
      </c>
      <c r="J132" s="141">
        <f t="shared" si="24"/>
        <v>0.38</v>
      </c>
      <c r="K132" s="74">
        <f t="shared" si="25"/>
        <v>0.2356</v>
      </c>
      <c r="L132" s="75">
        <f t="shared" si="26"/>
        <v>2.7359999999999998</v>
      </c>
      <c r="M132" s="82"/>
      <c r="N132" s="82"/>
      <c r="O132" s="87"/>
      <c r="P132" s="87"/>
      <c r="Q132" s="88"/>
      <c r="R132" s="86"/>
      <c r="S132" s="62"/>
      <c r="T132" s="62"/>
    </row>
    <row r="133" spans="1:20" s="4" customFormat="1" ht="15" customHeight="1" x14ac:dyDescent="0.25">
      <c r="A133" s="60"/>
      <c r="B133" s="61"/>
      <c r="C133" s="60"/>
      <c r="D133" s="61"/>
      <c r="E133" s="63" t="s">
        <v>310</v>
      </c>
      <c r="F133" s="45">
        <v>1</v>
      </c>
      <c r="G133" s="45">
        <v>12.7</v>
      </c>
      <c r="H133" s="45">
        <v>0.25</v>
      </c>
      <c r="I133" s="45">
        <v>0.5</v>
      </c>
      <c r="J133" s="141">
        <f t="shared" si="24"/>
        <v>3.1749999999999998</v>
      </c>
      <c r="K133" s="74">
        <f t="shared" si="25"/>
        <v>1.5874999999999999</v>
      </c>
      <c r="L133" s="75">
        <f t="shared" si="26"/>
        <v>15.875</v>
      </c>
      <c r="M133" s="82"/>
      <c r="N133" s="82"/>
      <c r="O133" s="87"/>
      <c r="P133" s="87"/>
      <c r="Q133" s="88"/>
      <c r="R133" s="86"/>
      <c r="S133" s="62"/>
      <c r="T133" s="62"/>
    </row>
    <row r="134" spans="1:20" s="4" customFormat="1" ht="15" customHeight="1" x14ac:dyDescent="0.25">
      <c r="A134" s="60"/>
      <c r="B134" s="61"/>
      <c r="C134" s="60"/>
      <c r="D134" s="61"/>
      <c r="E134" s="63" t="s">
        <v>311</v>
      </c>
      <c r="F134" s="45">
        <v>1</v>
      </c>
      <c r="G134" s="45">
        <v>16</v>
      </c>
      <c r="H134" s="45">
        <v>0.25</v>
      </c>
      <c r="I134" s="45">
        <v>0.5</v>
      </c>
      <c r="J134" s="141">
        <f t="shared" si="24"/>
        <v>4</v>
      </c>
      <c r="K134" s="74">
        <f t="shared" si="25"/>
        <v>2</v>
      </c>
      <c r="L134" s="75">
        <f t="shared" si="26"/>
        <v>20</v>
      </c>
      <c r="M134" s="82"/>
      <c r="N134" s="82"/>
      <c r="O134" s="87"/>
      <c r="P134" s="87"/>
      <c r="Q134" s="88"/>
      <c r="R134" s="86"/>
      <c r="S134" s="62"/>
      <c r="T134" s="62"/>
    </row>
    <row r="135" spans="1:20" s="4" customFormat="1" ht="15" customHeight="1" x14ac:dyDescent="0.25">
      <c r="A135" s="60"/>
      <c r="B135" s="61"/>
      <c r="C135" s="60"/>
      <c r="D135" s="61"/>
      <c r="E135" s="63" t="s">
        <v>129</v>
      </c>
      <c r="F135" s="45">
        <v>1</v>
      </c>
      <c r="G135" s="45">
        <v>45.9</v>
      </c>
      <c r="H135" s="45">
        <v>0.2</v>
      </c>
      <c r="I135" s="45">
        <v>0.45</v>
      </c>
      <c r="J135" s="141">
        <f t="shared" ref="J135" si="27">G135*H135</f>
        <v>9.18</v>
      </c>
      <c r="K135" s="74">
        <f t="shared" ref="K135" si="28">F135*I135*J135</f>
        <v>4.1310000000000002</v>
      </c>
      <c r="L135" s="75">
        <f t="shared" ref="L135" si="29">J135+(G135*I135*2)</f>
        <v>50.49</v>
      </c>
      <c r="M135" s="82"/>
      <c r="N135" s="82"/>
      <c r="O135" s="87"/>
      <c r="P135" s="87"/>
      <c r="Q135" s="88"/>
      <c r="R135" s="86"/>
      <c r="S135" s="62"/>
      <c r="T135" s="62"/>
    </row>
    <row r="136" spans="1:20" s="4" customFormat="1" ht="15" customHeight="1" x14ac:dyDescent="0.25">
      <c r="A136" s="60"/>
      <c r="B136" s="61"/>
      <c r="C136" s="60"/>
      <c r="D136" s="61"/>
      <c r="E136" s="63"/>
      <c r="F136" s="45"/>
      <c r="G136" s="45"/>
      <c r="H136" s="45"/>
      <c r="I136" s="45"/>
      <c r="J136" s="141"/>
      <c r="K136" s="142"/>
      <c r="L136" s="81"/>
      <c r="M136" s="82"/>
      <c r="N136" s="82"/>
      <c r="O136" s="87"/>
      <c r="P136" s="87"/>
      <c r="Q136" s="88"/>
      <c r="R136" s="86"/>
      <c r="S136" s="62"/>
      <c r="T136" s="62"/>
    </row>
    <row r="137" spans="1:20" s="4" customFormat="1" ht="15" customHeight="1" x14ac:dyDescent="0.25">
      <c r="A137" s="60"/>
      <c r="B137" s="61"/>
      <c r="C137" s="60"/>
      <c r="D137" s="61"/>
      <c r="E137" s="63" t="s">
        <v>312</v>
      </c>
      <c r="F137" s="45"/>
      <c r="G137" s="45"/>
      <c r="H137" s="45"/>
      <c r="I137" s="45"/>
      <c r="J137" s="141"/>
      <c r="K137" s="142"/>
      <c r="L137" s="81"/>
      <c r="M137" s="82"/>
      <c r="N137" s="82"/>
      <c r="O137" s="87"/>
      <c r="P137" s="87"/>
      <c r="Q137" s="88"/>
      <c r="R137" s="86"/>
      <c r="S137" s="62"/>
      <c r="T137" s="62"/>
    </row>
    <row r="138" spans="1:20" s="4" customFormat="1" ht="15" customHeight="1" x14ac:dyDescent="0.25">
      <c r="A138" s="60"/>
      <c r="B138" s="61"/>
      <c r="C138" s="60"/>
      <c r="D138" s="61"/>
      <c r="E138" s="63" t="s">
        <v>89</v>
      </c>
      <c r="F138" s="45"/>
      <c r="G138" s="45"/>
      <c r="H138" s="45"/>
      <c r="I138" s="45"/>
      <c r="J138" s="141"/>
      <c r="K138" s="142"/>
      <c r="L138" s="81"/>
      <c r="M138" s="82"/>
      <c r="N138" s="82"/>
      <c r="O138" s="87"/>
      <c r="P138" s="87"/>
      <c r="Q138" s="88"/>
      <c r="R138" s="86"/>
      <c r="S138" s="62"/>
      <c r="T138" s="62"/>
    </row>
    <row r="139" spans="1:20" s="4" customFormat="1" ht="15" customHeight="1" x14ac:dyDescent="0.25">
      <c r="A139" s="60"/>
      <c r="B139" s="61"/>
      <c r="C139" s="60"/>
      <c r="D139" s="61"/>
      <c r="E139" s="63"/>
      <c r="F139" s="45"/>
      <c r="G139" s="45"/>
      <c r="H139" s="45"/>
      <c r="I139" s="45"/>
      <c r="J139" s="141"/>
      <c r="K139" s="142"/>
      <c r="L139" s="81"/>
      <c r="M139" s="82"/>
      <c r="N139" s="82"/>
      <c r="O139" s="87"/>
      <c r="P139" s="87"/>
      <c r="Q139" s="88"/>
      <c r="R139" s="86"/>
      <c r="S139" s="62"/>
      <c r="T139" s="62"/>
    </row>
    <row r="140" spans="1:20" s="4" customFormat="1" ht="15" customHeight="1" x14ac:dyDescent="0.25">
      <c r="A140" s="60"/>
      <c r="B140" s="61"/>
      <c r="C140" s="60"/>
      <c r="D140" s="61" t="s">
        <v>322</v>
      </c>
      <c r="E140" s="63" t="s">
        <v>324</v>
      </c>
      <c r="F140" s="45">
        <v>1</v>
      </c>
      <c r="G140" s="45">
        <v>118.5</v>
      </c>
      <c r="H140" s="45">
        <v>0.2</v>
      </c>
      <c r="I140" s="45">
        <v>0.3</v>
      </c>
      <c r="J140" s="141">
        <f>H140*I140</f>
        <v>0.06</v>
      </c>
      <c r="K140" s="142">
        <f>F140*G140*J140</f>
        <v>7.1099999999999994</v>
      </c>
      <c r="L140" s="81">
        <f>I140*2*G140</f>
        <v>71.099999999999994</v>
      </c>
      <c r="M140" s="82"/>
      <c r="N140" s="82"/>
      <c r="O140" s="87"/>
      <c r="P140" s="87"/>
      <c r="Q140" s="88"/>
      <c r="R140" s="86"/>
      <c r="S140" s="62"/>
      <c r="T140" s="62"/>
    </row>
    <row r="141" spans="1:20" s="4" customFormat="1" ht="15" customHeight="1" x14ac:dyDescent="0.25">
      <c r="A141" s="60"/>
      <c r="B141" s="61"/>
      <c r="C141" s="60"/>
      <c r="D141" s="61"/>
      <c r="E141" s="63"/>
      <c r="F141" s="45"/>
      <c r="G141" s="45"/>
      <c r="H141" s="45"/>
      <c r="I141" s="45"/>
      <c r="J141" s="141"/>
      <c r="K141" s="142"/>
      <c r="L141" s="81"/>
      <c r="M141" s="82"/>
      <c r="N141" s="82"/>
      <c r="O141" s="87"/>
      <c r="P141" s="87"/>
      <c r="Q141" s="88"/>
      <c r="R141" s="86"/>
      <c r="S141" s="62"/>
      <c r="T141" s="62"/>
    </row>
    <row r="142" spans="1:20" s="4" customFormat="1" ht="20.25" customHeight="1" x14ac:dyDescent="0.25">
      <c r="A142" s="69" t="s">
        <v>317</v>
      </c>
      <c r="B142" s="272" t="s">
        <v>313</v>
      </c>
      <c r="C142" s="273"/>
      <c r="D142" s="273"/>
      <c r="E142" s="274"/>
      <c r="F142" s="70"/>
      <c r="G142" s="70"/>
      <c r="H142" s="70"/>
      <c r="I142" s="70"/>
      <c r="J142" s="71"/>
      <c r="K142" s="71"/>
      <c r="L142" s="71"/>
      <c r="M142" s="71"/>
      <c r="N142" s="71"/>
      <c r="O142" s="71"/>
      <c r="P142" s="71"/>
      <c r="Q142" s="71"/>
      <c r="R142" s="71"/>
      <c r="S142" s="36"/>
      <c r="T142" s="36"/>
    </row>
    <row r="143" spans="1:20" s="4" customFormat="1" ht="15" customHeight="1" x14ac:dyDescent="0.25">
      <c r="A143" s="60"/>
      <c r="B143" s="39" t="s">
        <v>314</v>
      </c>
      <c r="C143" s="36" t="s">
        <v>52</v>
      </c>
      <c r="D143" s="61" t="s">
        <v>315</v>
      </c>
      <c r="E143" s="63"/>
      <c r="F143" s="45">
        <v>1</v>
      </c>
      <c r="G143" s="45"/>
      <c r="H143" s="45"/>
      <c r="I143" s="45">
        <f>8.6+3.8</f>
        <v>12.399999999999999</v>
      </c>
      <c r="J143" s="141">
        <v>1.54</v>
      </c>
      <c r="K143" s="142">
        <f>F143*I143*J143</f>
        <v>19.095999999999997</v>
      </c>
      <c r="L143" s="81">
        <f>12.7*I143</f>
        <v>157.47999999999996</v>
      </c>
      <c r="M143" s="82"/>
      <c r="N143" s="82"/>
      <c r="O143" s="87"/>
      <c r="P143" s="87"/>
      <c r="Q143" s="88"/>
      <c r="R143" s="86"/>
      <c r="S143" s="62"/>
      <c r="T143" s="62"/>
    </row>
    <row r="144" spans="1:20" s="4" customFormat="1" ht="15" customHeight="1" x14ac:dyDescent="0.25">
      <c r="A144" s="60"/>
      <c r="B144" s="61"/>
      <c r="C144" s="60"/>
      <c r="D144" s="61"/>
      <c r="E144" s="63"/>
      <c r="F144" s="45"/>
      <c r="G144" s="45"/>
      <c r="H144" s="45"/>
      <c r="I144" s="45"/>
      <c r="J144" s="141"/>
      <c r="K144" s="142"/>
      <c r="L144" s="81"/>
      <c r="M144" s="82"/>
      <c r="N144" s="82"/>
      <c r="O144" s="87"/>
      <c r="P144" s="87"/>
      <c r="Q144" s="88"/>
      <c r="R144" s="86"/>
      <c r="S144" s="62"/>
      <c r="T144" s="62"/>
    </row>
    <row r="145" spans="1:20" s="4" customFormat="1" ht="20.25" customHeight="1" x14ac:dyDescent="0.25">
      <c r="A145" s="69" t="s">
        <v>318</v>
      </c>
      <c r="B145" s="272" t="s">
        <v>316</v>
      </c>
      <c r="C145" s="273"/>
      <c r="D145" s="273"/>
      <c r="E145" s="274"/>
      <c r="F145" s="70"/>
      <c r="G145" s="70"/>
      <c r="H145" s="70"/>
      <c r="I145" s="70"/>
      <c r="J145" s="71"/>
      <c r="K145" s="71"/>
      <c r="L145" s="71"/>
      <c r="M145" s="71"/>
      <c r="N145" s="71"/>
      <c r="O145" s="71"/>
      <c r="P145" s="71"/>
      <c r="Q145" s="71"/>
      <c r="R145" s="71"/>
      <c r="S145" s="36"/>
      <c r="T145" s="36"/>
    </row>
    <row r="146" spans="1:20" s="4" customFormat="1" ht="15" customHeight="1" x14ac:dyDescent="0.25">
      <c r="A146" s="60"/>
      <c r="B146" s="39" t="s">
        <v>314</v>
      </c>
      <c r="C146" s="36" t="s">
        <v>52</v>
      </c>
      <c r="D146" s="61" t="s">
        <v>315</v>
      </c>
      <c r="E146" s="63" t="s">
        <v>195</v>
      </c>
      <c r="F146" s="45">
        <v>1</v>
      </c>
      <c r="G146" s="45">
        <v>2.5</v>
      </c>
      <c r="H146" s="45">
        <v>0.3</v>
      </c>
      <c r="I146" s="45">
        <v>8.6</v>
      </c>
      <c r="J146" s="141">
        <f>G146*H146</f>
        <v>0.75</v>
      </c>
      <c r="K146" s="142">
        <f>F146*I146*J146</f>
        <v>6.4499999999999993</v>
      </c>
      <c r="L146" s="81">
        <f>F146*(G146+H146)*2*I146</f>
        <v>48.16</v>
      </c>
      <c r="M146" s="82"/>
      <c r="N146" s="82"/>
      <c r="O146" s="87"/>
      <c r="P146" s="87"/>
      <c r="Q146" s="88"/>
      <c r="R146" s="86"/>
      <c r="S146" s="62"/>
      <c r="T146" s="62"/>
    </row>
    <row r="147" spans="1:20" s="4" customFormat="1" ht="15" customHeight="1" x14ac:dyDescent="0.25">
      <c r="A147" s="60"/>
      <c r="B147" s="61"/>
      <c r="C147" s="60"/>
      <c r="D147" s="61"/>
      <c r="E147" s="63" t="s">
        <v>196</v>
      </c>
      <c r="F147" s="45">
        <v>2</v>
      </c>
      <c r="G147" s="45">
        <v>1.3</v>
      </c>
      <c r="H147" s="45">
        <v>0.3</v>
      </c>
      <c r="I147" s="45">
        <v>8.6</v>
      </c>
      <c r="J147" s="141">
        <f>G147*H147</f>
        <v>0.39</v>
      </c>
      <c r="K147" s="142">
        <f>F147*I147*J147</f>
        <v>6.7080000000000002</v>
      </c>
      <c r="L147" s="81">
        <f t="shared" ref="L147:L148" si="30">F147*(G147+H147)*2*I147</f>
        <v>55.04</v>
      </c>
      <c r="M147" s="82"/>
      <c r="N147" s="82"/>
      <c r="O147" s="87"/>
      <c r="P147" s="87"/>
      <c r="Q147" s="88"/>
      <c r="R147" s="86"/>
      <c r="S147" s="62"/>
      <c r="T147" s="62"/>
    </row>
    <row r="148" spans="1:20" s="4" customFormat="1" ht="15" customHeight="1" x14ac:dyDescent="0.25">
      <c r="A148" s="60"/>
      <c r="B148" s="61"/>
      <c r="C148" s="60"/>
      <c r="D148" s="61"/>
      <c r="E148" s="63" t="s">
        <v>197</v>
      </c>
      <c r="F148" s="45">
        <v>2</v>
      </c>
      <c r="G148" s="45">
        <v>1.3</v>
      </c>
      <c r="H148" s="45">
        <v>0.3</v>
      </c>
      <c r="I148" s="45">
        <v>8.6</v>
      </c>
      <c r="J148" s="141">
        <f t="shared" ref="J148" si="31">G148*H148</f>
        <v>0.39</v>
      </c>
      <c r="K148" s="142">
        <f t="shared" ref="K148" si="32">F148*I148*J148</f>
        <v>6.7080000000000002</v>
      </c>
      <c r="L148" s="81">
        <f t="shared" si="30"/>
        <v>55.04</v>
      </c>
      <c r="M148" s="82"/>
      <c r="N148" s="82"/>
      <c r="O148" s="87"/>
      <c r="P148" s="87"/>
      <c r="Q148" s="88"/>
      <c r="R148" s="86"/>
      <c r="S148" s="62"/>
      <c r="T148" s="62"/>
    </row>
    <row r="149" spans="1:20" s="4" customFormat="1" ht="15" customHeight="1" x14ac:dyDescent="0.25">
      <c r="A149" s="60"/>
      <c r="B149" s="61"/>
      <c r="C149" s="60"/>
      <c r="D149" s="61"/>
      <c r="E149" s="63"/>
      <c r="F149" s="45"/>
      <c r="G149" s="45"/>
      <c r="H149" s="45"/>
      <c r="I149" s="45"/>
      <c r="J149" s="141"/>
      <c r="K149" s="142"/>
      <c r="L149" s="81"/>
      <c r="M149" s="82"/>
      <c r="N149" s="82"/>
      <c r="O149" s="87"/>
      <c r="P149" s="87"/>
      <c r="Q149" s="88"/>
      <c r="R149" s="86"/>
      <c r="S149" s="62"/>
      <c r="T149" s="62"/>
    </row>
    <row r="150" spans="1:20" s="4" customFormat="1" ht="20.25" customHeight="1" x14ac:dyDescent="0.25">
      <c r="A150" s="69" t="s">
        <v>555</v>
      </c>
      <c r="B150" s="272" t="s">
        <v>556</v>
      </c>
      <c r="C150" s="273"/>
      <c r="D150" s="273"/>
      <c r="E150" s="274"/>
      <c r="F150" s="70"/>
      <c r="G150" s="70"/>
      <c r="H150" s="70"/>
      <c r="I150" s="70"/>
      <c r="J150" s="71"/>
      <c r="K150" s="71"/>
      <c r="L150" s="71"/>
      <c r="M150" s="71"/>
      <c r="N150" s="71"/>
      <c r="O150" s="71"/>
      <c r="P150" s="71"/>
      <c r="Q150" s="71"/>
      <c r="R150" s="71"/>
      <c r="S150" s="36"/>
      <c r="T150" s="36"/>
    </row>
    <row r="151" spans="1:20" s="4" customFormat="1" ht="15" customHeight="1" x14ac:dyDescent="0.25">
      <c r="A151" s="60"/>
      <c r="B151" s="39" t="s">
        <v>159</v>
      </c>
      <c r="C151" s="36" t="s">
        <v>52</v>
      </c>
      <c r="D151" s="61" t="s">
        <v>557</v>
      </c>
      <c r="E151" s="63" t="s">
        <v>558</v>
      </c>
      <c r="F151" s="45">
        <v>1</v>
      </c>
      <c r="G151" s="45"/>
      <c r="H151" s="45"/>
      <c r="I151" s="45">
        <v>0.3</v>
      </c>
      <c r="J151" s="141">
        <v>12</v>
      </c>
      <c r="K151" s="142">
        <f>F151*I151*J151</f>
        <v>3.5999999999999996</v>
      </c>
      <c r="L151" s="81">
        <f>11.5*I151</f>
        <v>3.4499999999999997</v>
      </c>
      <c r="M151" s="82"/>
      <c r="N151" s="82"/>
      <c r="O151" s="87"/>
      <c r="P151" s="87"/>
      <c r="Q151" s="88"/>
      <c r="R151" s="86"/>
      <c r="S151" s="62"/>
      <c r="T151" s="62"/>
    </row>
    <row r="152" spans="1:20" s="4" customFormat="1" ht="15" customHeight="1" x14ac:dyDescent="0.25">
      <c r="A152" s="60"/>
      <c r="B152" s="61"/>
      <c r="C152" s="60"/>
      <c r="D152" s="61"/>
      <c r="E152" s="63"/>
      <c r="F152" s="45">
        <v>1</v>
      </c>
      <c r="G152" s="45"/>
      <c r="H152" s="45"/>
      <c r="I152" s="45">
        <v>0.2</v>
      </c>
      <c r="J152" s="141">
        <f>0.92+0.72</f>
        <v>1.6400000000000001</v>
      </c>
      <c r="K152" s="142">
        <f>F152*I152*J152</f>
        <v>0.32800000000000007</v>
      </c>
      <c r="L152" s="81">
        <f>(2.75+2.41)*I152</f>
        <v>1.032</v>
      </c>
      <c r="M152" s="82"/>
      <c r="N152" s="82"/>
      <c r="O152" s="87"/>
      <c r="P152" s="87"/>
      <c r="Q152" s="88"/>
      <c r="R152" s="86"/>
      <c r="S152" s="62"/>
      <c r="T152" s="62"/>
    </row>
    <row r="153" spans="1:20" s="4" customFormat="1" ht="15" customHeight="1" x14ac:dyDescent="0.25">
      <c r="A153" s="60"/>
      <c r="B153" s="61"/>
      <c r="C153" s="60"/>
      <c r="D153" s="61"/>
      <c r="E153" s="63"/>
      <c r="F153" s="45"/>
      <c r="G153" s="45"/>
      <c r="H153" s="45"/>
      <c r="I153" s="45"/>
      <c r="J153" s="141"/>
      <c r="K153" s="142"/>
      <c r="L153" s="81"/>
      <c r="M153" s="82"/>
      <c r="N153" s="82"/>
      <c r="O153" s="87"/>
      <c r="P153" s="87"/>
      <c r="Q153" s="88"/>
      <c r="R153" s="86"/>
      <c r="S153" s="62"/>
      <c r="T153" s="62"/>
    </row>
    <row r="154" spans="1:20" s="4" customFormat="1" ht="15" customHeight="1" x14ac:dyDescent="0.25">
      <c r="A154" s="60"/>
      <c r="B154" s="61"/>
      <c r="C154" s="60"/>
      <c r="D154" s="61"/>
      <c r="E154" s="63" t="s">
        <v>562</v>
      </c>
      <c r="F154" s="45" t="s">
        <v>25</v>
      </c>
      <c r="G154" s="45">
        <v>18.5</v>
      </c>
      <c r="H154" s="45">
        <v>0.2</v>
      </c>
      <c r="I154" s="45">
        <v>0.2</v>
      </c>
      <c r="J154" s="141">
        <f>0.92+0.72</f>
        <v>1.6400000000000001</v>
      </c>
      <c r="K154" s="142">
        <f>G154*H154*I154</f>
        <v>0.7400000000000001</v>
      </c>
      <c r="L154" s="81">
        <f>G154*I154*2</f>
        <v>7.4</v>
      </c>
      <c r="M154" s="82"/>
      <c r="N154" s="82"/>
      <c r="O154" s="87"/>
      <c r="P154" s="87"/>
      <c r="Q154" s="88"/>
      <c r="R154" s="86"/>
      <c r="S154" s="62"/>
      <c r="T154" s="62"/>
    </row>
    <row r="155" spans="1:20" s="4" customFormat="1" ht="15" customHeight="1" x14ac:dyDescent="0.25">
      <c r="A155" s="60"/>
      <c r="B155" s="61"/>
      <c r="C155" s="60"/>
      <c r="D155" s="61"/>
      <c r="E155" s="63" t="s">
        <v>585</v>
      </c>
      <c r="F155" s="45" t="s">
        <v>22</v>
      </c>
      <c r="G155" s="45"/>
      <c r="H155" s="45"/>
      <c r="I155" s="45"/>
      <c r="J155" s="141"/>
      <c r="K155" s="142"/>
      <c r="L155" s="81"/>
      <c r="M155" s="82"/>
      <c r="N155" s="82"/>
      <c r="O155" s="87"/>
      <c r="P155" s="87"/>
      <c r="Q155" s="88"/>
      <c r="R155" s="86"/>
      <c r="S155" s="62"/>
      <c r="T155" s="62"/>
    </row>
    <row r="156" spans="1:20" s="4" customFormat="1" ht="15" customHeight="1" x14ac:dyDescent="0.25">
      <c r="A156" s="60"/>
      <c r="B156" s="61"/>
      <c r="C156" s="60"/>
      <c r="D156" s="61"/>
      <c r="E156" s="63" t="s">
        <v>563</v>
      </c>
      <c r="F156" s="45" t="s">
        <v>586</v>
      </c>
      <c r="G156" s="45"/>
      <c r="H156" s="45"/>
      <c r="I156" s="45"/>
      <c r="J156" s="141"/>
      <c r="K156" s="142">
        <f>K154*'Rebar-Substructure'!BP53</f>
        <v>10.829644457685662</v>
      </c>
      <c r="L156" s="81"/>
      <c r="M156" s="82"/>
      <c r="N156" s="82"/>
      <c r="O156" s="87"/>
      <c r="P156" s="87"/>
      <c r="Q156" s="88"/>
      <c r="R156" s="86"/>
      <c r="S156" s="62"/>
      <c r="T156" s="62"/>
    </row>
    <row r="157" spans="1:20" s="4" customFormat="1" ht="15" customHeight="1" x14ac:dyDescent="0.25">
      <c r="A157" s="60"/>
      <c r="B157" s="61"/>
      <c r="C157" s="60"/>
      <c r="D157" s="61"/>
      <c r="E157" s="63"/>
      <c r="F157" s="45"/>
      <c r="G157" s="45"/>
      <c r="H157" s="45"/>
      <c r="I157" s="45"/>
      <c r="J157" s="141"/>
      <c r="K157" s="142"/>
      <c r="L157" s="81"/>
      <c r="M157" s="82"/>
      <c r="N157" s="82"/>
      <c r="O157" s="87"/>
      <c r="P157" s="87"/>
      <c r="Q157" s="88"/>
      <c r="R157" s="86"/>
      <c r="S157" s="62"/>
      <c r="T157" s="62"/>
    </row>
    <row r="158" spans="1:20" s="4" customFormat="1" ht="15" customHeight="1" x14ac:dyDescent="0.25">
      <c r="A158" s="60"/>
      <c r="B158" s="61"/>
      <c r="C158" s="60"/>
      <c r="D158" s="61"/>
      <c r="E158" s="63"/>
      <c r="F158" s="45"/>
      <c r="G158" s="45"/>
      <c r="H158" s="45"/>
      <c r="I158" s="45"/>
      <c r="J158" s="141"/>
      <c r="K158" s="142"/>
      <c r="L158" s="81"/>
      <c r="M158" s="82"/>
      <c r="N158" s="82"/>
      <c r="O158" s="87"/>
      <c r="P158" s="87"/>
      <c r="Q158" s="88"/>
      <c r="R158" s="86"/>
      <c r="S158" s="62"/>
      <c r="T158" s="62"/>
    </row>
    <row r="159" spans="1:20" s="4" customFormat="1" ht="15" customHeight="1" x14ac:dyDescent="0.25">
      <c r="A159" s="60"/>
      <c r="B159" s="61"/>
      <c r="C159" s="60"/>
      <c r="D159" s="61"/>
      <c r="E159" s="63"/>
      <c r="F159" s="45"/>
      <c r="G159" s="45"/>
      <c r="H159" s="45"/>
      <c r="I159" s="45"/>
      <c r="J159" s="141"/>
      <c r="K159" s="142"/>
      <c r="L159" s="81"/>
      <c r="M159" s="82"/>
      <c r="N159" s="82"/>
      <c r="O159" s="87"/>
      <c r="P159" s="87"/>
      <c r="Q159" s="88"/>
      <c r="R159" s="86"/>
      <c r="S159" s="62"/>
      <c r="T159" s="62"/>
    </row>
    <row r="160" spans="1:20" s="6" customFormat="1" ht="26.25" customHeight="1" x14ac:dyDescent="0.25">
      <c r="A160" s="275" t="s">
        <v>158</v>
      </c>
      <c r="B160" s="276"/>
      <c r="C160" s="276"/>
      <c r="D160" s="276"/>
      <c r="E160" s="276"/>
      <c r="F160" s="276"/>
      <c r="G160" s="276"/>
      <c r="H160" s="276"/>
      <c r="I160" s="277"/>
      <c r="J160" s="53"/>
      <c r="K160" s="54"/>
      <c r="L160" s="54"/>
      <c r="M160" s="54"/>
      <c r="N160" s="54"/>
      <c r="O160" s="54"/>
      <c r="P160" s="54"/>
      <c r="Q160" s="54"/>
      <c r="R160" s="54"/>
      <c r="S160" s="47"/>
      <c r="T160" s="56"/>
    </row>
    <row r="161" spans="13:13" s="6" customFormat="1" ht="12.75" x14ac:dyDescent="0.25"/>
    <row r="166" spans="13:13" x14ac:dyDescent="0.25">
      <c r="M166">
        <f>0.926-0.763</f>
        <v>0.16300000000000003</v>
      </c>
    </row>
  </sheetData>
  <mergeCells count="7">
    <mergeCell ref="B11:E11"/>
    <mergeCell ref="A160:I160"/>
    <mergeCell ref="B49:E49"/>
    <mergeCell ref="B68:E68"/>
    <mergeCell ref="B142:E142"/>
    <mergeCell ref="B145:E145"/>
    <mergeCell ref="B150:E150"/>
  </mergeCells>
  <phoneticPr fontId="1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9D4B-245D-49B8-82A8-629B285593E5}">
  <dimension ref="A2:L136"/>
  <sheetViews>
    <sheetView workbookViewId="0">
      <pane xSplit="3" ySplit="11" topLeftCell="D89" activePane="bottomRight" state="frozen"/>
      <selection pane="topRight" activeCell="D1" sqref="D1"/>
      <selection pane="bottomLeft" activeCell="A12" sqref="A12"/>
      <selection pane="bottomRight" activeCell="I86" sqref="I86"/>
    </sheetView>
  </sheetViews>
  <sheetFormatPr defaultRowHeight="15" x14ac:dyDescent="0.25"/>
  <cols>
    <col min="1" max="1" width="14.7109375" style="154" customWidth="1"/>
    <col min="2" max="2" width="46.140625" style="154" customWidth="1"/>
    <col min="3" max="3" width="17.7109375" style="155" customWidth="1"/>
    <col min="4" max="5" width="14.140625" style="155" customWidth="1"/>
    <col min="6" max="6" width="12.140625" style="154" customWidth="1"/>
    <col min="7" max="16384" width="9.140625" style="156"/>
  </cols>
  <sheetData>
    <row r="2" spans="1:6" s="152" customFormat="1" ht="15.75" x14ac:dyDescent="0.25">
      <c r="A2" s="148" t="s">
        <v>8</v>
      </c>
      <c r="B2" s="149" t="s">
        <v>143</v>
      </c>
      <c r="C2" s="150"/>
      <c r="D2" s="150"/>
      <c r="E2" s="150"/>
      <c r="F2" s="151"/>
    </row>
    <row r="3" spans="1:6" s="152" customFormat="1" ht="15.75" x14ac:dyDescent="0.25">
      <c r="A3" s="153" t="s">
        <v>9</v>
      </c>
      <c r="B3" s="149" t="s">
        <v>142</v>
      </c>
      <c r="C3" s="150"/>
      <c r="D3" s="150"/>
      <c r="E3" s="150"/>
      <c r="F3" s="151"/>
    </row>
    <row r="4" spans="1:6" s="152" customFormat="1" ht="15.75" x14ac:dyDescent="0.25">
      <c r="A4" s="153" t="s">
        <v>10</v>
      </c>
      <c r="B4" s="149" t="s">
        <v>11</v>
      </c>
      <c r="C4" s="150"/>
      <c r="D4" s="150"/>
      <c r="E4" s="150"/>
      <c r="F4" s="151"/>
    </row>
    <row r="5" spans="1:6" s="152" customFormat="1" ht="15.75" x14ac:dyDescent="0.25">
      <c r="A5" s="153" t="s">
        <v>12</v>
      </c>
      <c r="B5" s="149" t="s">
        <v>13</v>
      </c>
      <c r="C5" s="150"/>
      <c r="D5" s="150"/>
      <c r="E5" s="150"/>
      <c r="F5" s="151"/>
    </row>
    <row r="7" spans="1:6" ht="15.75" thickBot="1" x14ac:dyDescent="0.3"/>
    <row r="8" spans="1:6" ht="16.5" thickTop="1" thickBot="1" x14ac:dyDescent="0.3">
      <c r="A8" s="258"/>
      <c r="B8" s="259"/>
      <c r="C8" s="259"/>
      <c r="D8" s="259"/>
      <c r="E8" s="259"/>
      <c r="F8" s="260"/>
    </row>
    <row r="9" spans="1:6" ht="16.5" thickTop="1" thickBot="1" x14ac:dyDescent="0.3">
      <c r="A9" s="157" t="s">
        <v>15</v>
      </c>
      <c r="B9" s="158" t="s">
        <v>16</v>
      </c>
      <c r="C9" s="159" t="s">
        <v>234</v>
      </c>
      <c r="D9" s="160" t="s">
        <v>235</v>
      </c>
      <c r="E9" s="160" t="s">
        <v>236</v>
      </c>
      <c r="F9" s="161" t="s">
        <v>18</v>
      </c>
    </row>
    <row r="10" spans="1:6" ht="15.75" customHeight="1" thickTop="1" x14ac:dyDescent="0.25">
      <c r="A10" s="162"/>
      <c r="B10" s="162"/>
      <c r="C10" s="163"/>
      <c r="D10" s="163"/>
      <c r="E10" s="163"/>
      <c r="F10" s="162"/>
    </row>
    <row r="11" spans="1:6" ht="15.75" customHeight="1" x14ac:dyDescent="0.25">
      <c r="A11" s="164"/>
      <c r="B11" s="164" t="s">
        <v>233</v>
      </c>
      <c r="C11" s="165"/>
      <c r="D11" s="165"/>
      <c r="E11" s="165"/>
      <c r="F11" s="164"/>
    </row>
    <row r="12" spans="1:6" ht="15.75" customHeight="1" x14ac:dyDescent="0.25">
      <c r="A12" s="162"/>
      <c r="B12" s="162"/>
      <c r="C12" s="163"/>
      <c r="D12" s="163"/>
      <c r="E12" s="163"/>
      <c r="F12" s="162"/>
    </row>
    <row r="13" spans="1:6" ht="15.75" customHeight="1" x14ac:dyDescent="0.25">
      <c r="A13" s="166">
        <v>1</v>
      </c>
      <c r="B13" s="171" t="s">
        <v>21</v>
      </c>
      <c r="C13" s="168">
        <v>1392</v>
      </c>
      <c r="D13" s="168">
        <v>1394</v>
      </c>
      <c r="E13" s="168">
        <f>C13-D13</f>
        <v>-2</v>
      </c>
      <c r="F13" s="166" t="s">
        <v>22</v>
      </c>
    </row>
    <row r="14" spans="1:6" ht="15.75" customHeight="1" x14ac:dyDescent="0.25">
      <c r="A14" s="166">
        <v>2</v>
      </c>
      <c r="B14" s="171" t="s">
        <v>237</v>
      </c>
      <c r="C14" s="168">
        <f>EARTHWORKS!O15</f>
        <v>1776.3450000000003</v>
      </c>
      <c r="D14" s="168">
        <v>830</v>
      </c>
      <c r="E14" s="168">
        <f t="shared" ref="E14:E20" si="0">C14-D14</f>
        <v>946.34500000000025</v>
      </c>
      <c r="F14" s="166" t="s">
        <v>25</v>
      </c>
    </row>
    <row r="15" spans="1:6" x14ac:dyDescent="0.25">
      <c r="A15" s="166">
        <v>3</v>
      </c>
      <c r="B15" s="171" t="s">
        <v>238</v>
      </c>
      <c r="C15" s="168">
        <f>EARTHWORKS!O25</f>
        <v>1009.4745000000003</v>
      </c>
      <c r="D15" s="168">
        <v>310</v>
      </c>
      <c r="E15" s="168">
        <f t="shared" si="0"/>
        <v>699.47450000000026</v>
      </c>
      <c r="F15" s="166" t="s">
        <v>25</v>
      </c>
    </row>
    <row r="16" spans="1:6" x14ac:dyDescent="0.25">
      <c r="A16" s="166">
        <v>4</v>
      </c>
      <c r="B16" s="171" t="s">
        <v>157</v>
      </c>
      <c r="C16" s="168">
        <f>PCC!S11</f>
        <v>881.35750000000007</v>
      </c>
      <c r="D16" s="168">
        <v>862</v>
      </c>
      <c r="E16" s="168">
        <f t="shared" si="0"/>
        <v>19.357500000000073</v>
      </c>
      <c r="F16" s="166" t="s">
        <v>25</v>
      </c>
    </row>
    <row r="17" spans="1:6" x14ac:dyDescent="0.25">
      <c r="A17" s="166">
        <v>5</v>
      </c>
      <c r="B17" s="171" t="s">
        <v>28</v>
      </c>
      <c r="C17" s="168">
        <f>C14-C15</f>
        <v>766.87049999999999</v>
      </c>
      <c r="D17" s="168">
        <v>519</v>
      </c>
      <c r="E17" s="168">
        <f t="shared" si="0"/>
        <v>247.87049999999999</v>
      </c>
      <c r="F17" s="166" t="s">
        <v>25</v>
      </c>
    </row>
    <row r="18" spans="1:6" x14ac:dyDescent="0.25">
      <c r="A18" s="166">
        <v>6</v>
      </c>
      <c r="B18" s="171" t="s">
        <v>239</v>
      </c>
      <c r="C18" s="168"/>
      <c r="D18" s="168">
        <v>1</v>
      </c>
      <c r="E18" s="168">
        <f t="shared" si="0"/>
        <v>-1</v>
      </c>
      <c r="F18" s="166" t="s">
        <v>242</v>
      </c>
    </row>
    <row r="19" spans="1:6" x14ac:dyDescent="0.25">
      <c r="A19" s="166">
        <v>7</v>
      </c>
      <c r="B19" s="171" t="s">
        <v>240</v>
      </c>
      <c r="C19" s="168">
        <f>PCC!M11</f>
        <v>881.35750000000007</v>
      </c>
      <c r="D19" s="168">
        <v>921</v>
      </c>
      <c r="E19" s="168">
        <f t="shared" si="0"/>
        <v>-39.642499999999927</v>
      </c>
      <c r="F19" s="166" t="s">
        <v>22</v>
      </c>
    </row>
    <row r="20" spans="1:6" x14ac:dyDescent="0.25">
      <c r="A20" s="166">
        <v>8</v>
      </c>
      <c r="B20" s="171" t="s">
        <v>241</v>
      </c>
      <c r="C20" s="168">
        <f>PCC!N11+'Concrete Substructure'!N11</f>
        <v>614.07399999999996</v>
      </c>
      <c r="D20" s="168">
        <v>982</v>
      </c>
      <c r="E20" s="168">
        <f t="shared" si="0"/>
        <v>-367.92600000000004</v>
      </c>
      <c r="F20" s="166" t="s">
        <v>22</v>
      </c>
    </row>
    <row r="21" spans="1:6" x14ac:dyDescent="0.25">
      <c r="A21" s="166"/>
      <c r="B21" s="167"/>
      <c r="C21" s="168"/>
      <c r="D21" s="168"/>
      <c r="E21" s="168"/>
      <c r="F21" s="166"/>
    </row>
    <row r="22" spans="1:6" x14ac:dyDescent="0.25">
      <c r="A22" s="164"/>
      <c r="B22" s="164" t="s">
        <v>246</v>
      </c>
      <c r="C22" s="165"/>
      <c r="D22" s="165"/>
      <c r="E22" s="165"/>
      <c r="F22" s="164"/>
    </row>
    <row r="23" spans="1:6" x14ac:dyDescent="0.25">
      <c r="A23" s="166"/>
      <c r="B23" s="170" t="s">
        <v>247</v>
      </c>
      <c r="C23" s="168"/>
      <c r="D23" s="168"/>
      <c r="E23" s="168"/>
      <c r="F23" s="166"/>
    </row>
    <row r="24" spans="1:6" x14ac:dyDescent="0.25">
      <c r="A24" s="166"/>
      <c r="B24" s="170" t="s">
        <v>248</v>
      </c>
      <c r="C24" s="168"/>
      <c r="D24" s="168"/>
      <c r="E24" s="168"/>
      <c r="F24" s="166"/>
    </row>
    <row r="25" spans="1:6" x14ac:dyDescent="0.25">
      <c r="A25" s="166"/>
      <c r="B25" s="171" t="s">
        <v>249</v>
      </c>
      <c r="C25" s="168">
        <f>PCC!K11</f>
        <v>44.067875000000001</v>
      </c>
      <c r="D25" s="168">
        <v>46</v>
      </c>
      <c r="E25" s="168"/>
      <c r="F25" s="166"/>
    </row>
    <row r="26" spans="1:6" x14ac:dyDescent="0.25">
      <c r="A26" s="166"/>
      <c r="B26" s="171"/>
      <c r="C26" s="168"/>
      <c r="D26" s="168"/>
      <c r="E26" s="168"/>
      <c r="F26" s="166"/>
    </row>
    <row r="27" spans="1:6" x14ac:dyDescent="0.25">
      <c r="A27" s="166"/>
      <c r="B27" s="170" t="s">
        <v>250</v>
      </c>
      <c r="C27" s="168"/>
      <c r="D27" s="168"/>
      <c r="E27" s="168"/>
      <c r="F27" s="166"/>
    </row>
    <row r="28" spans="1:6" x14ac:dyDescent="0.25">
      <c r="A28" s="166"/>
      <c r="B28" s="171" t="s">
        <v>251</v>
      </c>
      <c r="C28" s="168">
        <f>'Concrete Substructure'!K26+'Concrete Substructure'!K27</f>
        <v>66.739999999999995</v>
      </c>
      <c r="D28" s="168">
        <v>65</v>
      </c>
      <c r="E28" s="168"/>
      <c r="F28" s="166"/>
    </row>
    <row r="29" spans="1:6" x14ac:dyDescent="0.25">
      <c r="A29" s="166"/>
      <c r="B29" s="171" t="s">
        <v>78</v>
      </c>
      <c r="C29" s="168">
        <f>SUM('Concrete Substructure'!K14:K25)</f>
        <v>71.822000000000003</v>
      </c>
      <c r="D29" s="168">
        <v>67</v>
      </c>
      <c r="E29" s="168">
        <f>C29-D29</f>
        <v>4.8220000000000027</v>
      </c>
      <c r="F29" s="166"/>
    </row>
    <row r="30" spans="1:6" x14ac:dyDescent="0.25">
      <c r="A30" s="166"/>
      <c r="B30" s="171" t="s">
        <v>252</v>
      </c>
      <c r="C30" s="168">
        <f>ROUNDUP(SUM('Concrete Substructure'!K45:K57),0)</f>
        <v>8</v>
      </c>
      <c r="D30" s="168">
        <v>9</v>
      </c>
      <c r="E30" s="168"/>
      <c r="F30" s="166"/>
    </row>
    <row r="31" spans="1:6" x14ac:dyDescent="0.25">
      <c r="A31" s="166"/>
      <c r="B31" s="171" t="s">
        <v>162</v>
      </c>
      <c r="C31" s="168">
        <f>ROUNDUP(SUM('Concrete Substructure'!K60:K62),0)</f>
        <v>3</v>
      </c>
      <c r="D31" s="168">
        <v>3</v>
      </c>
      <c r="E31" s="168"/>
      <c r="F31" s="166"/>
    </row>
    <row r="32" spans="1:6" x14ac:dyDescent="0.25">
      <c r="A32" s="166"/>
      <c r="B32" s="171" t="s">
        <v>253</v>
      </c>
      <c r="C32" s="168">
        <f>ROUNDUP(SUM('Concrete Substructure'!K29:K38),0)</f>
        <v>44</v>
      </c>
      <c r="D32" s="168">
        <v>43</v>
      </c>
      <c r="E32" s="168"/>
      <c r="F32" s="166"/>
    </row>
    <row r="33" spans="1:6" x14ac:dyDescent="0.25">
      <c r="A33" s="166"/>
      <c r="B33" s="171" t="s">
        <v>254</v>
      </c>
      <c r="C33" s="168">
        <f>'Concrete Substructure'!K42</f>
        <v>29.527500000000003</v>
      </c>
      <c r="D33" s="168">
        <v>29</v>
      </c>
      <c r="E33" s="168"/>
      <c r="F33" s="166"/>
    </row>
    <row r="34" spans="1:6" x14ac:dyDescent="0.25">
      <c r="A34" s="166"/>
      <c r="B34" s="171" t="s">
        <v>193</v>
      </c>
      <c r="C34" s="168">
        <f>ROUND('Concrete Substructure'!K59,0)</f>
        <v>3</v>
      </c>
      <c r="D34" s="168">
        <v>3</v>
      </c>
      <c r="E34" s="168"/>
      <c r="F34" s="166"/>
    </row>
    <row r="35" spans="1:6" x14ac:dyDescent="0.25">
      <c r="A35" s="166"/>
      <c r="B35" s="171" t="s">
        <v>255</v>
      </c>
      <c r="C35" s="168">
        <f>ROUNDUP('Concrete Substructure'!K40,0)</f>
        <v>80</v>
      </c>
      <c r="D35" s="168">
        <v>57</v>
      </c>
      <c r="E35" s="168"/>
      <c r="F35" s="166"/>
    </row>
    <row r="36" spans="1:6" x14ac:dyDescent="0.25">
      <c r="A36" s="166"/>
      <c r="B36" s="167"/>
      <c r="C36" s="168"/>
      <c r="D36" s="168"/>
      <c r="E36" s="168"/>
      <c r="F36" s="166"/>
    </row>
    <row r="37" spans="1:6" x14ac:dyDescent="0.25">
      <c r="A37" s="166"/>
      <c r="B37" s="170" t="s">
        <v>256</v>
      </c>
      <c r="C37" s="168"/>
      <c r="D37" s="168"/>
      <c r="E37" s="168"/>
      <c r="F37" s="166"/>
    </row>
    <row r="38" spans="1:6" x14ac:dyDescent="0.25">
      <c r="A38" s="166"/>
      <c r="B38" s="171" t="s">
        <v>251</v>
      </c>
      <c r="C38" s="168">
        <f>'Rebar-Substructure'!F89</f>
        <v>5856.5956895797817</v>
      </c>
      <c r="D38" s="168">
        <v>5608</v>
      </c>
      <c r="E38" s="168">
        <f>C38-D38</f>
        <v>248.59568957978172</v>
      </c>
      <c r="F38" s="166"/>
    </row>
    <row r="39" spans="1:6" x14ac:dyDescent="0.25">
      <c r="A39" s="166"/>
      <c r="B39" s="171" t="s">
        <v>78</v>
      </c>
      <c r="C39" s="168">
        <f>'Rebar-Substructure'!F88</f>
        <v>4690.4007220748017</v>
      </c>
      <c r="D39" s="168">
        <v>5879</v>
      </c>
      <c r="E39" s="168">
        <f t="shared" ref="E39:E43" si="1">C39-D39</f>
        <v>-1188.5992779251983</v>
      </c>
      <c r="F39" s="166"/>
    </row>
    <row r="40" spans="1:6" x14ac:dyDescent="0.25">
      <c r="A40" s="166"/>
      <c r="B40" s="171" t="s">
        <v>252</v>
      </c>
      <c r="C40" s="168">
        <f>'Rebar-Substructure'!AC62</f>
        <v>1884.4987496827123</v>
      </c>
      <c r="D40" s="168">
        <v>1626</v>
      </c>
      <c r="E40" s="168">
        <f t="shared" si="1"/>
        <v>258.49874968271229</v>
      </c>
      <c r="F40" s="166"/>
    </row>
    <row r="41" spans="1:6" x14ac:dyDescent="0.25">
      <c r="A41" s="166"/>
      <c r="B41" s="171" t="s">
        <v>162</v>
      </c>
      <c r="C41" s="168">
        <f>'Rebar-Substructure'!AX30</f>
        <v>468.79266801609884</v>
      </c>
      <c r="D41" s="168">
        <v>508</v>
      </c>
      <c r="E41" s="168">
        <f t="shared" si="1"/>
        <v>-39.207331983901156</v>
      </c>
      <c r="F41" s="166"/>
    </row>
    <row r="42" spans="1:6" x14ac:dyDescent="0.25">
      <c r="A42" s="166"/>
      <c r="B42" s="171" t="s">
        <v>253</v>
      </c>
      <c r="C42" s="168">
        <f>'Rebar-Substructure'!BR55</f>
        <v>7495.6543094620447</v>
      </c>
      <c r="D42" s="168">
        <v>8109</v>
      </c>
      <c r="E42" s="168">
        <f t="shared" si="1"/>
        <v>-613.34569053795531</v>
      </c>
      <c r="F42" s="166"/>
    </row>
    <row r="43" spans="1:6" x14ac:dyDescent="0.25">
      <c r="A43" s="166"/>
      <c r="B43" s="171" t="s">
        <v>254</v>
      </c>
      <c r="C43" s="168">
        <f>'Rebar-Substructure'!CM12</f>
        <v>3160.0058429200667</v>
      </c>
      <c r="D43" s="168">
        <v>3115</v>
      </c>
      <c r="E43" s="168">
        <f t="shared" si="1"/>
        <v>45.005842920066698</v>
      </c>
      <c r="F43" s="166"/>
    </row>
    <row r="44" spans="1:6" x14ac:dyDescent="0.25">
      <c r="A44" s="166"/>
      <c r="B44" s="171" t="s">
        <v>193</v>
      </c>
      <c r="C44" s="168">
        <f>'Rebar-Substructure'!DH19</f>
        <v>958.92996494541035</v>
      </c>
      <c r="D44" s="168">
        <v>676</v>
      </c>
      <c r="E44" s="168">
        <f>C44-D44</f>
        <v>282.92996494541035</v>
      </c>
      <c r="F44" s="166"/>
    </row>
    <row r="45" spans="1:6" x14ac:dyDescent="0.25">
      <c r="A45" s="166"/>
      <c r="B45" s="171" t="s">
        <v>255</v>
      </c>
      <c r="C45" s="168">
        <f>'Rebar-Substructure'!EB19</f>
        <v>3493.3349580710833</v>
      </c>
      <c r="D45" s="168">
        <v>3076</v>
      </c>
      <c r="E45" s="168">
        <f t="shared" ref="E45" si="2">C45-D45</f>
        <v>417.33495807108329</v>
      </c>
      <c r="F45" s="166"/>
    </row>
    <row r="46" spans="1:6" x14ac:dyDescent="0.25">
      <c r="A46" s="166"/>
      <c r="B46" s="167"/>
      <c r="C46" s="168"/>
      <c r="D46" s="168"/>
      <c r="E46" s="168"/>
      <c r="F46" s="166"/>
    </row>
    <row r="47" spans="1:6" x14ac:dyDescent="0.25">
      <c r="A47" s="166"/>
      <c r="B47" s="170" t="s">
        <v>77</v>
      </c>
      <c r="C47" s="168"/>
      <c r="D47" s="168"/>
      <c r="E47" s="168"/>
      <c r="F47" s="166"/>
    </row>
    <row r="48" spans="1:6" x14ac:dyDescent="0.25">
      <c r="A48" s="166"/>
      <c r="B48" s="171" t="s">
        <v>257</v>
      </c>
      <c r="C48" s="168">
        <f>SUM('Concrete Substructure'!L26:L27)</f>
        <v>41.370000000000005</v>
      </c>
      <c r="D48" s="168">
        <v>41</v>
      </c>
      <c r="E48" s="168"/>
      <c r="F48" s="166"/>
    </row>
    <row r="49" spans="1:7" x14ac:dyDescent="0.25">
      <c r="A49" s="166"/>
      <c r="B49" s="171" t="s">
        <v>258</v>
      </c>
      <c r="C49" s="168">
        <f>SUM('Concrete Substructure'!L14:L25)</f>
        <v>149.35</v>
      </c>
      <c r="D49" s="168">
        <v>143</v>
      </c>
      <c r="E49" s="168"/>
      <c r="F49" s="166"/>
    </row>
    <row r="50" spans="1:7" x14ac:dyDescent="0.25">
      <c r="A50" s="166"/>
      <c r="B50" s="171" t="s">
        <v>259</v>
      </c>
      <c r="C50" s="168">
        <f>SUM('Concrete Substructure'!L45:L57)</f>
        <v>95.370000000000019</v>
      </c>
      <c r="D50" s="168">
        <v>122</v>
      </c>
      <c r="E50" s="168"/>
      <c r="F50" s="166"/>
    </row>
    <row r="51" spans="1:7" x14ac:dyDescent="0.25">
      <c r="A51" s="166"/>
      <c r="B51" s="171" t="s">
        <v>260</v>
      </c>
      <c r="C51" s="168">
        <f>SUM('Concrete Substructure'!L60:L62)</f>
        <v>19.8</v>
      </c>
      <c r="D51" s="168">
        <v>27</v>
      </c>
      <c r="E51" s="168"/>
      <c r="F51" s="166"/>
    </row>
    <row r="52" spans="1:7" x14ac:dyDescent="0.25">
      <c r="A52" s="166"/>
      <c r="B52" s="171" t="s">
        <v>261</v>
      </c>
      <c r="C52" s="168">
        <f>SUM('Concrete Substructure'!L29:L38)</f>
        <v>362.86400000000003</v>
      </c>
      <c r="D52" s="168">
        <v>392</v>
      </c>
      <c r="E52" s="168"/>
      <c r="F52" s="166"/>
    </row>
    <row r="53" spans="1:7" x14ac:dyDescent="0.25">
      <c r="A53" s="166"/>
      <c r="B53" s="171" t="s">
        <v>262</v>
      </c>
      <c r="C53" s="168">
        <f>'Concrete Substructure'!M42</f>
        <v>227.23</v>
      </c>
      <c r="D53" s="168">
        <v>231</v>
      </c>
      <c r="E53" s="168"/>
      <c r="F53" s="166"/>
    </row>
    <row r="54" spans="1:7" x14ac:dyDescent="0.25">
      <c r="A54" s="166"/>
      <c r="B54" s="171" t="s">
        <v>263</v>
      </c>
      <c r="C54" s="168">
        <f>SUM('Concrete Substructure'!L59)</f>
        <v>23.4</v>
      </c>
      <c r="D54" s="168">
        <v>27</v>
      </c>
      <c r="E54" s="168"/>
      <c r="F54" s="166"/>
    </row>
    <row r="55" spans="1:7" x14ac:dyDescent="0.25">
      <c r="A55" s="166"/>
      <c r="B55" s="171" t="s">
        <v>255</v>
      </c>
      <c r="C55" s="168"/>
      <c r="D55" s="168"/>
      <c r="E55" s="168"/>
      <c r="F55" s="166"/>
      <c r="G55" s="156" t="s">
        <v>480</v>
      </c>
    </row>
    <row r="56" spans="1:7" x14ac:dyDescent="0.25">
      <c r="A56" s="166"/>
      <c r="B56" s="167"/>
      <c r="C56" s="168"/>
      <c r="D56" s="168"/>
      <c r="E56" s="168"/>
      <c r="F56" s="166"/>
    </row>
    <row r="57" spans="1:7" x14ac:dyDescent="0.25">
      <c r="A57" s="166"/>
      <c r="B57" s="170" t="s">
        <v>264</v>
      </c>
      <c r="C57" s="168"/>
      <c r="D57" s="168"/>
      <c r="E57" s="168"/>
      <c r="F57" s="166"/>
    </row>
    <row r="58" spans="1:7" x14ac:dyDescent="0.25">
      <c r="A58" s="166"/>
      <c r="B58" s="170" t="s">
        <v>250</v>
      </c>
      <c r="C58" s="168"/>
      <c r="D58" s="168"/>
      <c r="E58" s="168"/>
      <c r="F58" s="166"/>
    </row>
    <row r="59" spans="1:7" x14ac:dyDescent="0.25">
      <c r="A59" s="166"/>
      <c r="B59" s="171" t="s">
        <v>265</v>
      </c>
      <c r="C59" s="168">
        <f>ROUNDUP(SUM('Concrete SuperStructure'!K13:K48),0)</f>
        <v>53</v>
      </c>
      <c r="D59" s="168">
        <v>41</v>
      </c>
      <c r="E59" s="168"/>
      <c r="F59" s="166"/>
    </row>
    <row r="60" spans="1:7" x14ac:dyDescent="0.25">
      <c r="A60" s="166"/>
      <c r="B60" s="171" t="s">
        <v>266</v>
      </c>
      <c r="C60" s="168">
        <f>SUM('Concrete SuperStructure'!K60:K66)</f>
        <v>273.76299999999998</v>
      </c>
      <c r="D60" s="168">
        <v>323</v>
      </c>
      <c r="E60" s="168"/>
      <c r="F60" s="166"/>
    </row>
    <row r="61" spans="1:7" x14ac:dyDescent="0.25">
      <c r="A61" s="166"/>
      <c r="B61" s="171" t="s">
        <v>267</v>
      </c>
      <c r="C61" s="168">
        <f>SUM('Concrete SuperStructure'!K69:K141)</f>
        <v>114.42510000000003</v>
      </c>
      <c r="D61" s="168">
        <v>106</v>
      </c>
      <c r="E61" s="168">
        <f>C61-D61</f>
        <v>8.4251000000000289</v>
      </c>
      <c r="F61" s="166"/>
    </row>
    <row r="62" spans="1:7" x14ac:dyDescent="0.25">
      <c r="A62" s="166"/>
      <c r="B62" s="171" t="s">
        <v>268</v>
      </c>
      <c r="C62" s="168">
        <f>SUM('Concrete SuperStructure'!K146:K148)</f>
        <v>19.866</v>
      </c>
      <c r="D62" s="168">
        <v>18</v>
      </c>
      <c r="E62" s="168"/>
      <c r="F62" s="166"/>
    </row>
    <row r="63" spans="1:7" x14ac:dyDescent="0.25">
      <c r="A63" s="166"/>
      <c r="B63" s="171" t="s">
        <v>269</v>
      </c>
      <c r="C63" s="168">
        <f>'Concrete SuperStructure'!K143</f>
        <v>19.095999999999997</v>
      </c>
      <c r="D63" s="168">
        <v>16</v>
      </c>
      <c r="E63" s="168">
        <f>C63-D63</f>
        <v>3.0959999999999965</v>
      </c>
      <c r="F63" s="166"/>
    </row>
    <row r="64" spans="1:7" x14ac:dyDescent="0.25">
      <c r="A64" s="166"/>
      <c r="B64" s="171" t="s">
        <v>139</v>
      </c>
      <c r="C64" s="168">
        <f>'Concrete SuperStructure'!K135+'Concrete SuperStructure'!K122+'Concrete SuperStructure'!K101</f>
        <v>10.132000000000001</v>
      </c>
      <c r="D64" s="168">
        <v>10</v>
      </c>
      <c r="E64" s="168"/>
      <c r="F64" s="166"/>
    </row>
    <row r="65" spans="1:12" x14ac:dyDescent="0.25">
      <c r="A65" s="166"/>
      <c r="B65" s="171"/>
      <c r="C65" s="168"/>
      <c r="D65" s="168"/>
      <c r="E65" s="168"/>
      <c r="F65" s="166"/>
    </row>
    <row r="66" spans="1:12" x14ac:dyDescent="0.25">
      <c r="A66" s="166"/>
      <c r="B66" s="170" t="s">
        <v>256</v>
      </c>
      <c r="C66" s="168"/>
      <c r="D66" s="168"/>
      <c r="E66" s="168"/>
      <c r="F66" s="166"/>
    </row>
    <row r="67" spans="1:12" x14ac:dyDescent="0.25">
      <c r="A67" s="166"/>
      <c r="B67" s="171" t="s">
        <v>265</v>
      </c>
      <c r="C67" s="168">
        <f>'Rebar-Superstructure'!H168</f>
        <v>7828.5384309719338</v>
      </c>
      <c r="D67" s="168">
        <v>7275</v>
      </c>
      <c r="E67" s="168">
        <f>C67-D67</f>
        <v>553.53843097193385</v>
      </c>
      <c r="F67" s="166"/>
    </row>
    <row r="68" spans="1:12" x14ac:dyDescent="0.25">
      <c r="A68" s="166"/>
      <c r="B68" s="171" t="s">
        <v>266</v>
      </c>
      <c r="C68" s="168">
        <f>'Rebar-Superstructure'!CL21</f>
        <v>25543.467863512291</v>
      </c>
      <c r="D68" s="168">
        <v>25992</v>
      </c>
      <c r="E68" s="168"/>
      <c r="F68" s="166"/>
    </row>
    <row r="69" spans="1:12" x14ac:dyDescent="0.25">
      <c r="A69" s="166"/>
      <c r="B69" s="171" t="s">
        <v>267</v>
      </c>
      <c r="C69" s="168"/>
      <c r="D69" s="168">
        <v>19610</v>
      </c>
      <c r="E69" s="168"/>
      <c r="F69" s="166"/>
    </row>
    <row r="70" spans="1:12" x14ac:dyDescent="0.25">
      <c r="A70" s="166"/>
      <c r="B70" s="171" t="s">
        <v>268</v>
      </c>
      <c r="C70" s="168">
        <f>'Rebar-Superstructure'!AC47</f>
        <v>2674.0222335053068</v>
      </c>
      <c r="D70" s="168">
        <v>3056</v>
      </c>
      <c r="E70" s="168"/>
      <c r="F70" s="166"/>
    </row>
    <row r="71" spans="1:12" x14ac:dyDescent="0.25">
      <c r="A71" s="166"/>
      <c r="B71" s="171" t="s">
        <v>269</v>
      </c>
      <c r="C71" s="168">
        <f>'Rebar-Superstructure'!BR36</f>
        <v>3324.5313071708433</v>
      </c>
      <c r="D71" s="168">
        <v>3496</v>
      </c>
      <c r="E71" s="168"/>
      <c r="F71" s="166"/>
    </row>
    <row r="72" spans="1:12" x14ac:dyDescent="0.25">
      <c r="A72" s="166"/>
      <c r="B72" s="171" t="s">
        <v>139</v>
      </c>
      <c r="C72" s="168"/>
      <c r="D72" s="168">
        <v>1077</v>
      </c>
      <c r="E72" s="168"/>
      <c r="F72" s="166"/>
    </row>
    <row r="73" spans="1:12" x14ac:dyDescent="0.25">
      <c r="A73" s="166"/>
      <c r="B73" s="171"/>
      <c r="C73" s="168"/>
      <c r="D73" s="168"/>
      <c r="E73" s="168"/>
      <c r="F73" s="166"/>
      <c r="L73" s="156">
        <f>0.926-0.763</f>
        <v>0.16300000000000003</v>
      </c>
    </row>
    <row r="74" spans="1:12" x14ac:dyDescent="0.25">
      <c r="A74" s="166"/>
      <c r="B74" s="170" t="s">
        <v>77</v>
      </c>
      <c r="C74" s="168"/>
      <c r="D74" s="168"/>
      <c r="E74" s="168"/>
      <c r="F74" s="166"/>
    </row>
    <row r="75" spans="1:12" x14ac:dyDescent="0.25">
      <c r="A75" s="166"/>
      <c r="B75" s="171" t="s">
        <v>271</v>
      </c>
      <c r="C75" s="168">
        <f>SUM('Concrete SuperStructure'!L13:L48)</f>
        <v>596.64199999999994</v>
      </c>
      <c r="D75" s="168">
        <v>508</v>
      </c>
      <c r="E75" s="168"/>
      <c r="F75" s="166"/>
    </row>
    <row r="76" spans="1:12" x14ac:dyDescent="0.25">
      <c r="A76" s="166"/>
      <c r="B76" s="171" t="s">
        <v>272</v>
      </c>
      <c r="C76" s="168">
        <f>'Rebar-Superstructure'!CK18+'Rebar-Superstructure'!CK19</f>
        <v>1122</v>
      </c>
      <c r="D76" s="168">
        <v>1294</v>
      </c>
      <c r="E76" s="168"/>
      <c r="F76" s="166"/>
    </row>
    <row r="77" spans="1:12" x14ac:dyDescent="0.25">
      <c r="A77" s="166"/>
      <c r="B77" s="171" t="s">
        <v>270</v>
      </c>
      <c r="C77" s="168"/>
      <c r="D77" s="168">
        <v>830</v>
      </c>
      <c r="E77" s="168"/>
      <c r="F77" s="166"/>
    </row>
    <row r="78" spans="1:12" x14ac:dyDescent="0.25">
      <c r="A78" s="166"/>
      <c r="B78" s="171" t="s">
        <v>273</v>
      </c>
      <c r="C78" s="168">
        <f>'Concrete SuperStructure'!L143</f>
        <v>157.47999999999996</v>
      </c>
      <c r="D78" s="168">
        <v>155</v>
      </c>
      <c r="E78" s="168"/>
      <c r="F78" s="166"/>
    </row>
    <row r="79" spans="1:12" x14ac:dyDescent="0.25">
      <c r="A79" s="166"/>
      <c r="B79" s="171" t="s">
        <v>274</v>
      </c>
      <c r="C79" s="168">
        <f>SUM('Concrete SuperStructure'!L146:L148)</f>
        <v>158.23999999999998</v>
      </c>
      <c r="D79" s="168">
        <v>56</v>
      </c>
      <c r="E79" s="168">
        <f>C79-D79</f>
        <v>102.23999999999998</v>
      </c>
      <c r="F79" s="166"/>
    </row>
    <row r="80" spans="1:12" x14ac:dyDescent="0.25">
      <c r="A80" s="166"/>
      <c r="B80" s="171" t="s">
        <v>275</v>
      </c>
      <c r="C80" s="168"/>
      <c r="D80" s="168">
        <v>96</v>
      </c>
      <c r="E80" s="168"/>
      <c r="F80" s="166"/>
    </row>
    <row r="81" spans="1:6" x14ac:dyDescent="0.25">
      <c r="A81" s="166"/>
      <c r="B81" s="171"/>
      <c r="C81" s="168"/>
      <c r="D81" s="168"/>
      <c r="E81" s="168"/>
      <c r="F81" s="166"/>
    </row>
    <row r="82" spans="1:6" x14ac:dyDescent="0.25">
      <c r="A82" s="166"/>
      <c r="B82" s="170" t="s">
        <v>276</v>
      </c>
      <c r="C82" s="168"/>
      <c r="D82" s="168"/>
      <c r="E82" s="168"/>
      <c r="F82" s="166"/>
    </row>
    <row r="83" spans="1:6" x14ac:dyDescent="0.25">
      <c r="A83" s="164"/>
      <c r="B83" s="164" t="s">
        <v>246</v>
      </c>
      <c r="C83" s="165"/>
      <c r="D83" s="165"/>
      <c r="E83" s="165"/>
      <c r="F83" s="164"/>
    </row>
    <row r="84" spans="1:6" x14ac:dyDescent="0.25">
      <c r="A84" s="166"/>
      <c r="B84" s="170" t="s">
        <v>247</v>
      </c>
      <c r="C84" s="168"/>
      <c r="D84" s="168"/>
      <c r="E84" s="168"/>
      <c r="F84" s="166"/>
    </row>
    <row r="85" spans="1:6" x14ac:dyDescent="0.25">
      <c r="A85" s="166"/>
      <c r="B85" s="166"/>
      <c r="C85" s="169"/>
      <c r="D85" s="169"/>
      <c r="E85" s="169"/>
      <c r="F85" s="166"/>
    </row>
    <row r="86" spans="1:6" x14ac:dyDescent="0.25">
      <c r="A86" s="164"/>
      <c r="B86" s="164" t="s">
        <v>500</v>
      </c>
      <c r="C86" s="165"/>
      <c r="D86" s="165"/>
      <c r="E86" s="165"/>
      <c r="F86" s="164"/>
    </row>
    <row r="87" spans="1:6" x14ac:dyDescent="0.25">
      <c r="A87" s="166"/>
      <c r="B87" s="170" t="s">
        <v>247</v>
      </c>
      <c r="C87" s="168"/>
      <c r="D87" s="168"/>
      <c r="E87" s="168"/>
      <c r="F87" s="166"/>
    </row>
    <row r="88" spans="1:6" x14ac:dyDescent="0.25">
      <c r="A88" s="166"/>
      <c r="B88" s="170"/>
      <c r="C88" s="168"/>
      <c r="D88" s="168"/>
      <c r="E88" s="168"/>
      <c r="F88" s="166"/>
    </row>
    <row r="89" spans="1:6" ht="45" x14ac:dyDescent="0.25">
      <c r="A89" s="166"/>
      <c r="B89" s="230" t="s">
        <v>501</v>
      </c>
      <c r="C89" s="168"/>
      <c r="D89" s="168"/>
      <c r="E89" s="168"/>
      <c r="F89" s="166"/>
    </row>
    <row r="90" spans="1:6" x14ac:dyDescent="0.25">
      <c r="A90" s="166"/>
      <c r="B90" s="229" t="s">
        <v>502</v>
      </c>
      <c r="C90" s="168">
        <f>'Concrete Substructure'!O11</f>
        <v>924.67000000000007</v>
      </c>
      <c r="D90" s="168">
        <v>979</v>
      </c>
      <c r="E90" s="168"/>
      <c r="F90" s="166"/>
    </row>
    <row r="91" spans="1:6" x14ac:dyDescent="0.25">
      <c r="A91" s="166"/>
      <c r="B91" s="171" t="s">
        <v>503</v>
      </c>
      <c r="C91" s="168">
        <f>'Concrete Substructure'!P11</f>
        <v>680.154</v>
      </c>
      <c r="D91" s="168">
        <v>741</v>
      </c>
      <c r="E91" s="168"/>
      <c r="F91" s="166"/>
    </row>
    <row r="92" spans="1:6" x14ac:dyDescent="0.25">
      <c r="A92" s="166"/>
      <c r="B92" s="170"/>
      <c r="C92" s="168"/>
      <c r="D92" s="168"/>
      <c r="E92" s="168"/>
      <c r="F92" s="166"/>
    </row>
    <row r="93" spans="1:6" ht="45" x14ac:dyDescent="0.25">
      <c r="A93" s="166"/>
      <c r="B93" s="230" t="s">
        <v>504</v>
      </c>
      <c r="C93" s="168"/>
      <c r="D93" s="168"/>
      <c r="E93" s="168"/>
      <c r="F93" s="166"/>
    </row>
    <row r="94" spans="1:6" x14ac:dyDescent="0.25">
      <c r="A94" s="166"/>
      <c r="B94" s="229" t="s">
        <v>505</v>
      </c>
      <c r="C94" s="168"/>
      <c r="D94" s="168">
        <v>292</v>
      </c>
      <c r="E94" s="168"/>
      <c r="F94" s="166"/>
    </row>
    <row r="95" spans="1:6" x14ac:dyDescent="0.25">
      <c r="A95" s="166"/>
      <c r="B95" s="171"/>
      <c r="C95" s="168"/>
      <c r="D95" s="168"/>
      <c r="E95" s="168"/>
      <c r="F95" s="166"/>
    </row>
    <row r="96" spans="1:6" ht="45" x14ac:dyDescent="0.25">
      <c r="A96" s="166"/>
      <c r="B96" s="230" t="s">
        <v>530</v>
      </c>
      <c r="C96" s="168"/>
      <c r="D96" s="168"/>
      <c r="E96" s="168"/>
      <c r="F96" s="166"/>
    </row>
    <row r="97" spans="1:6" x14ac:dyDescent="0.25">
      <c r="A97" s="166"/>
      <c r="B97" s="171" t="s">
        <v>505</v>
      </c>
      <c r="C97" s="168">
        <v>38</v>
      </c>
      <c r="D97" s="168">
        <v>39</v>
      </c>
      <c r="E97" s="168"/>
      <c r="F97" s="166"/>
    </row>
    <row r="98" spans="1:6" x14ac:dyDescent="0.25">
      <c r="A98" s="166"/>
      <c r="B98" s="171"/>
      <c r="C98" s="168"/>
      <c r="D98" s="168"/>
      <c r="E98" s="168"/>
      <c r="F98" s="166"/>
    </row>
    <row r="99" spans="1:6" ht="45" x14ac:dyDescent="0.25">
      <c r="A99" s="166"/>
      <c r="B99" s="230" t="s">
        <v>531</v>
      </c>
      <c r="C99" s="168"/>
      <c r="D99" s="168"/>
      <c r="E99" s="168"/>
      <c r="F99" s="166"/>
    </row>
    <row r="100" spans="1:6" x14ac:dyDescent="0.25">
      <c r="A100" s="166"/>
      <c r="B100" s="171" t="s">
        <v>532</v>
      </c>
      <c r="C100" s="168">
        <f>PCC!M11</f>
        <v>881.35750000000007</v>
      </c>
      <c r="D100" s="168">
        <v>862</v>
      </c>
      <c r="E100" s="168"/>
      <c r="F100" s="166"/>
    </row>
    <row r="101" spans="1:6" x14ac:dyDescent="0.25">
      <c r="A101" s="166"/>
      <c r="B101" s="171"/>
      <c r="C101" s="168"/>
      <c r="D101" s="168"/>
      <c r="E101" s="168"/>
      <c r="F101" s="166"/>
    </row>
    <row r="102" spans="1:6" ht="30" x14ac:dyDescent="0.25">
      <c r="A102" s="166"/>
      <c r="B102" s="230" t="s">
        <v>533</v>
      </c>
      <c r="C102" s="168"/>
      <c r="D102" s="168"/>
      <c r="E102" s="168"/>
      <c r="F102" s="166"/>
    </row>
    <row r="103" spans="1:6" x14ac:dyDescent="0.25">
      <c r="A103" s="166"/>
      <c r="B103" s="171" t="s">
        <v>503</v>
      </c>
      <c r="C103" s="168"/>
      <c r="D103" s="168">
        <v>982</v>
      </c>
      <c r="E103" s="168"/>
      <c r="F103" s="166"/>
    </row>
    <row r="104" spans="1:6" x14ac:dyDescent="0.25">
      <c r="A104" s="166"/>
      <c r="B104" s="171"/>
      <c r="C104" s="168"/>
      <c r="D104" s="168"/>
      <c r="E104" s="168"/>
      <c r="F104" s="166"/>
    </row>
    <row r="105" spans="1:6" x14ac:dyDescent="0.25">
      <c r="A105" s="166"/>
      <c r="B105" s="231" t="s">
        <v>534</v>
      </c>
      <c r="C105" s="168"/>
      <c r="D105" s="168"/>
      <c r="E105" s="168"/>
      <c r="F105" s="166"/>
    </row>
    <row r="106" spans="1:6" x14ac:dyDescent="0.25">
      <c r="A106" s="166"/>
      <c r="B106" s="171" t="s">
        <v>535</v>
      </c>
      <c r="C106" s="168">
        <f>SUM('Waterproofing Works'!J116:J118)</f>
        <v>94.4</v>
      </c>
      <c r="D106" s="168">
        <v>94</v>
      </c>
      <c r="E106" s="168"/>
      <c r="F106" s="166"/>
    </row>
    <row r="107" spans="1:6" x14ac:dyDescent="0.25">
      <c r="A107" s="166"/>
      <c r="B107" s="171"/>
      <c r="C107" s="168"/>
      <c r="D107" s="168"/>
      <c r="E107" s="168"/>
      <c r="F107" s="166"/>
    </row>
    <row r="108" spans="1:6" x14ac:dyDescent="0.25">
      <c r="A108" s="166"/>
      <c r="B108" s="233" t="s">
        <v>539</v>
      </c>
      <c r="C108" s="168"/>
      <c r="D108" s="168"/>
      <c r="E108" s="168"/>
      <c r="F108" s="166"/>
    </row>
    <row r="109" spans="1:6" x14ac:dyDescent="0.25">
      <c r="A109" s="166"/>
      <c r="B109" s="231"/>
      <c r="C109" s="168"/>
      <c r="D109" s="168"/>
      <c r="E109" s="168"/>
      <c r="F109" s="166"/>
    </row>
    <row r="110" spans="1:6" x14ac:dyDescent="0.25">
      <c r="A110" s="166"/>
      <c r="B110" s="171" t="s">
        <v>540</v>
      </c>
      <c r="C110" s="168">
        <f>'Waterproofing Works'!J106</f>
        <v>101.66499999999998</v>
      </c>
      <c r="D110" s="168">
        <v>127</v>
      </c>
      <c r="E110" s="168"/>
      <c r="F110" s="166"/>
    </row>
    <row r="111" spans="1:6" x14ac:dyDescent="0.25">
      <c r="A111" s="166"/>
      <c r="B111" s="171" t="s">
        <v>545</v>
      </c>
      <c r="C111" s="168">
        <f>'Waterproofing Works'!J107</f>
        <v>73.394999999999996</v>
      </c>
      <c r="D111" s="168">
        <v>84</v>
      </c>
      <c r="E111" s="168"/>
      <c r="F111" s="166"/>
    </row>
    <row r="112" spans="1:6" x14ac:dyDescent="0.25">
      <c r="A112" s="166"/>
      <c r="B112" s="171" t="s">
        <v>542</v>
      </c>
      <c r="C112" s="168">
        <f>'Waterproofing Works'!J108</f>
        <v>14.862000000000002</v>
      </c>
      <c r="D112" s="168">
        <v>14</v>
      </c>
      <c r="E112" s="168"/>
      <c r="F112" s="166"/>
    </row>
    <row r="113" spans="1:6" x14ac:dyDescent="0.25">
      <c r="A113" s="166"/>
      <c r="B113" s="171" t="s">
        <v>543</v>
      </c>
      <c r="C113" s="168">
        <f>'Waterproofing Works'!J109</f>
        <v>19.182000000000002</v>
      </c>
      <c r="D113" s="168">
        <v>15</v>
      </c>
      <c r="E113" s="168"/>
      <c r="F113" s="166"/>
    </row>
    <row r="114" spans="1:6" x14ac:dyDescent="0.25">
      <c r="A114" s="166"/>
      <c r="B114" s="171" t="s">
        <v>544</v>
      </c>
      <c r="C114" s="168">
        <f>'Waterproofing Works'!G110</f>
        <v>48.579999999999991</v>
      </c>
      <c r="D114" s="168">
        <v>77</v>
      </c>
      <c r="E114" s="168"/>
      <c r="F114" s="166"/>
    </row>
    <row r="115" spans="1:6" x14ac:dyDescent="0.25">
      <c r="A115" s="166"/>
      <c r="B115" s="231"/>
      <c r="C115" s="168"/>
      <c r="D115" s="168"/>
      <c r="E115" s="168"/>
      <c r="F115" s="166"/>
    </row>
    <row r="116" spans="1:6" x14ac:dyDescent="0.25">
      <c r="A116" s="166"/>
      <c r="B116" s="171" t="s">
        <v>546</v>
      </c>
      <c r="C116" s="168">
        <f>'Waterproofing Works'!J111</f>
        <v>54.56</v>
      </c>
      <c r="D116" s="168">
        <v>36</v>
      </c>
      <c r="E116" s="168">
        <f>C116-D116</f>
        <v>18.560000000000002</v>
      </c>
      <c r="F116" s="166"/>
    </row>
    <row r="117" spans="1:6" x14ac:dyDescent="0.25">
      <c r="A117" s="166"/>
      <c r="B117" s="231"/>
      <c r="C117" s="168"/>
      <c r="D117" s="168"/>
      <c r="E117" s="168"/>
      <c r="F117" s="166"/>
    </row>
    <row r="118" spans="1:6" x14ac:dyDescent="0.25">
      <c r="A118" s="166"/>
      <c r="B118" s="171" t="s">
        <v>547</v>
      </c>
      <c r="C118" s="168">
        <f>'Waterproofing Works'!J99</f>
        <v>77</v>
      </c>
      <c r="D118" s="168">
        <v>79</v>
      </c>
      <c r="E118" s="168"/>
      <c r="F118" s="166"/>
    </row>
    <row r="119" spans="1:6" x14ac:dyDescent="0.25">
      <c r="A119" s="166"/>
      <c r="B119" s="231"/>
      <c r="C119" s="168"/>
      <c r="D119" s="168"/>
      <c r="E119" s="168"/>
      <c r="F119" s="166"/>
    </row>
    <row r="120" spans="1:6" x14ac:dyDescent="0.25">
      <c r="A120" s="166"/>
      <c r="B120" s="231" t="s">
        <v>548</v>
      </c>
      <c r="C120" s="168"/>
      <c r="D120" s="168"/>
      <c r="E120" s="168"/>
      <c r="F120" s="166"/>
    </row>
    <row r="121" spans="1:6" x14ac:dyDescent="0.25">
      <c r="A121" s="166"/>
      <c r="B121" s="171" t="s">
        <v>549</v>
      </c>
      <c r="C121" s="168">
        <f>C125</f>
        <v>385</v>
      </c>
      <c r="D121" s="168">
        <v>381</v>
      </c>
      <c r="E121" s="168"/>
      <c r="F121" s="166"/>
    </row>
    <row r="122" spans="1:6" x14ac:dyDescent="0.25">
      <c r="A122" s="166"/>
      <c r="B122" s="171" t="s">
        <v>550</v>
      </c>
      <c r="C122" s="168">
        <f>'Waterproofing Works'!J113</f>
        <v>60.8</v>
      </c>
      <c r="D122" s="168">
        <v>61</v>
      </c>
      <c r="E122" s="168"/>
      <c r="F122" s="166"/>
    </row>
    <row r="123" spans="1:6" x14ac:dyDescent="0.25">
      <c r="A123" s="166"/>
      <c r="B123" s="231"/>
      <c r="C123" s="168"/>
      <c r="D123" s="168"/>
      <c r="E123" s="168"/>
      <c r="F123" s="166"/>
    </row>
    <row r="124" spans="1:6" x14ac:dyDescent="0.25">
      <c r="A124" s="166"/>
      <c r="B124" s="231" t="s">
        <v>528</v>
      </c>
      <c r="C124" s="168"/>
      <c r="D124" s="168"/>
      <c r="E124" s="168"/>
      <c r="F124" s="166"/>
    </row>
    <row r="125" spans="1:6" x14ac:dyDescent="0.25">
      <c r="A125" s="166"/>
      <c r="B125" s="171" t="s">
        <v>551</v>
      </c>
      <c r="C125" s="168">
        <f>'Waterproofing Works'!J112</f>
        <v>385</v>
      </c>
      <c r="D125" s="168">
        <v>381</v>
      </c>
      <c r="E125" s="168"/>
      <c r="F125" s="166"/>
    </row>
    <row r="126" spans="1:6" x14ac:dyDescent="0.25">
      <c r="A126" s="166"/>
      <c r="B126" s="171"/>
      <c r="C126" s="168"/>
      <c r="D126" s="168"/>
      <c r="E126" s="168"/>
      <c r="F126" s="166"/>
    </row>
    <row r="127" spans="1:6" x14ac:dyDescent="0.25">
      <c r="A127" s="166"/>
      <c r="B127" s="171"/>
      <c r="C127" s="168"/>
      <c r="D127" s="168"/>
      <c r="E127" s="168"/>
      <c r="F127" s="166"/>
    </row>
    <row r="128" spans="1:6" x14ac:dyDescent="0.25">
      <c r="A128" s="166"/>
      <c r="B128" s="171"/>
      <c r="C128" s="168"/>
      <c r="D128" s="168"/>
      <c r="E128" s="168"/>
      <c r="F128" s="166"/>
    </row>
    <row r="129" spans="1:6" x14ac:dyDescent="0.25">
      <c r="A129" s="166"/>
      <c r="B129" s="171"/>
      <c r="C129" s="168"/>
      <c r="D129" s="168"/>
      <c r="E129" s="168"/>
      <c r="F129" s="166"/>
    </row>
    <row r="130" spans="1:6" x14ac:dyDescent="0.25">
      <c r="A130" s="166"/>
      <c r="B130" s="171"/>
      <c r="C130" s="168"/>
      <c r="D130" s="168"/>
      <c r="E130" s="168"/>
      <c r="F130" s="166"/>
    </row>
    <row r="131" spans="1:6" x14ac:dyDescent="0.25">
      <c r="A131" s="166"/>
      <c r="B131" s="171"/>
      <c r="C131" s="168"/>
      <c r="D131" s="168"/>
      <c r="E131" s="168"/>
      <c r="F131" s="166"/>
    </row>
    <row r="132" spans="1:6" x14ac:dyDescent="0.25">
      <c r="A132" s="166"/>
      <c r="B132" s="171"/>
      <c r="C132" s="168"/>
      <c r="D132" s="168"/>
      <c r="E132" s="168"/>
      <c r="F132" s="166"/>
    </row>
    <row r="133" spans="1:6" x14ac:dyDescent="0.25">
      <c r="A133" s="166"/>
      <c r="B133" s="231"/>
      <c r="C133" s="168"/>
      <c r="D133" s="168"/>
      <c r="E133" s="168"/>
      <c r="F133" s="166"/>
    </row>
    <row r="134" spans="1:6" x14ac:dyDescent="0.25">
      <c r="A134" s="166"/>
      <c r="B134" s="231"/>
      <c r="C134" s="168"/>
      <c r="D134" s="168"/>
      <c r="E134" s="168"/>
      <c r="F134" s="166"/>
    </row>
    <row r="135" spans="1:6" x14ac:dyDescent="0.25">
      <c r="A135" s="166"/>
      <c r="B135" s="170"/>
      <c r="C135" s="168"/>
      <c r="D135" s="168"/>
      <c r="E135" s="168"/>
      <c r="F135" s="166"/>
    </row>
    <row r="136" spans="1:6" x14ac:dyDescent="0.25">
      <c r="A136" s="166"/>
      <c r="B136" s="171"/>
      <c r="C136" s="168"/>
      <c r="D136" s="168"/>
      <c r="E136" s="168"/>
      <c r="F136" s="166"/>
    </row>
  </sheetData>
  <mergeCells count="1">
    <mergeCell ref="A8:F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73F8-78CF-4BDF-9EC9-4B2107233115}">
  <sheetPr>
    <tabColor rgb="FFFFFF00"/>
  </sheetPr>
  <dimension ref="B1:EQ92"/>
  <sheetViews>
    <sheetView topLeftCell="BB14" zoomScale="85" zoomScaleNormal="85" workbookViewId="0">
      <selection activeCell="EB22" sqref="EB22"/>
    </sheetView>
  </sheetViews>
  <sheetFormatPr defaultRowHeight="15" x14ac:dyDescent="0.25"/>
  <cols>
    <col min="3" max="3" width="18.7109375" style="205" customWidth="1"/>
    <col min="4" max="4" width="27.5703125" customWidth="1"/>
    <col min="6" max="6" width="13" customWidth="1"/>
    <col min="16" max="16" width="9.28515625" customWidth="1"/>
    <col min="17" max="17" width="13.5703125" customWidth="1"/>
    <col min="18" max="18" width="11.42578125" customWidth="1"/>
    <col min="20" max="20" width="13.42578125" customWidth="1"/>
    <col min="22" max="22" width="11.28515625" customWidth="1"/>
    <col min="26" max="26" width="18.7109375" style="205" customWidth="1"/>
    <col min="27" max="27" width="27.5703125" customWidth="1"/>
    <col min="29" max="29" width="13" customWidth="1"/>
    <col min="39" max="39" width="11.140625" customWidth="1"/>
    <col min="40" max="40" width="12.7109375" customWidth="1"/>
    <col min="41" max="41" width="10.85546875" customWidth="1"/>
    <col min="43" max="43" width="13.42578125" customWidth="1"/>
    <col min="47" max="47" width="18.7109375" style="205" customWidth="1"/>
    <col min="48" max="48" width="27.5703125" customWidth="1"/>
    <col min="50" max="50" width="13" customWidth="1"/>
    <col min="60" max="60" width="11.140625" customWidth="1"/>
    <col min="61" max="61" width="12.7109375" customWidth="1"/>
    <col min="64" max="64" width="13.42578125" customWidth="1"/>
    <col min="67" max="67" width="19.85546875" style="178" customWidth="1"/>
    <col min="68" max="68" width="24.5703125" style="178" customWidth="1"/>
    <col min="69" max="69" width="30.5703125" style="178" customWidth="1"/>
    <col min="70" max="70" width="12.42578125" style="178" customWidth="1"/>
    <col min="71" max="71" width="16" style="178" customWidth="1"/>
    <col min="72" max="75" width="8.7109375" style="178"/>
    <col min="76" max="76" width="11.7109375" style="178" customWidth="1"/>
    <col min="77" max="77" width="9.28515625" style="178" bestFit="1" customWidth="1"/>
    <col min="78" max="81" width="8.7109375" style="178"/>
    <col min="82" max="82" width="14.7109375" style="178" customWidth="1"/>
    <col min="83" max="83" width="15" style="178" customWidth="1"/>
    <col min="84" max="84" width="12.140625" style="178" customWidth="1"/>
    <col min="85" max="85" width="15.42578125" style="178" customWidth="1"/>
    <col min="88" max="88" width="19.85546875" style="178" customWidth="1"/>
    <col min="89" max="89" width="24.5703125" style="178" customWidth="1"/>
    <col min="90" max="90" width="30.5703125" style="178" customWidth="1"/>
    <col min="91" max="91" width="12.42578125" style="178" customWidth="1"/>
    <col min="92" max="92" width="16" style="178" customWidth="1"/>
    <col min="93" max="96" width="9.140625" style="178"/>
    <col min="97" max="97" width="11.7109375" style="178" customWidth="1"/>
    <col min="98" max="98" width="9.28515625" style="178" bestFit="1" customWidth="1"/>
    <col min="99" max="102" width="9.140625" style="178"/>
    <col min="103" max="103" width="14.7109375" style="178" customWidth="1"/>
    <col min="104" max="104" width="15" style="178" customWidth="1"/>
    <col min="105" max="105" width="12.140625" style="178" customWidth="1"/>
    <col min="106" max="106" width="15.42578125" style="178" customWidth="1"/>
    <col min="109" max="109" width="19.85546875" style="178" customWidth="1"/>
    <col min="110" max="110" width="24.5703125" style="178" customWidth="1"/>
    <col min="111" max="111" width="30.5703125" style="178" customWidth="1"/>
    <col min="112" max="112" width="12.42578125" style="178" customWidth="1"/>
    <col min="113" max="113" width="16" style="178" customWidth="1"/>
    <col min="114" max="117" width="9.140625" style="178"/>
    <col min="118" max="118" width="11.7109375" style="178" customWidth="1"/>
    <col min="119" max="119" width="9.28515625" style="178" bestFit="1" customWidth="1"/>
    <col min="120" max="123" width="9.140625" style="178"/>
    <col min="124" max="124" width="14.7109375" style="178" customWidth="1"/>
    <col min="125" max="125" width="15" style="178" customWidth="1"/>
    <col min="126" max="126" width="12.140625" style="178" customWidth="1"/>
    <col min="127" max="127" width="15.42578125" style="178" customWidth="1"/>
    <col min="129" max="129" width="19.85546875" style="178" customWidth="1"/>
    <col min="130" max="130" width="24.5703125" style="178" customWidth="1"/>
    <col min="131" max="131" width="30.5703125" style="178" customWidth="1"/>
    <col min="132" max="132" width="12.42578125" style="178" customWidth="1"/>
    <col min="133" max="133" width="16" style="178" customWidth="1"/>
    <col min="134" max="137" width="9.140625" style="178"/>
    <col min="138" max="138" width="11.7109375" style="178" customWidth="1"/>
    <col min="139" max="139" width="9.28515625" style="178" bestFit="1" customWidth="1"/>
    <col min="140" max="143" width="9.140625" style="178"/>
    <col min="144" max="144" width="14.7109375" style="178" customWidth="1"/>
    <col min="145" max="145" width="15" style="178" customWidth="1"/>
    <col min="146" max="146" width="12.140625" style="178" customWidth="1"/>
    <col min="147" max="147" width="15.42578125" style="178" customWidth="1"/>
  </cols>
  <sheetData>
    <row r="1" spans="2:147" x14ac:dyDescent="0.25">
      <c r="BR1" s="179"/>
      <c r="CM1" s="179"/>
      <c r="DH1" s="179"/>
      <c r="EB1" s="179"/>
    </row>
    <row r="2" spans="2:147" ht="26.25" x14ac:dyDescent="0.4">
      <c r="B2" s="178"/>
      <c r="C2" s="199"/>
      <c r="D2" s="178"/>
      <c r="E2" s="179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Y2" s="178"/>
      <c r="Z2" s="199"/>
      <c r="AA2" s="178"/>
      <c r="AB2" s="179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T2" s="178"/>
      <c r="AU2" s="199"/>
      <c r="AV2" s="178"/>
      <c r="AW2" s="179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O2" s="284" t="s">
        <v>454</v>
      </c>
      <c r="BP2" s="284"/>
      <c r="BR2" s="179"/>
      <c r="CJ2" s="284" t="s">
        <v>466</v>
      </c>
      <c r="CK2" s="284"/>
      <c r="CM2" s="179"/>
      <c r="DE2" s="284" t="s">
        <v>470</v>
      </c>
      <c r="DF2" s="284"/>
      <c r="DH2" s="179"/>
      <c r="DY2" s="284" t="s">
        <v>476</v>
      </c>
      <c r="DZ2" s="284"/>
      <c r="EB2" s="179"/>
    </row>
    <row r="3" spans="2:147" ht="27" thickBot="1" x14ac:dyDescent="0.45">
      <c r="B3" s="284" t="s">
        <v>57</v>
      </c>
      <c r="C3" s="284"/>
      <c r="D3" s="178"/>
      <c r="E3" s="179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Y3" s="284" t="s">
        <v>436</v>
      </c>
      <c r="Z3" s="284"/>
      <c r="AA3" s="178"/>
      <c r="AB3" s="179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T3" s="284" t="s">
        <v>316</v>
      </c>
      <c r="AU3" s="284"/>
      <c r="AV3" s="178"/>
      <c r="AW3" s="179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R3" s="179"/>
      <c r="BS3" s="221"/>
      <c r="CM3" s="179"/>
      <c r="CN3" s="221"/>
      <c r="DH3" s="179"/>
      <c r="DI3" s="221"/>
      <c r="EB3" s="179"/>
      <c r="EC3" s="221"/>
    </row>
    <row r="4" spans="2:147" ht="16.5" thickBot="1" x14ac:dyDescent="0.3">
      <c r="B4" s="178"/>
      <c r="C4" s="199"/>
      <c r="D4" s="178"/>
      <c r="E4" s="179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Y4" s="178"/>
      <c r="Z4" s="199"/>
      <c r="AA4" s="178"/>
      <c r="AB4" s="179"/>
      <c r="AC4" s="178"/>
      <c r="AD4" s="178" t="s">
        <v>572</v>
      </c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T4" s="178"/>
      <c r="AU4" s="199"/>
      <c r="AV4" s="178"/>
      <c r="AW4" s="179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O4" s="180" t="s">
        <v>396</v>
      </c>
      <c r="BP4" s="181"/>
      <c r="BS4" s="182"/>
      <c r="BT4" s="179"/>
      <c r="BU4" s="179"/>
      <c r="BV4" s="179"/>
      <c r="BW4" s="179"/>
      <c r="BX4" s="179"/>
      <c r="BY4" s="179"/>
      <c r="BZ4" s="179"/>
      <c r="CA4" s="179"/>
      <c r="CB4" s="179"/>
      <c r="CC4" s="179"/>
      <c r="CD4" s="179"/>
      <c r="CE4" s="179"/>
      <c r="CJ4" s="180" t="s">
        <v>396</v>
      </c>
      <c r="CK4" s="181"/>
      <c r="CN4" s="182"/>
      <c r="CO4" s="179"/>
      <c r="CP4" s="179"/>
      <c r="CQ4" s="179"/>
      <c r="CR4" s="179"/>
      <c r="CS4" s="179"/>
      <c r="CT4" s="179"/>
      <c r="CU4" s="179"/>
      <c r="CV4" s="179"/>
      <c r="CW4" s="179"/>
      <c r="CX4" s="179"/>
      <c r="CY4" s="179"/>
      <c r="CZ4" s="179"/>
      <c r="DE4" s="180" t="s">
        <v>396</v>
      </c>
      <c r="DF4" s="181"/>
      <c r="DI4" s="182"/>
      <c r="DJ4" s="179"/>
      <c r="DK4" s="179"/>
      <c r="DL4" s="179"/>
      <c r="DM4" s="179"/>
      <c r="DN4" s="179"/>
      <c r="DO4" s="179"/>
      <c r="DP4" s="179"/>
      <c r="DQ4" s="179"/>
      <c r="DR4" s="179"/>
      <c r="DS4" s="179"/>
      <c r="DT4" s="179"/>
      <c r="DU4" s="179"/>
      <c r="DY4" s="180" t="s">
        <v>396</v>
      </c>
      <c r="DZ4" s="181" t="s">
        <v>477</v>
      </c>
      <c r="EC4" s="182"/>
      <c r="ED4" s="179"/>
      <c r="EE4" s="179"/>
      <c r="EF4" s="179"/>
      <c r="EG4" s="179"/>
      <c r="EH4" s="179"/>
      <c r="EI4" s="179"/>
      <c r="EJ4" s="179"/>
      <c r="EK4" s="179"/>
      <c r="EL4" s="179"/>
      <c r="EM4" s="179"/>
      <c r="EN4" s="179"/>
      <c r="EO4" s="179"/>
    </row>
    <row r="5" spans="2:147" ht="16.5" thickBot="1" x14ac:dyDescent="0.3">
      <c r="B5" s="180" t="s">
        <v>396</v>
      </c>
      <c r="C5" s="200"/>
      <c r="D5" s="178"/>
      <c r="E5" s="178"/>
      <c r="F5" s="182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8"/>
      <c r="T5" s="178"/>
      <c r="Y5" s="180" t="s">
        <v>396</v>
      </c>
      <c r="Z5" s="200"/>
      <c r="AA5" s="178"/>
      <c r="AB5" s="178"/>
      <c r="AC5" s="182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8"/>
      <c r="AQ5" s="178"/>
      <c r="AT5" s="180" t="s">
        <v>396</v>
      </c>
      <c r="AU5" s="200"/>
      <c r="AV5" s="178"/>
      <c r="AW5" s="178"/>
      <c r="AX5" s="182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78"/>
      <c r="BL5" s="178"/>
      <c r="BO5" s="183" t="s">
        <v>397</v>
      </c>
      <c r="BP5" s="183" t="s">
        <v>398</v>
      </c>
      <c r="BQ5" s="183" t="s">
        <v>399</v>
      </c>
      <c r="BR5" s="183" t="s">
        <v>400</v>
      </c>
      <c r="BS5" s="183" t="s">
        <v>401</v>
      </c>
      <c r="BT5" s="184" t="s">
        <v>169</v>
      </c>
      <c r="BU5" s="184" t="s">
        <v>403</v>
      </c>
      <c r="BV5" s="184" t="s">
        <v>402</v>
      </c>
      <c r="BW5" s="184" t="s">
        <v>405</v>
      </c>
      <c r="BX5" s="184" t="s">
        <v>406</v>
      </c>
      <c r="BY5" s="184" t="s">
        <v>407</v>
      </c>
      <c r="BZ5" s="184" t="s">
        <v>408</v>
      </c>
      <c r="CA5" s="184" t="s">
        <v>409</v>
      </c>
      <c r="CB5" s="184" t="s">
        <v>410</v>
      </c>
      <c r="CC5" s="184" t="s">
        <v>411</v>
      </c>
      <c r="CD5" s="184" t="s">
        <v>412</v>
      </c>
      <c r="CE5" s="185" t="s">
        <v>413</v>
      </c>
      <c r="CF5" s="183" t="s">
        <v>414</v>
      </c>
      <c r="CG5" s="186" t="s">
        <v>415</v>
      </c>
      <c r="CJ5" s="183" t="s">
        <v>397</v>
      </c>
      <c r="CK5" s="183" t="s">
        <v>398</v>
      </c>
      <c r="CL5" s="183" t="s">
        <v>399</v>
      </c>
      <c r="CM5" s="183" t="s">
        <v>400</v>
      </c>
      <c r="CN5" s="183" t="s">
        <v>401</v>
      </c>
      <c r="CO5" s="184" t="s">
        <v>468</v>
      </c>
      <c r="CP5" s="184" t="s">
        <v>403</v>
      </c>
      <c r="CQ5" s="184" t="s">
        <v>402</v>
      </c>
      <c r="CR5" s="184" t="s">
        <v>405</v>
      </c>
      <c r="CS5" s="184" t="s">
        <v>406</v>
      </c>
      <c r="CT5" s="184" t="s">
        <v>407</v>
      </c>
      <c r="CU5" s="184" t="s">
        <v>408</v>
      </c>
      <c r="CV5" s="184" t="s">
        <v>409</v>
      </c>
      <c r="CW5" s="184" t="s">
        <v>410</v>
      </c>
      <c r="CX5" s="184" t="s">
        <v>411</v>
      </c>
      <c r="CY5" s="184" t="s">
        <v>412</v>
      </c>
      <c r="CZ5" s="185" t="s">
        <v>413</v>
      </c>
      <c r="DA5" s="183" t="s">
        <v>414</v>
      </c>
      <c r="DB5" s="186" t="s">
        <v>415</v>
      </c>
      <c r="DE5" s="183" t="s">
        <v>397</v>
      </c>
      <c r="DF5" s="183" t="s">
        <v>398</v>
      </c>
      <c r="DG5" s="183" t="s">
        <v>399</v>
      </c>
      <c r="DH5" s="183" t="s">
        <v>400</v>
      </c>
      <c r="DI5" s="183" t="s">
        <v>401</v>
      </c>
      <c r="DJ5" s="184" t="s">
        <v>468</v>
      </c>
      <c r="DK5" s="184" t="s">
        <v>403</v>
      </c>
      <c r="DL5" s="184" t="s">
        <v>402</v>
      </c>
      <c r="DM5" s="184" t="s">
        <v>405</v>
      </c>
      <c r="DN5" s="184" t="s">
        <v>406</v>
      </c>
      <c r="DO5" s="184" t="s">
        <v>407</v>
      </c>
      <c r="DP5" s="184" t="s">
        <v>408</v>
      </c>
      <c r="DQ5" s="184" t="s">
        <v>409</v>
      </c>
      <c r="DR5" s="184" t="s">
        <v>410</v>
      </c>
      <c r="DS5" s="184" t="s">
        <v>411</v>
      </c>
      <c r="DT5" s="184" t="s">
        <v>412</v>
      </c>
      <c r="DU5" s="185" t="s">
        <v>413</v>
      </c>
      <c r="DV5" s="183" t="s">
        <v>414</v>
      </c>
      <c r="DW5" s="186" t="s">
        <v>415</v>
      </c>
      <c r="DY5" s="183" t="s">
        <v>397</v>
      </c>
      <c r="DZ5" s="183" t="s">
        <v>398</v>
      </c>
      <c r="EA5" s="183" t="s">
        <v>399</v>
      </c>
      <c r="EB5" s="183" t="s">
        <v>400</v>
      </c>
      <c r="EC5" s="183" t="s">
        <v>401</v>
      </c>
      <c r="ED5" s="184" t="s">
        <v>468</v>
      </c>
      <c r="EE5" s="184" t="s">
        <v>403</v>
      </c>
      <c r="EF5" s="184" t="s">
        <v>402</v>
      </c>
      <c r="EG5" s="184" t="s">
        <v>405</v>
      </c>
      <c r="EH5" s="184" t="s">
        <v>406</v>
      </c>
      <c r="EI5" s="184" t="s">
        <v>407</v>
      </c>
      <c r="EJ5" s="184" t="s">
        <v>408</v>
      </c>
      <c r="EK5" s="184" t="s">
        <v>409</v>
      </c>
      <c r="EL5" s="184" t="s">
        <v>410</v>
      </c>
      <c r="EM5" s="184" t="s">
        <v>411</v>
      </c>
      <c r="EN5" s="184" t="s">
        <v>412</v>
      </c>
      <c r="EO5" s="185" t="s">
        <v>413</v>
      </c>
      <c r="EP5" s="183" t="s">
        <v>414</v>
      </c>
      <c r="EQ5" s="186" t="s">
        <v>415</v>
      </c>
    </row>
    <row r="6" spans="2:147" x14ac:dyDescent="0.25">
      <c r="B6" s="183" t="s">
        <v>397</v>
      </c>
      <c r="C6" s="201" t="s">
        <v>398</v>
      </c>
      <c r="D6" s="183" t="s">
        <v>399</v>
      </c>
      <c r="E6" s="183" t="s">
        <v>400</v>
      </c>
      <c r="F6" s="183" t="s">
        <v>401</v>
      </c>
      <c r="G6" s="184" t="s">
        <v>402</v>
      </c>
      <c r="H6" s="184" t="s">
        <v>403</v>
      </c>
      <c r="I6" s="184" t="s">
        <v>404</v>
      </c>
      <c r="J6" s="184" t="s">
        <v>405</v>
      </c>
      <c r="K6" s="184" t="s">
        <v>406</v>
      </c>
      <c r="L6" s="184" t="s">
        <v>407</v>
      </c>
      <c r="M6" s="184" t="s">
        <v>408</v>
      </c>
      <c r="N6" s="184" t="s">
        <v>409</v>
      </c>
      <c r="O6" s="184" t="s">
        <v>410</v>
      </c>
      <c r="P6" s="184" t="s">
        <v>411</v>
      </c>
      <c r="Q6" s="184" t="s">
        <v>412</v>
      </c>
      <c r="R6" s="185" t="s">
        <v>413</v>
      </c>
      <c r="S6" s="183" t="s">
        <v>414</v>
      </c>
      <c r="T6" s="186" t="s">
        <v>415</v>
      </c>
      <c r="Y6" s="183" t="s">
        <v>397</v>
      </c>
      <c r="Z6" s="201" t="s">
        <v>398</v>
      </c>
      <c r="AA6" s="183" t="s">
        <v>399</v>
      </c>
      <c r="AB6" s="183" t="s">
        <v>400</v>
      </c>
      <c r="AC6" s="183" t="s">
        <v>401</v>
      </c>
      <c r="AD6" s="184" t="s">
        <v>402</v>
      </c>
      <c r="AE6" s="184" t="s">
        <v>403</v>
      </c>
      <c r="AF6" s="184" t="s">
        <v>441</v>
      </c>
      <c r="AG6" s="184" t="s">
        <v>405</v>
      </c>
      <c r="AH6" s="184" t="s">
        <v>406</v>
      </c>
      <c r="AI6" s="184" t="s">
        <v>407</v>
      </c>
      <c r="AJ6" s="184" t="s">
        <v>408</v>
      </c>
      <c r="AK6" s="184" t="s">
        <v>409</v>
      </c>
      <c r="AL6" s="184" t="s">
        <v>410</v>
      </c>
      <c r="AM6" s="184" t="s">
        <v>411</v>
      </c>
      <c r="AN6" s="184" t="s">
        <v>412</v>
      </c>
      <c r="AO6" s="185" t="s">
        <v>413</v>
      </c>
      <c r="AP6" s="183" t="s">
        <v>414</v>
      </c>
      <c r="AQ6" s="186" t="s">
        <v>415</v>
      </c>
      <c r="AT6" s="183" t="s">
        <v>397</v>
      </c>
      <c r="AU6" s="201" t="s">
        <v>398</v>
      </c>
      <c r="AV6" s="183" t="s">
        <v>399</v>
      </c>
      <c r="AW6" s="183" t="s">
        <v>400</v>
      </c>
      <c r="AX6" s="183" t="s">
        <v>401</v>
      </c>
      <c r="AY6" s="184" t="s">
        <v>402</v>
      </c>
      <c r="AZ6" s="184" t="s">
        <v>403</v>
      </c>
      <c r="BA6" s="184" t="s">
        <v>441</v>
      </c>
      <c r="BB6" s="184" t="s">
        <v>405</v>
      </c>
      <c r="BC6" s="184" t="s">
        <v>406</v>
      </c>
      <c r="BD6" s="184" t="s">
        <v>407</v>
      </c>
      <c r="BE6" s="184" t="s">
        <v>408</v>
      </c>
      <c r="BF6" s="184" t="s">
        <v>409</v>
      </c>
      <c r="BG6" s="184" t="s">
        <v>410</v>
      </c>
      <c r="BH6" s="184" t="s">
        <v>411</v>
      </c>
      <c r="BI6" s="184" t="s">
        <v>412</v>
      </c>
      <c r="BJ6" s="185" t="s">
        <v>413</v>
      </c>
      <c r="BK6" s="183" t="s">
        <v>414</v>
      </c>
      <c r="BL6" s="186" t="s">
        <v>415</v>
      </c>
      <c r="BO6" s="244" t="s">
        <v>455</v>
      </c>
      <c r="BP6" s="206" t="s">
        <v>253</v>
      </c>
      <c r="BQ6" s="187" t="s">
        <v>451</v>
      </c>
      <c r="BR6" s="188">
        <v>16</v>
      </c>
      <c r="BS6" s="222">
        <v>0</v>
      </c>
      <c r="BT6" s="190">
        <v>0.4</v>
      </c>
      <c r="BU6" s="190">
        <v>0.25</v>
      </c>
      <c r="BV6" s="190">
        <v>4.9000000000000004</v>
      </c>
      <c r="BW6" s="190">
        <v>4</v>
      </c>
      <c r="BX6" s="190">
        <v>1</v>
      </c>
      <c r="BY6" s="190">
        <f>BV6</f>
        <v>4.9000000000000004</v>
      </c>
      <c r="BZ6" s="190"/>
      <c r="CA6" s="190"/>
      <c r="CB6" s="190"/>
      <c r="CC6" s="190"/>
      <c r="CD6" s="190">
        <f>SUM(BY6:CC6)</f>
        <v>4.9000000000000004</v>
      </c>
      <c r="CE6" s="190">
        <f t="shared" ref="CE6" si="0">BW6*CD6*BX6</f>
        <v>19.600000000000001</v>
      </c>
      <c r="CF6" s="190">
        <f t="shared" ref="CF6:CF8" si="1">PI()*(BR6/1000)^2*0.25*1*7850</f>
        <v>1.5783361491635119</v>
      </c>
      <c r="CG6" s="190">
        <f>CE6*CF6</f>
        <v>30.935388523604836</v>
      </c>
      <c r="CJ6" s="206"/>
      <c r="CK6" s="206"/>
      <c r="CL6" s="187" t="s">
        <v>467</v>
      </c>
      <c r="CM6" s="188">
        <v>10</v>
      </c>
      <c r="CN6" s="189">
        <v>150</v>
      </c>
      <c r="CO6" s="190">
        <f>1.5+0.5+1+0.1</f>
        <v>3.1</v>
      </c>
      <c r="CP6" s="190"/>
      <c r="CQ6" s="190">
        <v>37.200000000000003</v>
      </c>
      <c r="CR6" s="190">
        <f>ROUND((CO6/(CN6/1000))+1,0)</f>
        <v>22</v>
      </c>
      <c r="CS6" s="190">
        <v>2</v>
      </c>
      <c r="CT6" s="190">
        <f>CQ6</f>
        <v>37.200000000000003</v>
      </c>
      <c r="CU6" s="190"/>
      <c r="CV6" s="190"/>
      <c r="CW6" s="190"/>
      <c r="CX6" s="190"/>
      <c r="CY6" s="190">
        <f>SUM(CT6:CX6)</f>
        <v>37.200000000000003</v>
      </c>
      <c r="CZ6" s="190">
        <f>CR6*CY6*CS6</f>
        <v>1636.8000000000002</v>
      </c>
      <c r="DA6" s="190">
        <f t="shared" ref="DA6:DA7" si="2">PI()*(CM6/1000)^2*0.25*1*7850</f>
        <v>0.61653755826699685</v>
      </c>
      <c r="DB6" s="190">
        <f>CZ6*DA6</f>
        <v>1009.1486753714206</v>
      </c>
      <c r="DE6" s="206"/>
      <c r="DF6" s="206" t="s">
        <v>475</v>
      </c>
      <c r="DG6" s="187" t="s">
        <v>469</v>
      </c>
      <c r="DH6" s="188">
        <v>20</v>
      </c>
      <c r="DI6" s="189">
        <v>150</v>
      </c>
      <c r="DJ6" s="190">
        <v>1.2</v>
      </c>
      <c r="DK6" s="190">
        <v>0.25</v>
      </c>
      <c r="DL6" s="190">
        <v>2.35</v>
      </c>
      <c r="DM6" s="190">
        <v>20</v>
      </c>
      <c r="DN6" s="190">
        <v>2</v>
      </c>
      <c r="DO6" s="190">
        <f>DJ6</f>
        <v>1.2</v>
      </c>
      <c r="DP6" s="190">
        <v>0.35</v>
      </c>
      <c r="DQ6" s="190">
        <f>0.6-0.075</f>
        <v>0.52500000000000002</v>
      </c>
      <c r="DR6" s="190"/>
      <c r="DS6" s="190"/>
      <c r="DT6" s="190">
        <f t="shared" ref="DT6:DT14" si="3">SUM(DO6:DS6)</f>
        <v>2.0749999999999997</v>
      </c>
      <c r="DU6" s="190">
        <f t="shared" ref="DU6:DU14" si="4">DM6*DT6*DN6</f>
        <v>82.999999999999986</v>
      </c>
      <c r="DV6" s="190">
        <f t="shared" ref="DV6:DV7" si="5">PI()*(DH6/1000)^2*0.25*1*7850</f>
        <v>2.4661502330679874</v>
      </c>
      <c r="DW6" s="190">
        <f>DU6*DV6</f>
        <v>204.69046934464293</v>
      </c>
      <c r="DY6" s="206"/>
      <c r="DZ6" s="206" t="s">
        <v>475</v>
      </c>
      <c r="EA6" s="187" t="s">
        <v>478</v>
      </c>
      <c r="EB6" s="188">
        <v>10</v>
      </c>
      <c r="EC6" s="189">
        <v>200</v>
      </c>
      <c r="ED6" s="190"/>
      <c r="EE6" s="190">
        <v>5.3</v>
      </c>
      <c r="EF6" s="190">
        <v>6.5</v>
      </c>
      <c r="EG6" s="190">
        <f>ROUND((EE6/(EC6/1000))+1,0)</f>
        <v>28</v>
      </c>
      <c r="EH6" s="190">
        <v>1</v>
      </c>
      <c r="EI6" s="190">
        <v>0.1</v>
      </c>
      <c r="EJ6" s="190">
        <f>EF7</f>
        <v>6.5</v>
      </c>
      <c r="EK6" s="190"/>
      <c r="EL6" s="190"/>
      <c r="EM6" s="190"/>
      <c r="EN6" s="190">
        <f>SUM(EI6:EM6)</f>
        <v>6.6</v>
      </c>
      <c r="EO6" s="190">
        <f>EG6*EN6*EH6</f>
        <v>184.79999999999998</v>
      </c>
      <c r="EP6" s="190">
        <f t="shared" ref="EP6" si="6">PI()*(EB6/1000)^2*0.25*1*7850</f>
        <v>0.61653755826699685</v>
      </c>
      <c r="EQ6" s="190">
        <f>EO6*EP6</f>
        <v>113.93614076774101</v>
      </c>
    </row>
    <row r="7" spans="2:147" x14ac:dyDescent="0.25">
      <c r="B7" s="282" t="s">
        <v>416</v>
      </c>
      <c r="C7" s="282" t="s">
        <v>417</v>
      </c>
      <c r="D7" s="187" t="s">
        <v>429</v>
      </c>
      <c r="E7" s="188">
        <v>12</v>
      </c>
      <c r="F7" s="189">
        <v>200</v>
      </c>
      <c r="G7" s="190">
        <v>1.2</v>
      </c>
      <c r="H7" s="190">
        <v>1.5</v>
      </c>
      <c r="I7" s="190">
        <v>0.3</v>
      </c>
      <c r="J7" s="190">
        <f>ROUND(((G7-0.075*2)/(F7/1000))+1,0)</f>
        <v>6</v>
      </c>
      <c r="K7" s="190">
        <v>1</v>
      </c>
      <c r="L7" s="190">
        <f>I7-0.075*2</f>
        <v>0.15</v>
      </c>
      <c r="M7" s="190">
        <f>H7-0.075*2</f>
        <v>1.35</v>
      </c>
      <c r="N7" s="190">
        <f t="shared" ref="N7:N49" si="7">L7</f>
        <v>0.15</v>
      </c>
      <c r="O7" s="190"/>
      <c r="P7" s="190"/>
      <c r="Q7" s="190">
        <f>SUM(L7:P7)</f>
        <v>1.65</v>
      </c>
      <c r="R7" s="190">
        <f>J7*Q7*K7</f>
        <v>9.8999999999999986</v>
      </c>
      <c r="S7" s="190">
        <f t="shared" ref="S7:S61" si="8">PI()*(E7/1000)^2*0.25*1*7850</f>
        <v>0.88781408390447547</v>
      </c>
      <c r="T7" s="190">
        <f>R7*S7</f>
        <v>8.7893594306543061</v>
      </c>
      <c r="U7" t="s">
        <v>475</v>
      </c>
      <c r="Y7" s="282" t="s">
        <v>181</v>
      </c>
      <c r="Z7" s="282" t="s">
        <v>439</v>
      </c>
      <c r="AA7" s="187" t="s">
        <v>437</v>
      </c>
      <c r="AB7" s="188">
        <v>16</v>
      </c>
      <c r="AC7" s="189" t="s">
        <v>440</v>
      </c>
      <c r="AD7" s="190">
        <v>0.4</v>
      </c>
      <c r="AE7" s="190">
        <v>0.25</v>
      </c>
      <c r="AF7" s="190">
        <v>1.5</v>
      </c>
      <c r="AG7" s="190">
        <v>6</v>
      </c>
      <c r="AH7" s="190">
        <v>1</v>
      </c>
      <c r="AI7" s="190">
        <f>AF7-0.075</f>
        <v>1.425</v>
      </c>
      <c r="AJ7" s="190">
        <f>16*(AB7/1000)</f>
        <v>0.25600000000000001</v>
      </c>
      <c r="AK7" s="190"/>
      <c r="AL7" s="190"/>
      <c r="AM7" s="190"/>
      <c r="AN7" s="190">
        <f t="shared" ref="AN7:AN12" si="9">SUM(AI7:AM7)</f>
        <v>1.681</v>
      </c>
      <c r="AO7" s="190">
        <f>AG7*AN7*AH7</f>
        <v>10.086</v>
      </c>
      <c r="AP7" s="190">
        <f t="shared" ref="AP7:AP9" si="10">PI()*(AB7/1000)^2*0.25*1*7850</f>
        <v>1.5783361491635119</v>
      </c>
      <c r="AQ7" s="190">
        <f>AO7*AP7</f>
        <v>15.919098400463183</v>
      </c>
      <c r="AT7" s="206" t="s">
        <v>195</v>
      </c>
      <c r="AU7" s="206" t="s">
        <v>496</v>
      </c>
      <c r="AV7" s="187" t="s">
        <v>444</v>
      </c>
      <c r="AW7" s="188">
        <v>20</v>
      </c>
      <c r="AX7" s="189" t="s">
        <v>440</v>
      </c>
      <c r="AY7" s="190"/>
      <c r="AZ7" s="190"/>
      <c r="BA7" s="190">
        <v>1.5</v>
      </c>
      <c r="BB7" s="190">
        <v>12</v>
      </c>
      <c r="BC7" s="190">
        <v>2</v>
      </c>
      <c r="BD7" s="190">
        <f>BA7-0.075*2</f>
        <v>1.35</v>
      </c>
      <c r="BE7" s="190">
        <f>16*(AW7/1000)</f>
        <v>0.32</v>
      </c>
      <c r="BF7" s="190"/>
      <c r="BG7" s="190"/>
      <c r="BH7" s="190"/>
      <c r="BI7" s="190">
        <f>SUM(BD7:BH7)</f>
        <v>1.6700000000000002</v>
      </c>
      <c r="BJ7" s="190">
        <f>BB7*BI7*BC7</f>
        <v>40.080000000000005</v>
      </c>
      <c r="BK7" s="190">
        <f t="shared" ref="BK7:BK11" si="11">PI()*(AW7/1000)^2*0.25*1*7850</f>
        <v>2.4661502330679874</v>
      </c>
      <c r="BL7" s="190">
        <f>BJ7*BK7</f>
        <v>98.843301341364949</v>
      </c>
      <c r="BO7" s="244"/>
      <c r="BP7" s="206"/>
      <c r="BQ7" s="187" t="s">
        <v>452</v>
      </c>
      <c r="BR7" s="188">
        <v>16</v>
      </c>
      <c r="BS7" s="222">
        <v>0</v>
      </c>
      <c r="BT7" s="190">
        <v>0.4</v>
      </c>
      <c r="BU7" s="190">
        <v>0.25</v>
      </c>
      <c r="BV7" s="190">
        <v>4.9000000000000004</v>
      </c>
      <c r="BW7" s="190">
        <v>6</v>
      </c>
      <c r="BX7" s="190">
        <v>1</v>
      </c>
      <c r="BY7" s="190">
        <f>BV7</f>
        <v>4.9000000000000004</v>
      </c>
      <c r="BZ7" s="190"/>
      <c r="CA7" s="190"/>
      <c r="CB7" s="190"/>
      <c r="CC7" s="190"/>
      <c r="CD7" s="190">
        <f t="shared" ref="CD7" si="12">SUM(BY7:CC7)</f>
        <v>4.9000000000000004</v>
      </c>
      <c r="CE7" s="190">
        <f>BW7*CD7*BX7</f>
        <v>29.400000000000002</v>
      </c>
      <c r="CF7" s="190">
        <f t="shared" si="1"/>
        <v>1.5783361491635119</v>
      </c>
      <c r="CG7" s="190">
        <f t="shared" ref="CG7:CG8" si="13">CE7*CF7</f>
        <v>46.403082785407257</v>
      </c>
      <c r="CJ7" s="206"/>
      <c r="CK7" s="206"/>
      <c r="CL7" s="187" t="s">
        <v>469</v>
      </c>
      <c r="CM7" s="188">
        <v>12</v>
      </c>
      <c r="CN7" s="189">
        <v>150</v>
      </c>
      <c r="CO7" s="190">
        <f>CO6</f>
        <v>3.1</v>
      </c>
      <c r="CP7" s="190"/>
      <c r="CQ7" s="190">
        <v>37.200000000000003</v>
      </c>
      <c r="CR7" s="190">
        <f>ROUND((CQ7/(CN7/1000))+1,0)</f>
        <v>249</v>
      </c>
      <c r="CS7" s="190">
        <v>2</v>
      </c>
      <c r="CT7" s="190">
        <f>CO7</f>
        <v>3.1</v>
      </c>
      <c r="CU7" s="190">
        <f>0.5-0.075</f>
        <v>0.42499999999999999</v>
      </c>
      <c r="CV7" s="190">
        <v>0.4</v>
      </c>
      <c r="CW7" s="190">
        <v>0.14000000000000001</v>
      </c>
      <c r="CX7" s="190">
        <f>0.2-0.05</f>
        <v>0.15000000000000002</v>
      </c>
      <c r="CY7" s="190">
        <f>SUM(CT7:CX7)</f>
        <v>4.2149999999999999</v>
      </c>
      <c r="CZ7" s="190">
        <f>CR7*CY7*CS7</f>
        <v>2099.0699999999997</v>
      </c>
      <c r="DA7" s="190">
        <f t="shared" si="2"/>
        <v>0.88781408390447547</v>
      </c>
      <c r="DB7" s="190">
        <f t="shared" ref="DB7" si="14">CZ7*DA7</f>
        <v>1863.583909101367</v>
      </c>
      <c r="DE7" s="206"/>
      <c r="DF7" s="206"/>
      <c r="DG7" s="187" t="s">
        <v>469</v>
      </c>
      <c r="DH7" s="188">
        <v>20</v>
      </c>
      <c r="DI7" s="189">
        <v>150</v>
      </c>
      <c r="DJ7" s="190">
        <v>1.2</v>
      </c>
      <c r="DK7" s="190"/>
      <c r="DL7" s="190">
        <v>37.200000000000003</v>
      </c>
      <c r="DM7" s="190">
        <v>24</v>
      </c>
      <c r="DN7" s="190">
        <v>2</v>
      </c>
      <c r="DO7" s="190">
        <f t="shared" ref="DO7:DO8" si="15">DJ7</f>
        <v>1.2</v>
      </c>
      <c r="DP7" s="190">
        <f t="shared" ref="DP7:DQ9" si="16">DP6</f>
        <v>0.35</v>
      </c>
      <c r="DQ7" s="190">
        <f t="shared" si="16"/>
        <v>0.52500000000000002</v>
      </c>
      <c r="DR7" s="190"/>
      <c r="DS7" s="190"/>
      <c r="DT7" s="190">
        <f t="shared" si="3"/>
        <v>2.0749999999999997</v>
      </c>
      <c r="DU7" s="190">
        <f t="shared" si="4"/>
        <v>99.6</v>
      </c>
      <c r="DV7" s="190">
        <f t="shared" si="5"/>
        <v>2.4661502330679874</v>
      </c>
      <c r="DW7" s="190">
        <f t="shared" ref="DW7" si="17">DU7*DV7</f>
        <v>245.62856321357154</v>
      </c>
      <c r="DY7" s="206"/>
      <c r="DZ7" s="206"/>
      <c r="EA7" s="187" t="s">
        <v>479</v>
      </c>
      <c r="EB7" s="188">
        <v>10</v>
      </c>
      <c r="EC7" s="189">
        <v>200</v>
      </c>
      <c r="ED7" s="190"/>
      <c r="EE7" s="190">
        <v>5.3</v>
      </c>
      <c r="EF7" s="190">
        <v>6.5</v>
      </c>
      <c r="EG7" s="190">
        <f>ROUND((EF7/(EC7/1000))+1,0)</f>
        <v>34</v>
      </c>
      <c r="EH7" s="190">
        <v>1</v>
      </c>
      <c r="EI7" s="190">
        <v>0.1</v>
      </c>
      <c r="EJ7" s="190">
        <f>EE6</f>
        <v>5.3</v>
      </c>
      <c r="EK7" s="190"/>
      <c r="EL7" s="190"/>
      <c r="EM7" s="190"/>
      <c r="EN7" s="190">
        <f>SUM(EI7:EM7)</f>
        <v>5.3999999999999995</v>
      </c>
      <c r="EO7" s="190">
        <f>EG7*EN7*EH7</f>
        <v>183.6</v>
      </c>
      <c r="EP7" s="190">
        <f t="shared" ref="EP7" si="18">PI()*(EB7/1000)^2*0.25*1*7850</f>
        <v>0.61653755826699685</v>
      </c>
      <c r="EQ7" s="190">
        <f>EO7*EP7</f>
        <v>113.19629569782062</v>
      </c>
    </row>
    <row r="8" spans="2:147" x14ac:dyDescent="0.25">
      <c r="B8" s="282"/>
      <c r="C8" s="282"/>
      <c r="D8" s="187" t="s">
        <v>430</v>
      </c>
      <c r="E8" s="188">
        <v>12</v>
      </c>
      <c r="F8" s="189">
        <v>200</v>
      </c>
      <c r="G8" s="190">
        <v>1.2</v>
      </c>
      <c r="H8" s="190">
        <v>1.5</v>
      </c>
      <c r="I8" s="190">
        <v>0.3</v>
      </c>
      <c r="J8" s="190">
        <f>ROUND(((H8-0.075*2)/(F8/1000))+1,0)</f>
        <v>8</v>
      </c>
      <c r="K8" s="190">
        <v>1</v>
      </c>
      <c r="L8" s="190">
        <f t="shared" ref="L8" si="19">I8-0.075*2</f>
        <v>0.15</v>
      </c>
      <c r="M8" s="190">
        <f t="shared" ref="M8" si="20">G8-0.075*2</f>
        <v>1.05</v>
      </c>
      <c r="N8" s="190">
        <f t="shared" si="7"/>
        <v>0.15</v>
      </c>
      <c r="O8" s="190"/>
      <c r="P8" s="190"/>
      <c r="Q8" s="190">
        <f>SUM(L8:P8)</f>
        <v>1.3499999999999999</v>
      </c>
      <c r="R8" s="190">
        <f>J8*Q8*K8</f>
        <v>10.799999999999999</v>
      </c>
      <c r="S8" s="190">
        <f t="shared" si="8"/>
        <v>0.88781408390447547</v>
      </c>
      <c r="T8" s="190">
        <f t="shared" ref="T8" si="21">R8*S8</f>
        <v>9.5883921061683335</v>
      </c>
      <c r="Y8" s="282"/>
      <c r="Z8" s="282"/>
      <c r="AA8" s="187" t="s">
        <v>438</v>
      </c>
      <c r="AB8" s="188">
        <v>10</v>
      </c>
      <c r="AC8" s="189">
        <v>200</v>
      </c>
      <c r="AD8" s="190">
        <v>0.4</v>
      </c>
      <c r="AE8" s="190">
        <v>0.25</v>
      </c>
      <c r="AF8" s="190">
        <v>1.5</v>
      </c>
      <c r="AG8" s="190">
        <f>ROUND(((1.5-0.075)/(AC8/1000))+1,0)</f>
        <v>8</v>
      </c>
      <c r="AH8" s="190">
        <v>1</v>
      </c>
      <c r="AI8" s="190">
        <f>AD8-0.04*2</f>
        <v>0.32</v>
      </c>
      <c r="AJ8" s="190">
        <f>AE8-0.04*2</f>
        <v>0.16999999999999998</v>
      </c>
      <c r="AK8" s="190">
        <f>AI8</f>
        <v>0.32</v>
      </c>
      <c r="AL8" s="190">
        <f>AJ8</f>
        <v>0.16999999999999998</v>
      </c>
      <c r="AM8" s="190">
        <f>10*(AB8/1000)</f>
        <v>0.1</v>
      </c>
      <c r="AN8" s="190">
        <f>SUM(AI8:AM8)</f>
        <v>1.08</v>
      </c>
      <c r="AO8" s="190">
        <f>AG8*AN8*AH8</f>
        <v>8.64</v>
      </c>
      <c r="AP8" s="190">
        <f t="shared" si="10"/>
        <v>0.61653755826699685</v>
      </c>
      <c r="AQ8" s="190">
        <f t="shared" ref="AQ8" si="22">AO8*AP8</f>
        <v>5.3268845034268528</v>
      </c>
      <c r="AT8" s="206"/>
      <c r="AU8" s="206"/>
      <c r="AV8" s="187" t="s">
        <v>445</v>
      </c>
      <c r="AW8" s="188">
        <v>16</v>
      </c>
      <c r="AX8" s="189">
        <v>200</v>
      </c>
      <c r="AY8" s="190">
        <f>2.5-0.55*2</f>
        <v>1.4</v>
      </c>
      <c r="AZ8" s="190"/>
      <c r="BA8" s="190">
        <v>1.5</v>
      </c>
      <c r="BB8" s="190">
        <v>14</v>
      </c>
      <c r="BC8" s="190">
        <v>1</v>
      </c>
      <c r="BD8" s="190">
        <f>BA8-0.075*2</f>
        <v>1.35</v>
      </c>
      <c r="BE8" s="190">
        <f>16*(AW8/1000)</f>
        <v>0.25600000000000001</v>
      </c>
      <c r="BF8" s="190"/>
      <c r="BG8" s="190"/>
      <c r="BH8" s="190"/>
      <c r="BI8" s="190">
        <f>SUM(BD8:BH8)</f>
        <v>1.6060000000000001</v>
      </c>
      <c r="BJ8" s="190">
        <f>BB8*BI8*BC8</f>
        <v>22.484000000000002</v>
      </c>
      <c r="BK8" s="190">
        <f t="shared" si="11"/>
        <v>1.5783361491635119</v>
      </c>
      <c r="BL8" s="190">
        <f t="shared" ref="BL8:BL11" si="23">BJ8*BK8</f>
        <v>35.487309977792407</v>
      </c>
      <c r="BO8" s="244"/>
      <c r="BP8" s="206"/>
      <c r="BQ8" s="187" t="s">
        <v>456</v>
      </c>
      <c r="BR8" s="188">
        <v>10</v>
      </c>
      <c r="BS8" s="189">
        <v>200</v>
      </c>
      <c r="BT8" s="190">
        <v>0.4</v>
      </c>
      <c r="BU8" s="190">
        <v>0.25</v>
      </c>
      <c r="BV8" s="190">
        <v>4.9000000000000004</v>
      </c>
      <c r="BW8" s="190">
        <f>ROUND((BV8/(BS8/1000))+1,0)</f>
        <v>26</v>
      </c>
      <c r="BX8" s="190">
        <v>1</v>
      </c>
      <c r="BY8" s="190">
        <f>BT8-0.04*2</f>
        <v>0.32</v>
      </c>
      <c r="BZ8" s="190">
        <f>BU8-0.04*2</f>
        <v>0.16999999999999998</v>
      </c>
      <c r="CA8" s="190">
        <f>BY8</f>
        <v>0.32</v>
      </c>
      <c r="CB8" s="190">
        <f>BZ8</f>
        <v>0.16999999999999998</v>
      </c>
      <c r="CC8" s="190">
        <f>(10*BR8)/1000</f>
        <v>0.1</v>
      </c>
      <c r="CD8" s="190">
        <f>SUM(BY8:CC8)</f>
        <v>1.08</v>
      </c>
      <c r="CE8" s="190">
        <f>BW8*CD8*BX8</f>
        <v>28.080000000000002</v>
      </c>
      <c r="CF8" s="190">
        <f t="shared" si="1"/>
        <v>0.61653755826699685</v>
      </c>
      <c r="CG8" s="190">
        <f t="shared" si="13"/>
        <v>17.312374636137275</v>
      </c>
      <c r="DE8" s="206"/>
      <c r="DF8" s="206"/>
      <c r="DG8" s="187" t="s">
        <v>469</v>
      </c>
      <c r="DH8" s="188">
        <v>12</v>
      </c>
      <c r="DI8" s="189">
        <v>200</v>
      </c>
      <c r="DJ8" s="190">
        <v>1.2</v>
      </c>
      <c r="DK8" s="190"/>
      <c r="DL8" s="190">
        <v>37.200000000000003</v>
      </c>
      <c r="DM8" s="190">
        <v>12</v>
      </c>
      <c r="DN8" s="190">
        <v>1</v>
      </c>
      <c r="DO8" s="190">
        <f t="shared" si="15"/>
        <v>1.2</v>
      </c>
      <c r="DP8" s="190">
        <f t="shared" si="16"/>
        <v>0.35</v>
      </c>
      <c r="DQ8" s="190">
        <f t="shared" si="16"/>
        <v>0.52500000000000002</v>
      </c>
      <c r="DR8" s="190"/>
      <c r="DS8" s="190"/>
      <c r="DT8" s="190">
        <f t="shared" si="3"/>
        <v>2.0749999999999997</v>
      </c>
      <c r="DU8" s="190">
        <f t="shared" si="4"/>
        <v>24.9</v>
      </c>
      <c r="DV8" s="190">
        <f t="shared" ref="DV8" si="24">PI()*(DH8/1000)^2*0.25*1*7850</f>
        <v>0.88781408390447547</v>
      </c>
      <c r="DW8" s="190">
        <f t="shared" ref="DW8" si="25">DU8*DV8</f>
        <v>22.106570689221439</v>
      </c>
      <c r="DY8" s="206"/>
      <c r="DZ8" s="206"/>
      <c r="EA8" s="187"/>
      <c r="EB8" s="188"/>
      <c r="EC8" s="189"/>
      <c r="ED8" s="190"/>
      <c r="EE8" s="190"/>
      <c r="EF8" s="190"/>
      <c r="EG8" s="190"/>
      <c r="EH8" s="190"/>
      <c r="EI8" s="190"/>
      <c r="EJ8" s="190"/>
      <c r="EK8" s="190"/>
      <c r="EL8" s="190"/>
      <c r="EM8" s="190"/>
      <c r="EN8" s="190"/>
      <c r="EO8" s="190"/>
      <c r="EP8" s="190"/>
      <c r="EQ8" s="190"/>
    </row>
    <row r="9" spans="2:147" x14ac:dyDescent="0.25">
      <c r="B9" s="282"/>
      <c r="C9" s="282"/>
      <c r="D9" s="187" t="s">
        <v>431</v>
      </c>
      <c r="E9" s="188">
        <v>12</v>
      </c>
      <c r="F9" s="189">
        <v>250</v>
      </c>
      <c r="G9" s="190">
        <v>1.2</v>
      </c>
      <c r="H9" s="190">
        <v>1.5</v>
      </c>
      <c r="I9" s="190">
        <v>0.3</v>
      </c>
      <c r="J9" s="190">
        <f>ROUND(((G9-0.075*2)/(F9/1000))+1,0)</f>
        <v>5</v>
      </c>
      <c r="K9" s="190">
        <v>1</v>
      </c>
      <c r="L9" s="190">
        <f>I9-0.075*2</f>
        <v>0.15</v>
      </c>
      <c r="M9" s="190">
        <f>H9-0.075*2</f>
        <v>1.35</v>
      </c>
      <c r="N9" s="190">
        <f t="shared" ref="N9:N12" si="26">L9</f>
        <v>0.15</v>
      </c>
      <c r="O9" s="190"/>
      <c r="P9" s="190"/>
      <c r="Q9" s="190">
        <f t="shared" ref="Q9:Q42" si="27">SUM(L9:P9)</f>
        <v>1.65</v>
      </c>
      <c r="R9" s="190">
        <f t="shared" ref="R9:R41" si="28">J9*Q9*K9</f>
        <v>8.25</v>
      </c>
      <c r="S9" s="190">
        <f t="shared" ref="S9:S10" si="29">PI()*(E9/1000)^2*0.25*1*7850</f>
        <v>0.88781408390447547</v>
      </c>
      <c r="T9" s="190">
        <f>R9*S9</f>
        <v>7.324466192211923</v>
      </c>
      <c r="Y9" s="281" t="s">
        <v>190</v>
      </c>
      <c r="Z9" s="281" t="s">
        <v>439</v>
      </c>
      <c r="AA9" s="191" t="s">
        <v>437</v>
      </c>
      <c r="AB9" s="192">
        <v>16</v>
      </c>
      <c r="AC9" s="193" t="s">
        <v>440</v>
      </c>
      <c r="AD9" s="194">
        <v>0.4</v>
      </c>
      <c r="AE9" s="194">
        <v>0.25</v>
      </c>
      <c r="AF9" s="194">
        <v>1.5</v>
      </c>
      <c r="AG9" s="194">
        <v>6</v>
      </c>
      <c r="AH9" s="194">
        <v>1</v>
      </c>
      <c r="AI9" s="194">
        <f>AF9-0.075</f>
        <v>1.425</v>
      </c>
      <c r="AJ9" s="194">
        <f>16*(AB9/1000)</f>
        <v>0.25600000000000001</v>
      </c>
      <c r="AK9" s="194"/>
      <c r="AL9" s="194"/>
      <c r="AM9" s="194"/>
      <c r="AN9" s="194">
        <f t="shared" si="9"/>
        <v>1.681</v>
      </c>
      <c r="AO9" s="194">
        <f t="shared" ref="AO9" si="30">AG9*AN9*AH9</f>
        <v>10.086</v>
      </c>
      <c r="AP9" s="194">
        <f t="shared" si="10"/>
        <v>1.5783361491635119</v>
      </c>
      <c r="AQ9" s="194">
        <f>AO9*AP9</f>
        <v>15.919098400463183</v>
      </c>
      <c r="AT9" s="206"/>
      <c r="AU9" s="206"/>
      <c r="AV9" s="187" t="s">
        <v>446</v>
      </c>
      <c r="AW9" s="188">
        <v>10</v>
      </c>
      <c r="AX9" s="189">
        <v>200</v>
      </c>
      <c r="AY9" s="190">
        <v>2.5</v>
      </c>
      <c r="AZ9" s="190">
        <v>0.3</v>
      </c>
      <c r="BA9" s="190">
        <v>1.5</v>
      </c>
      <c r="BB9" s="190">
        <f>ROUND(((1.5-0.075)/(AX9/1000))+1,0)</f>
        <v>8</v>
      </c>
      <c r="BC9" s="190">
        <v>1</v>
      </c>
      <c r="BD9" s="190">
        <f>AY9-0.04*2</f>
        <v>2.42</v>
      </c>
      <c r="BE9" s="190">
        <f>AZ9-0.04*2</f>
        <v>0.21999999999999997</v>
      </c>
      <c r="BF9" s="190">
        <f t="shared" ref="BF9" si="31">BD9</f>
        <v>2.42</v>
      </c>
      <c r="BG9" s="190">
        <f>BE9</f>
        <v>0.21999999999999997</v>
      </c>
      <c r="BH9" s="190">
        <f>10*(AW9/1000)</f>
        <v>0.1</v>
      </c>
      <c r="BI9" s="190">
        <f>SUM(BD9:BH9)</f>
        <v>5.379999999999999</v>
      </c>
      <c r="BJ9" s="190">
        <f>BB9*BI9*BC9</f>
        <v>43.039999999999992</v>
      </c>
      <c r="BK9" s="190">
        <f t="shared" ref="BK9" si="32">PI()*(AW9/1000)^2*0.25*1*7850</f>
        <v>0.61653755826699685</v>
      </c>
      <c r="BL9" s="190">
        <f t="shared" ref="BL9" si="33">BJ9*BK9</f>
        <v>26.535776507811541</v>
      </c>
      <c r="BO9" s="244"/>
      <c r="BP9" s="206"/>
      <c r="BQ9" s="187" t="s">
        <v>453</v>
      </c>
      <c r="BR9" s="188">
        <v>12</v>
      </c>
      <c r="BS9" s="222">
        <v>0</v>
      </c>
      <c r="BT9" s="190">
        <v>0.4</v>
      </c>
      <c r="BU9" s="190">
        <v>0.25</v>
      </c>
      <c r="BV9" s="190">
        <v>4.9000000000000004</v>
      </c>
      <c r="BW9" s="190">
        <v>2</v>
      </c>
      <c r="BX9" s="190">
        <v>1</v>
      </c>
      <c r="BY9" s="190">
        <f>BV9</f>
        <v>4.9000000000000004</v>
      </c>
      <c r="BZ9" s="190"/>
      <c r="CA9" s="190"/>
      <c r="CB9" s="190"/>
      <c r="CC9" s="190"/>
      <c r="CD9" s="190">
        <f t="shared" ref="CD9" si="34">SUM(BY9:CC9)</f>
        <v>4.9000000000000004</v>
      </c>
      <c r="CE9" s="190">
        <f>BW9*CD9*BX9</f>
        <v>9.8000000000000007</v>
      </c>
      <c r="CF9" s="190">
        <f t="shared" ref="CF9" si="35">PI()*(BR9/1000)^2*0.25*1*7850</f>
        <v>0.88781408390447547</v>
      </c>
      <c r="CG9" s="190">
        <f t="shared" ref="CG9" si="36">CE9*CF9</f>
        <v>8.7005780222638602</v>
      </c>
      <c r="CJ9" s="283" t="s">
        <v>425</v>
      </c>
      <c r="CK9" s="283"/>
      <c r="DE9" s="206"/>
      <c r="DF9" s="206"/>
      <c r="DG9" s="187" t="s">
        <v>469</v>
      </c>
      <c r="DH9" s="188">
        <v>16</v>
      </c>
      <c r="DI9" s="189">
        <v>150</v>
      </c>
      <c r="DJ9" s="190">
        <v>1.2</v>
      </c>
      <c r="DK9" s="190"/>
      <c r="DL9" s="190">
        <v>37.200000000000003</v>
      </c>
      <c r="DM9" s="190">
        <v>36</v>
      </c>
      <c r="DN9" s="190">
        <v>2</v>
      </c>
      <c r="DO9" s="190">
        <f>DJ9</f>
        <v>1.2</v>
      </c>
      <c r="DP9" s="190">
        <f t="shared" si="16"/>
        <v>0.35</v>
      </c>
      <c r="DQ9" s="190">
        <f t="shared" si="16"/>
        <v>0.52500000000000002</v>
      </c>
      <c r="DR9" s="190"/>
      <c r="DS9" s="190"/>
      <c r="DT9" s="190">
        <f t="shared" si="3"/>
        <v>2.0749999999999997</v>
      </c>
      <c r="DU9" s="190">
        <f t="shared" si="4"/>
        <v>149.39999999999998</v>
      </c>
      <c r="DV9" s="190">
        <f t="shared" ref="DV9" si="37">PI()*(DH9/1000)^2*0.25*1*7850</f>
        <v>1.5783361491635119</v>
      </c>
      <c r="DW9" s="190">
        <f t="shared" ref="DW9" si="38">DU9*DV9</f>
        <v>235.80342068502864</v>
      </c>
      <c r="DY9" s="206"/>
      <c r="DZ9" s="206"/>
      <c r="EA9" s="187"/>
      <c r="EB9" s="188"/>
      <c r="EC9" s="189"/>
      <c r="ED9" s="190"/>
      <c r="EE9" s="190"/>
      <c r="EF9" s="190"/>
      <c r="EG9" s="190"/>
      <c r="EH9" s="190"/>
      <c r="EI9" s="190"/>
      <c r="EJ9" s="190"/>
      <c r="EK9" s="190"/>
      <c r="EL9" s="190"/>
      <c r="EM9" s="190"/>
      <c r="EN9" s="190"/>
      <c r="EO9" s="190"/>
      <c r="EP9" s="190"/>
      <c r="EQ9" s="190"/>
    </row>
    <row r="10" spans="2:147" x14ac:dyDescent="0.25">
      <c r="B10" s="282"/>
      <c r="C10" s="282"/>
      <c r="D10" s="187" t="s">
        <v>432</v>
      </c>
      <c r="E10" s="188">
        <v>12</v>
      </c>
      <c r="F10" s="189">
        <v>250</v>
      </c>
      <c r="G10" s="190">
        <v>1.2</v>
      </c>
      <c r="H10" s="190">
        <v>1.5</v>
      </c>
      <c r="I10" s="190">
        <v>0.3</v>
      </c>
      <c r="J10" s="190">
        <f>ROUND(((H10-0.075*2)/(F10/1000))+1,0)</f>
        <v>6</v>
      </c>
      <c r="K10" s="190">
        <v>1</v>
      </c>
      <c r="L10" s="190">
        <f t="shared" ref="L10" si="39">I10-0.075*2</f>
        <v>0.15</v>
      </c>
      <c r="M10" s="190">
        <f t="shared" ref="M10" si="40">G10-0.075*2</f>
        <v>1.05</v>
      </c>
      <c r="N10" s="190">
        <f t="shared" si="26"/>
        <v>0.15</v>
      </c>
      <c r="O10" s="190"/>
      <c r="P10" s="190"/>
      <c r="Q10" s="190">
        <f t="shared" si="27"/>
        <v>1.3499999999999999</v>
      </c>
      <c r="R10" s="190">
        <f t="shared" si="28"/>
        <v>8.1</v>
      </c>
      <c r="S10" s="190">
        <f t="shared" si="29"/>
        <v>0.88781408390447547</v>
      </c>
      <c r="T10" s="190">
        <f t="shared" ref="T10" si="41">R10*S10</f>
        <v>7.1912940796262506</v>
      </c>
      <c r="Y10" s="281"/>
      <c r="Z10" s="281"/>
      <c r="AA10" s="191" t="s">
        <v>438</v>
      </c>
      <c r="AB10" s="192">
        <v>10</v>
      </c>
      <c r="AC10" s="193">
        <v>200</v>
      </c>
      <c r="AD10" s="194">
        <v>0.4</v>
      </c>
      <c r="AE10" s="194">
        <v>0.25</v>
      </c>
      <c r="AF10" s="194">
        <v>1.5</v>
      </c>
      <c r="AG10" s="194">
        <f>ROUND(((1.5-0.075)/(AC10/1000))+1,0)</f>
        <v>8</v>
      </c>
      <c r="AH10" s="194">
        <v>1</v>
      </c>
      <c r="AI10" s="194">
        <f>AD10-0.04*2</f>
        <v>0.32</v>
      </c>
      <c r="AJ10" s="194">
        <f>AE10-0.04*2</f>
        <v>0.16999999999999998</v>
      </c>
      <c r="AK10" s="194">
        <f t="shared" ref="AK10" si="42">AI10</f>
        <v>0.32</v>
      </c>
      <c r="AL10" s="194">
        <f>AJ10</f>
        <v>0.16999999999999998</v>
      </c>
      <c r="AM10" s="194">
        <f>10*(AB10/1000)</f>
        <v>0.1</v>
      </c>
      <c r="AN10" s="194">
        <f>SUM(AI10:AM10)</f>
        <v>1.08</v>
      </c>
      <c r="AO10" s="194">
        <f>AG10*AN10*AH10</f>
        <v>8.64</v>
      </c>
      <c r="AP10" s="194">
        <f>PI()*(AB10/1000)^2*0.25*1*7850</f>
        <v>0.61653755826699685</v>
      </c>
      <c r="AQ10" s="194">
        <f>AO10*AP10</f>
        <v>5.3268845034268528</v>
      </c>
      <c r="AT10" s="206"/>
      <c r="AU10" s="206"/>
      <c r="AV10" s="187" t="s">
        <v>446</v>
      </c>
      <c r="AW10" s="188">
        <v>10</v>
      </c>
      <c r="AX10" s="189">
        <v>200</v>
      </c>
      <c r="AY10" s="190">
        <v>0.55000000000000004</v>
      </c>
      <c r="AZ10" s="190">
        <v>0.3</v>
      </c>
      <c r="BA10" s="190">
        <v>1.5</v>
      </c>
      <c r="BB10" s="190">
        <f>ROUND(((1.5-0.075)/(AX10/1000))+1,0)</f>
        <v>8</v>
      </c>
      <c r="BC10" s="190">
        <v>2</v>
      </c>
      <c r="BD10" s="190">
        <f>AY10-0.04</f>
        <v>0.51</v>
      </c>
      <c r="BE10" s="190">
        <f>AZ10-0.04*2</f>
        <v>0.21999999999999997</v>
      </c>
      <c r="BF10" s="190">
        <f t="shared" ref="BF10" si="43">BD10</f>
        <v>0.51</v>
      </c>
      <c r="BG10" s="190">
        <f>BE10</f>
        <v>0.21999999999999997</v>
      </c>
      <c r="BH10" s="190">
        <f>10*(AW10/1000)</f>
        <v>0.1</v>
      </c>
      <c r="BI10" s="190">
        <f t="shared" ref="BI10:BI11" si="44">SUM(BD10:BH10)</f>
        <v>1.56</v>
      </c>
      <c r="BJ10" s="190">
        <f>BB10*BI10*BC10</f>
        <v>24.96</v>
      </c>
      <c r="BK10" s="190">
        <f t="shared" si="11"/>
        <v>0.61653755826699685</v>
      </c>
      <c r="BL10" s="190">
        <f t="shared" si="23"/>
        <v>15.388777454344241</v>
      </c>
      <c r="BO10" s="245" t="s">
        <v>457</v>
      </c>
      <c r="BP10" s="216" t="s">
        <v>253</v>
      </c>
      <c r="BQ10" s="217" t="s">
        <v>451</v>
      </c>
      <c r="BR10" s="218">
        <v>16</v>
      </c>
      <c r="BS10" s="223">
        <v>0</v>
      </c>
      <c r="BT10" s="220">
        <v>0.3</v>
      </c>
      <c r="BU10" s="220">
        <v>0.82</v>
      </c>
      <c r="BV10" s="220">
        <v>3.55</v>
      </c>
      <c r="BW10" s="220">
        <v>4</v>
      </c>
      <c r="BX10" s="220">
        <v>1</v>
      </c>
      <c r="BY10" s="220">
        <f>BV10</f>
        <v>3.55</v>
      </c>
      <c r="BZ10" s="220"/>
      <c r="CA10" s="220"/>
      <c r="CB10" s="220"/>
      <c r="CC10" s="220"/>
      <c r="CD10" s="220">
        <f>SUM(BY10:CC10)</f>
        <v>3.55</v>
      </c>
      <c r="CE10" s="220">
        <f t="shared" ref="CE10" si="45">BW10*CD10*BX10</f>
        <v>14.2</v>
      </c>
      <c r="CF10" s="220">
        <f t="shared" ref="CF10:CF17" si="46">PI()*(BR10/1000)^2*0.25*1*7850</f>
        <v>1.5783361491635119</v>
      </c>
      <c r="CG10" s="220">
        <f>CE10*CF10</f>
        <v>22.412373318121869</v>
      </c>
      <c r="CJ10" s="203" t="s">
        <v>76</v>
      </c>
      <c r="CK10" s="197" t="s">
        <v>427</v>
      </c>
      <c r="CL10" s="197" t="s">
        <v>41</v>
      </c>
      <c r="CM10" s="197" t="s">
        <v>415</v>
      </c>
      <c r="DE10" s="206"/>
      <c r="DF10" s="206"/>
      <c r="DG10" s="187" t="s">
        <v>471</v>
      </c>
      <c r="DH10" s="188">
        <v>12</v>
      </c>
      <c r="DI10" s="189">
        <v>150</v>
      </c>
      <c r="DJ10" s="190">
        <v>1.2</v>
      </c>
      <c r="DK10" s="190">
        <v>0.25</v>
      </c>
      <c r="DL10" s="190">
        <v>2.35</v>
      </c>
      <c r="DM10" s="190">
        <f>ROUND((DJ10/(DI10/1000))+1,0)</f>
        <v>9</v>
      </c>
      <c r="DN10" s="190">
        <v>2</v>
      </c>
      <c r="DO10" s="190">
        <f>DL10-0.05*2</f>
        <v>2.25</v>
      </c>
      <c r="DP10" s="190">
        <f>DK10-0.05*2</f>
        <v>0.15</v>
      </c>
      <c r="DQ10" s="190">
        <f t="shared" ref="DQ10:DR13" si="47">DO10</f>
        <v>2.25</v>
      </c>
      <c r="DR10" s="190">
        <f t="shared" si="47"/>
        <v>0.15</v>
      </c>
      <c r="DS10" s="190"/>
      <c r="DT10" s="190">
        <f t="shared" si="3"/>
        <v>4.8000000000000007</v>
      </c>
      <c r="DU10" s="190">
        <f t="shared" si="4"/>
        <v>86.4</v>
      </c>
      <c r="DV10" s="190">
        <f t="shared" ref="DV10:DV11" si="48">PI()*(DH10/1000)^2*0.25*1*7850</f>
        <v>0.88781408390447547</v>
      </c>
      <c r="DW10" s="190">
        <f>DU10*DV10</f>
        <v>76.707136849346682</v>
      </c>
      <c r="DY10" s="206"/>
      <c r="DZ10" s="206"/>
      <c r="EA10" s="187"/>
      <c r="EB10" s="188"/>
      <c r="EC10" s="189"/>
      <c r="ED10" s="190"/>
      <c r="EE10" s="190"/>
      <c r="EF10" s="190"/>
      <c r="EG10" s="190"/>
      <c r="EH10" s="190"/>
      <c r="EI10" s="190"/>
      <c r="EJ10" s="190"/>
      <c r="EK10" s="190"/>
      <c r="EL10" s="190"/>
      <c r="EM10" s="190"/>
      <c r="EN10" s="190"/>
      <c r="EO10" s="190"/>
      <c r="EP10" s="190"/>
      <c r="EQ10" s="190"/>
    </row>
    <row r="11" spans="2:147" x14ac:dyDescent="0.25">
      <c r="B11" s="281" t="s">
        <v>418</v>
      </c>
      <c r="C11" s="281" t="s">
        <v>417</v>
      </c>
      <c r="D11" s="191" t="s">
        <v>429</v>
      </c>
      <c r="E11" s="192">
        <v>12</v>
      </c>
      <c r="F11" s="193">
        <v>200</v>
      </c>
      <c r="G11" s="194">
        <v>1.3</v>
      </c>
      <c r="H11" s="194">
        <v>1.7</v>
      </c>
      <c r="I11" s="194">
        <v>0.3</v>
      </c>
      <c r="J11" s="194">
        <f>ROUND(((G11-0.075*2)/(F11/1000))+1,0)</f>
        <v>7</v>
      </c>
      <c r="K11" s="194">
        <v>1</v>
      </c>
      <c r="L11" s="194">
        <f>I11-0.075*2</f>
        <v>0.15</v>
      </c>
      <c r="M11" s="194">
        <f>H11-0.075*2</f>
        <v>1.55</v>
      </c>
      <c r="N11" s="194">
        <f t="shared" si="26"/>
        <v>0.15</v>
      </c>
      <c r="O11" s="194"/>
      <c r="P11" s="194"/>
      <c r="Q11" s="194">
        <f t="shared" si="27"/>
        <v>1.8499999999999999</v>
      </c>
      <c r="R11" s="194">
        <f t="shared" si="28"/>
        <v>12.95</v>
      </c>
      <c r="S11" s="194">
        <f t="shared" si="8"/>
        <v>0.88781408390447547</v>
      </c>
      <c r="T11" s="194">
        <f>R11*S11</f>
        <v>11.497192386562956</v>
      </c>
      <c r="Y11" s="282" t="s">
        <v>188</v>
      </c>
      <c r="Z11" s="282" t="s">
        <v>439</v>
      </c>
      <c r="AA11" s="187" t="s">
        <v>437</v>
      </c>
      <c r="AB11" s="188">
        <v>25</v>
      </c>
      <c r="AC11" s="189" t="s">
        <v>440</v>
      </c>
      <c r="AD11" s="190">
        <v>0.8</v>
      </c>
      <c r="AE11" s="190">
        <v>0.25</v>
      </c>
      <c r="AF11" s="190">
        <v>1.5</v>
      </c>
      <c r="AG11" s="190">
        <v>10</v>
      </c>
      <c r="AH11" s="190">
        <v>1</v>
      </c>
      <c r="AI11" s="190">
        <f>AF11-0.075</f>
        <v>1.425</v>
      </c>
      <c r="AJ11" s="190">
        <f>16*(AB11/1000)</f>
        <v>0.4</v>
      </c>
      <c r="AK11" s="190"/>
      <c r="AL11" s="190"/>
      <c r="AM11" s="190"/>
      <c r="AN11" s="190">
        <f t="shared" si="9"/>
        <v>1.8250000000000002</v>
      </c>
      <c r="AO11" s="190">
        <f>AG11*AN11*AH11</f>
        <v>18.25</v>
      </c>
      <c r="AP11" s="190">
        <f t="shared" ref="AP11:AP15" si="49">PI()*(AB11/1000)^2*0.25*1*7850</f>
        <v>3.8533597391687309</v>
      </c>
      <c r="AQ11" s="190">
        <f>AO11*AP11</f>
        <v>70.323815239829344</v>
      </c>
      <c r="AT11" s="206"/>
      <c r="AU11" s="206"/>
      <c r="AV11" s="187" t="s">
        <v>447</v>
      </c>
      <c r="AW11" s="188">
        <v>10</v>
      </c>
      <c r="AX11" s="189">
        <v>200</v>
      </c>
      <c r="AY11" s="190">
        <v>0.55000000000000004</v>
      </c>
      <c r="AZ11" s="190">
        <v>0.3</v>
      </c>
      <c r="BA11" s="190">
        <v>1.5</v>
      </c>
      <c r="BB11" s="190">
        <f>ROUND(((1.5-0.075)/(AX11/1000))+1,0)</f>
        <v>8</v>
      </c>
      <c r="BC11" s="190">
        <v>2</v>
      </c>
      <c r="BD11" s="190">
        <v>0.1</v>
      </c>
      <c r="BE11" s="190">
        <f>AZ11-0.04*2</f>
        <v>0.21999999999999997</v>
      </c>
      <c r="BF11" s="190">
        <v>0.1</v>
      </c>
      <c r="BG11" s="190"/>
      <c r="BH11" s="190"/>
      <c r="BI11" s="190">
        <f t="shared" si="44"/>
        <v>0.41999999999999993</v>
      </c>
      <c r="BJ11" s="190">
        <f t="shared" ref="BJ11" si="50">BB11*BI11*BC11</f>
        <v>6.7199999999999989</v>
      </c>
      <c r="BK11" s="190">
        <f t="shared" si="11"/>
        <v>0.61653755826699685</v>
      </c>
      <c r="BL11" s="190">
        <f t="shared" si="23"/>
        <v>4.143132391554218</v>
      </c>
      <c r="BO11" s="245"/>
      <c r="BP11" s="216"/>
      <c r="BQ11" s="217" t="s">
        <v>452</v>
      </c>
      <c r="BR11" s="218">
        <v>16</v>
      </c>
      <c r="BS11" s="223">
        <v>0</v>
      </c>
      <c r="BT11" s="220">
        <f>BT10</f>
        <v>0.3</v>
      </c>
      <c r="BU11" s="220">
        <f>BU10</f>
        <v>0.82</v>
      </c>
      <c r="BV11" s="220">
        <v>3.55</v>
      </c>
      <c r="BW11" s="220">
        <v>6</v>
      </c>
      <c r="BX11" s="220">
        <v>1</v>
      </c>
      <c r="BY11" s="220">
        <f>BV11</f>
        <v>3.55</v>
      </c>
      <c r="BZ11" s="220"/>
      <c r="CA11" s="220"/>
      <c r="CB11" s="220"/>
      <c r="CC11" s="220"/>
      <c r="CD11" s="220">
        <f t="shared" ref="CD11" si="51">SUM(BY11:CC11)</f>
        <v>3.55</v>
      </c>
      <c r="CE11" s="220">
        <f>BW11*CD11*BX11</f>
        <v>21.299999999999997</v>
      </c>
      <c r="CF11" s="220">
        <f t="shared" si="46"/>
        <v>1.5783361491635119</v>
      </c>
      <c r="CG11" s="220">
        <f t="shared" ref="CG11:CG13" si="52">CE11*CF11</f>
        <v>33.618559977182798</v>
      </c>
      <c r="CJ11" s="204" t="s">
        <v>7</v>
      </c>
      <c r="CK11" s="198">
        <f>DB6+DB7</f>
        <v>2872.7325844727875</v>
      </c>
      <c r="CL11" s="198">
        <v>1</v>
      </c>
      <c r="CM11" s="198">
        <f>CK11*CL11*1.1</f>
        <v>3160.0058429200667</v>
      </c>
      <c r="DE11" s="206"/>
      <c r="DF11" s="206"/>
      <c r="DG11" s="187" t="s">
        <v>471</v>
      </c>
      <c r="DH11" s="188">
        <v>12</v>
      </c>
      <c r="DI11" s="189">
        <v>150</v>
      </c>
      <c r="DJ11" s="190">
        <v>1.2</v>
      </c>
      <c r="DK11" s="190">
        <v>0.25</v>
      </c>
      <c r="DL11" s="190">
        <v>2.125</v>
      </c>
      <c r="DM11" s="190">
        <f>ROUND((DJ11/(DI11/1000))+1,0)</f>
        <v>9</v>
      </c>
      <c r="DN11" s="190">
        <v>2</v>
      </c>
      <c r="DO11" s="190">
        <f>DL11-0.05*2</f>
        <v>2.0249999999999999</v>
      </c>
      <c r="DP11" s="190">
        <f>DK11-0.05*2</f>
        <v>0.15</v>
      </c>
      <c r="DQ11" s="190">
        <f t="shared" si="47"/>
        <v>2.0249999999999999</v>
      </c>
      <c r="DR11" s="190">
        <f t="shared" si="47"/>
        <v>0.15</v>
      </c>
      <c r="DS11" s="190"/>
      <c r="DT11" s="190">
        <f t="shared" si="3"/>
        <v>4.3499999999999996</v>
      </c>
      <c r="DU11" s="190">
        <f t="shared" si="4"/>
        <v>78.3</v>
      </c>
      <c r="DV11" s="190">
        <f t="shared" si="48"/>
        <v>0.88781408390447547</v>
      </c>
      <c r="DW11" s="190">
        <f t="shared" ref="DW11" si="53">DU11*DV11</f>
        <v>69.515842769720422</v>
      </c>
      <c r="DY11" s="206"/>
      <c r="DZ11" s="206"/>
      <c r="EA11" s="187"/>
      <c r="EB11" s="188"/>
      <c r="EC11" s="189"/>
      <c r="ED11" s="190"/>
      <c r="EE11" s="190"/>
      <c r="EF11" s="190"/>
      <c r="EG11" s="190"/>
      <c r="EH11" s="190"/>
      <c r="EI11" s="190"/>
      <c r="EJ11" s="190"/>
      <c r="EK11" s="190"/>
      <c r="EL11" s="190"/>
      <c r="EM11" s="190"/>
      <c r="EN11" s="190"/>
      <c r="EO11" s="190"/>
      <c r="EP11" s="190"/>
      <c r="EQ11" s="190"/>
    </row>
    <row r="12" spans="2:147" x14ac:dyDescent="0.25">
      <c r="B12" s="281"/>
      <c r="C12" s="281"/>
      <c r="D12" s="191" t="s">
        <v>430</v>
      </c>
      <c r="E12" s="192">
        <v>12</v>
      </c>
      <c r="F12" s="193">
        <v>200</v>
      </c>
      <c r="G12" s="194">
        <v>1.3</v>
      </c>
      <c r="H12" s="194">
        <v>1.7</v>
      </c>
      <c r="I12" s="194">
        <v>0.3</v>
      </c>
      <c r="J12" s="194">
        <f>ROUND(((H12-0.075*2)/(F12/1000))+1,0)</f>
        <v>9</v>
      </c>
      <c r="K12" s="194">
        <v>1</v>
      </c>
      <c r="L12" s="194">
        <f t="shared" ref="L12" si="54">I12-0.075*2</f>
        <v>0.15</v>
      </c>
      <c r="M12" s="194">
        <f t="shared" ref="M12" si="55">G12-0.075*2</f>
        <v>1.1500000000000001</v>
      </c>
      <c r="N12" s="194">
        <f t="shared" si="26"/>
        <v>0.15</v>
      </c>
      <c r="O12" s="194"/>
      <c r="P12" s="194"/>
      <c r="Q12" s="194">
        <f t="shared" si="27"/>
        <v>1.45</v>
      </c>
      <c r="R12" s="194">
        <f t="shared" si="28"/>
        <v>13.049999999999999</v>
      </c>
      <c r="S12" s="194">
        <f t="shared" si="8"/>
        <v>0.88781408390447547</v>
      </c>
      <c r="T12" s="194">
        <f t="shared" ref="T12" si="56">R12*S12</f>
        <v>11.585973794953404</v>
      </c>
      <c r="Y12" s="282"/>
      <c r="Z12" s="282"/>
      <c r="AA12" s="187" t="s">
        <v>438</v>
      </c>
      <c r="AB12" s="188">
        <v>10</v>
      </c>
      <c r="AC12" s="189">
        <v>200</v>
      </c>
      <c r="AD12" s="190">
        <v>0.8</v>
      </c>
      <c r="AE12" s="190">
        <v>0.25</v>
      </c>
      <c r="AF12" s="190">
        <v>1.5</v>
      </c>
      <c r="AG12" s="190">
        <f>ROUND(((1.5-0.075)/(AC12/1000))+1,0)</f>
        <v>8</v>
      </c>
      <c r="AH12" s="190">
        <v>1</v>
      </c>
      <c r="AI12" s="190">
        <f>AD12-0.04*2</f>
        <v>0.72000000000000008</v>
      </c>
      <c r="AJ12" s="190">
        <f>AE12-0.04*2</f>
        <v>0.16999999999999998</v>
      </c>
      <c r="AK12" s="190">
        <f t="shared" ref="AK12" si="57">AI12</f>
        <v>0.72000000000000008</v>
      </c>
      <c r="AL12" s="190">
        <f>AJ12</f>
        <v>0.16999999999999998</v>
      </c>
      <c r="AM12" s="190">
        <f>10*(AB12/1000)</f>
        <v>0.1</v>
      </c>
      <c r="AN12" s="190">
        <f t="shared" si="9"/>
        <v>1.8800000000000003</v>
      </c>
      <c r="AO12" s="190">
        <f>AG12*AN12*AH12</f>
        <v>15.040000000000003</v>
      </c>
      <c r="AP12" s="190">
        <f t="shared" si="49"/>
        <v>0.61653755826699685</v>
      </c>
      <c r="AQ12" s="190">
        <f t="shared" ref="AQ12" si="58">AO12*AP12</f>
        <v>9.2727248763356336</v>
      </c>
      <c r="AT12" s="206"/>
      <c r="AU12" s="206"/>
      <c r="AV12" s="187" t="s">
        <v>448</v>
      </c>
      <c r="AW12" s="188">
        <v>10</v>
      </c>
      <c r="AX12" s="189">
        <v>400</v>
      </c>
      <c r="AY12" s="190">
        <v>0.55000000000000004</v>
      </c>
      <c r="AZ12" s="190">
        <v>0.3</v>
      </c>
      <c r="BA12" s="190">
        <v>1.5</v>
      </c>
      <c r="BB12" s="190">
        <f>BB11</f>
        <v>8</v>
      </c>
      <c r="BC12" s="190">
        <v>3</v>
      </c>
      <c r="BD12" s="190">
        <v>0.1</v>
      </c>
      <c r="BE12" s="190">
        <f>AZ12-0.04*2</f>
        <v>0.21999999999999997</v>
      </c>
      <c r="BF12" s="190">
        <v>0.1</v>
      </c>
      <c r="BG12" s="190"/>
      <c r="BH12" s="190"/>
      <c r="BI12" s="190">
        <f t="shared" ref="BI12" si="59">SUM(BD12:BH12)</f>
        <v>0.41999999999999993</v>
      </c>
      <c r="BJ12" s="190">
        <f t="shared" ref="BJ12" si="60">BB12*BI12*BC12</f>
        <v>10.079999999999998</v>
      </c>
      <c r="BK12" s="190">
        <f t="shared" ref="BK12:BK16" si="61">PI()*(AW12/1000)^2*0.25*1*7850</f>
        <v>0.61653755826699685</v>
      </c>
      <c r="BL12" s="190">
        <f t="shared" ref="BL12" si="62">BJ12*BK12</f>
        <v>6.214698587331327</v>
      </c>
      <c r="BO12" s="245"/>
      <c r="BP12" s="216"/>
      <c r="BQ12" s="217" t="s">
        <v>456</v>
      </c>
      <c r="BR12" s="218">
        <v>10</v>
      </c>
      <c r="BS12" s="219">
        <v>250</v>
      </c>
      <c r="BT12" s="220">
        <f>BT11</f>
        <v>0.3</v>
      </c>
      <c r="BU12" s="220">
        <f>BU11</f>
        <v>0.82</v>
      </c>
      <c r="BV12" s="220">
        <v>3.55</v>
      </c>
      <c r="BW12" s="220">
        <f>ROUND((BV12/(BS12/1000))+1,0)</f>
        <v>15</v>
      </c>
      <c r="BX12" s="220">
        <v>1</v>
      </c>
      <c r="BY12" s="220">
        <f>BT12-0.04*2</f>
        <v>0.21999999999999997</v>
      </c>
      <c r="BZ12" s="220">
        <f>BU12-0.04*2</f>
        <v>0.74</v>
      </c>
      <c r="CA12" s="220">
        <f>BY12</f>
        <v>0.21999999999999997</v>
      </c>
      <c r="CB12" s="220">
        <f>BZ12</f>
        <v>0.74</v>
      </c>
      <c r="CC12" s="220">
        <f>(10*BR12)/1000</f>
        <v>0.1</v>
      </c>
      <c r="CD12" s="220">
        <f>SUM(BY12:CC12)</f>
        <v>2.02</v>
      </c>
      <c r="CE12" s="220">
        <f>BW12*CD12*BX12</f>
        <v>30.3</v>
      </c>
      <c r="CF12" s="220">
        <f t="shared" si="46"/>
        <v>0.61653755826699685</v>
      </c>
      <c r="CG12" s="220">
        <f t="shared" si="52"/>
        <v>18.681088015490005</v>
      </c>
      <c r="CJ12" s="212" t="s">
        <v>443</v>
      </c>
      <c r="CK12" s="210"/>
      <c r="CL12" s="210"/>
      <c r="CM12" s="214">
        <f>SUM(CM11:CM11)</f>
        <v>3160.0058429200667</v>
      </c>
      <c r="DE12" s="206"/>
      <c r="DF12" s="206"/>
      <c r="DG12" s="187" t="s">
        <v>472</v>
      </c>
      <c r="DH12" s="188">
        <v>12</v>
      </c>
      <c r="DI12" s="189">
        <v>150</v>
      </c>
      <c r="DJ12" s="190">
        <v>1.2</v>
      </c>
      <c r="DK12" s="190">
        <v>0.25</v>
      </c>
      <c r="DL12" s="190">
        <v>2.125</v>
      </c>
      <c r="DM12" s="190">
        <f>ROUND((DJ12/(DI12/1000))+1,0)</f>
        <v>9</v>
      </c>
      <c r="DN12" s="190">
        <v>4</v>
      </c>
      <c r="DO12" s="190">
        <v>0.67</v>
      </c>
      <c r="DP12" s="190">
        <f>DK12-0.05*2</f>
        <v>0.15</v>
      </c>
      <c r="DQ12" s="190">
        <f t="shared" si="47"/>
        <v>0.67</v>
      </c>
      <c r="DR12" s="190">
        <f t="shared" si="47"/>
        <v>0.15</v>
      </c>
      <c r="DS12" s="190"/>
      <c r="DT12" s="190">
        <f t="shared" si="3"/>
        <v>1.6400000000000001</v>
      </c>
      <c r="DU12" s="190">
        <f t="shared" si="4"/>
        <v>59.040000000000006</v>
      </c>
      <c r="DV12" s="190">
        <f t="shared" ref="DV12" si="63">PI()*(DH12/1000)^2*0.25*1*7850</f>
        <v>0.88781408390447547</v>
      </c>
      <c r="DW12" s="190">
        <f t="shared" ref="DW12" si="64">DU12*DV12</f>
        <v>52.416543513720235</v>
      </c>
      <c r="DY12" s="206"/>
      <c r="DZ12" s="206"/>
      <c r="EA12" s="187"/>
      <c r="EB12" s="188"/>
      <c r="EC12" s="189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</row>
    <row r="13" spans="2:147" x14ac:dyDescent="0.25">
      <c r="B13" s="281"/>
      <c r="C13" s="281"/>
      <c r="D13" s="191" t="s">
        <v>431</v>
      </c>
      <c r="E13" s="192">
        <v>12</v>
      </c>
      <c r="F13" s="193">
        <v>250</v>
      </c>
      <c r="G13" s="194">
        <v>1.3</v>
      </c>
      <c r="H13" s="194">
        <v>1.7</v>
      </c>
      <c r="I13" s="194">
        <v>0.3</v>
      </c>
      <c r="J13" s="194">
        <f>ROUND(((G13-0.075*2)/(F13/1000))+1,0)</f>
        <v>6</v>
      </c>
      <c r="K13" s="194">
        <v>1</v>
      </c>
      <c r="L13" s="194">
        <f>I13-0.075*2</f>
        <v>0.15</v>
      </c>
      <c r="M13" s="194">
        <f>H13-0.075*2</f>
        <v>1.55</v>
      </c>
      <c r="N13" s="194">
        <f t="shared" ref="N13:N18" si="65">L13</f>
        <v>0.15</v>
      </c>
      <c r="O13" s="194"/>
      <c r="P13" s="194"/>
      <c r="Q13" s="194">
        <f t="shared" si="27"/>
        <v>1.8499999999999999</v>
      </c>
      <c r="R13" s="194">
        <f t="shared" si="28"/>
        <v>11.1</v>
      </c>
      <c r="S13" s="194">
        <f t="shared" ref="S13:S14" si="66">PI()*(E13/1000)^2*0.25*1*7850</f>
        <v>0.88781408390447547</v>
      </c>
      <c r="T13" s="194">
        <f>R13*S13</f>
        <v>9.8547363313396765</v>
      </c>
      <c r="Y13" s="282"/>
      <c r="Z13" s="282"/>
      <c r="AA13" s="187" t="s">
        <v>438</v>
      </c>
      <c r="AB13" s="188">
        <v>10</v>
      </c>
      <c r="AC13" s="189">
        <v>200</v>
      </c>
      <c r="AD13" s="190">
        <v>0.8</v>
      </c>
      <c r="AE13" s="190">
        <v>0.25</v>
      </c>
      <c r="AF13" s="190">
        <v>1.5</v>
      </c>
      <c r="AG13" s="190">
        <f>ROUND(((1.5-0.075)/(AC13/1000))+1,0)</f>
        <v>8</v>
      </c>
      <c r="AH13" s="190">
        <v>1</v>
      </c>
      <c r="AI13" s="190">
        <f>10*(AB13/1000)</f>
        <v>0.1</v>
      </c>
      <c r="AJ13" s="190">
        <f>AE13-0.04*2</f>
        <v>0.16999999999999998</v>
      </c>
      <c r="AK13" s="190">
        <f>AI13</f>
        <v>0.1</v>
      </c>
      <c r="AL13" s="190"/>
      <c r="AM13" s="190"/>
      <c r="AN13" s="190">
        <f t="shared" ref="AN13:AN18" si="67">SUM(AI13:AM13)</f>
        <v>0.37</v>
      </c>
      <c r="AO13" s="190">
        <f>AG13*AN13*AH13</f>
        <v>2.96</v>
      </c>
      <c r="AP13" s="190">
        <f>PI()*(AB13/1000)^2*0.25*1*7850</f>
        <v>0.61653755826699685</v>
      </c>
      <c r="AQ13" s="190">
        <f>AO13*AP13</f>
        <v>1.8249511724703107</v>
      </c>
      <c r="AT13" s="216" t="s">
        <v>196</v>
      </c>
      <c r="AU13" s="216" t="s">
        <v>496</v>
      </c>
      <c r="AV13" s="217" t="s">
        <v>444</v>
      </c>
      <c r="AW13" s="218">
        <v>16</v>
      </c>
      <c r="AX13" s="219" t="s">
        <v>440</v>
      </c>
      <c r="AY13" s="220"/>
      <c r="AZ13" s="220"/>
      <c r="BA13" s="220">
        <v>1.5</v>
      </c>
      <c r="BB13" s="220">
        <v>4</v>
      </c>
      <c r="BC13" s="220">
        <v>2</v>
      </c>
      <c r="BD13" s="220">
        <f>BA13-0.075*2</f>
        <v>1.35</v>
      </c>
      <c r="BE13" s="220">
        <f>16*(AW13/1000)</f>
        <v>0.25600000000000001</v>
      </c>
      <c r="BF13" s="220"/>
      <c r="BG13" s="220"/>
      <c r="BH13" s="220"/>
      <c r="BI13" s="220">
        <f>SUM(BD13:BH13)</f>
        <v>1.6060000000000001</v>
      </c>
      <c r="BJ13" s="220">
        <f>BB13*BI13*BC13</f>
        <v>12.848000000000001</v>
      </c>
      <c r="BK13" s="220">
        <f t="shared" si="61"/>
        <v>1.5783361491635119</v>
      </c>
      <c r="BL13" s="220">
        <f>BJ13*BK13</f>
        <v>20.278462844452804</v>
      </c>
      <c r="BO13" s="245"/>
      <c r="BP13" s="216"/>
      <c r="BQ13" s="217" t="s">
        <v>453</v>
      </c>
      <c r="BR13" s="218">
        <v>12</v>
      </c>
      <c r="BS13" s="219">
        <f>BS11</f>
        <v>0</v>
      </c>
      <c r="BT13" s="220">
        <v>0.4</v>
      </c>
      <c r="BU13" s="220">
        <v>0.25</v>
      </c>
      <c r="BV13" s="220">
        <f>BV12</f>
        <v>3.55</v>
      </c>
      <c r="BW13" s="220">
        <v>2</v>
      </c>
      <c r="BX13" s="220">
        <v>1</v>
      </c>
      <c r="BY13" s="220">
        <f>BV13</f>
        <v>3.55</v>
      </c>
      <c r="BZ13" s="220"/>
      <c r="CA13" s="220"/>
      <c r="CB13" s="220"/>
      <c r="CC13" s="220"/>
      <c r="CD13" s="220">
        <f t="shared" ref="CD13" si="68">SUM(BY13:CC13)</f>
        <v>3.55</v>
      </c>
      <c r="CE13" s="220">
        <f>BW13*CD13*BX13</f>
        <v>7.1</v>
      </c>
      <c r="CF13" s="220">
        <f t="shared" si="46"/>
        <v>0.88781408390447547</v>
      </c>
      <c r="CG13" s="220">
        <f t="shared" si="52"/>
        <v>6.3034799957217755</v>
      </c>
      <c r="DE13" s="206"/>
      <c r="DF13" s="206"/>
      <c r="DG13" s="187" t="s">
        <v>473</v>
      </c>
      <c r="DH13" s="188">
        <v>12</v>
      </c>
      <c r="DI13" s="189">
        <v>150</v>
      </c>
      <c r="DJ13" s="190">
        <v>1.2</v>
      </c>
      <c r="DK13" s="190">
        <v>0.25</v>
      </c>
      <c r="DL13" s="190">
        <v>2.125</v>
      </c>
      <c r="DM13" s="190">
        <f>ROUND((DJ13/(DI13/1000))+1,0)</f>
        <v>9</v>
      </c>
      <c r="DN13" s="190">
        <v>4</v>
      </c>
      <c r="DO13" s="190">
        <v>0.5</v>
      </c>
      <c r="DP13" s="190">
        <f>DK13-0.05*2</f>
        <v>0.15</v>
      </c>
      <c r="DQ13" s="190">
        <f t="shared" si="47"/>
        <v>0.5</v>
      </c>
      <c r="DR13" s="190">
        <f t="shared" si="47"/>
        <v>0.15</v>
      </c>
      <c r="DS13" s="190"/>
      <c r="DT13" s="190">
        <f t="shared" si="3"/>
        <v>1.2999999999999998</v>
      </c>
      <c r="DU13" s="190">
        <f t="shared" si="4"/>
        <v>46.8</v>
      </c>
      <c r="DV13" s="190">
        <f t="shared" ref="DV13" si="69">PI()*(DH13/1000)^2*0.25*1*7850</f>
        <v>0.88781408390447547</v>
      </c>
      <c r="DW13" s="190">
        <f t="shared" ref="DW13" si="70">DU13*DV13</f>
        <v>41.54969912672945</v>
      </c>
      <c r="DY13" s="206"/>
      <c r="DZ13" s="206"/>
      <c r="EA13" s="187"/>
      <c r="EB13" s="188"/>
      <c r="EC13" s="189"/>
      <c r="ED13" s="190"/>
      <c r="EE13" s="190"/>
      <c r="EF13" s="190"/>
      <c r="EG13" s="190"/>
      <c r="EH13" s="190"/>
      <c r="EI13" s="190"/>
      <c r="EJ13" s="190"/>
      <c r="EK13" s="190"/>
      <c r="EL13" s="190"/>
      <c r="EM13" s="190"/>
      <c r="EN13" s="190"/>
      <c r="EO13" s="190"/>
      <c r="EP13" s="190"/>
      <c r="EQ13" s="190"/>
    </row>
    <row r="14" spans="2:147" x14ac:dyDescent="0.25">
      <c r="B14" s="281"/>
      <c r="C14" s="281"/>
      <c r="D14" s="191" t="s">
        <v>432</v>
      </c>
      <c r="E14" s="192">
        <v>12</v>
      </c>
      <c r="F14" s="193">
        <v>250</v>
      </c>
      <c r="G14" s="194">
        <v>1.3</v>
      </c>
      <c r="H14" s="194">
        <v>1.7</v>
      </c>
      <c r="I14" s="194">
        <v>0.3</v>
      </c>
      <c r="J14" s="194">
        <f>ROUND(((H14-0.075*2)/(F14/1000))+1,0)</f>
        <v>7</v>
      </c>
      <c r="K14" s="194">
        <v>1</v>
      </c>
      <c r="L14" s="194">
        <f t="shared" ref="L14" si="71">I14-0.075*2</f>
        <v>0.15</v>
      </c>
      <c r="M14" s="194">
        <f t="shared" ref="M14" si="72">G14-0.075*2</f>
        <v>1.1500000000000001</v>
      </c>
      <c r="N14" s="194">
        <f t="shared" si="65"/>
        <v>0.15</v>
      </c>
      <c r="O14" s="194"/>
      <c r="P14" s="194"/>
      <c r="Q14" s="194">
        <f t="shared" si="27"/>
        <v>1.45</v>
      </c>
      <c r="R14" s="194">
        <f t="shared" si="28"/>
        <v>10.15</v>
      </c>
      <c r="S14" s="194">
        <f t="shared" si="66"/>
        <v>0.88781408390447547</v>
      </c>
      <c r="T14" s="194">
        <f t="shared" ref="T14" si="73">R14*S14</f>
        <v>9.0113129516304262</v>
      </c>
      <c r="Y14" s="281" t="s">
        <v>189</v>
      </c>
      <c r="Z14" s="281" t="s">
        <v>439</v>
      </c>
      <c r="AA14" s="191" t="s">
        <v>437</v>
      </c>
      <c r="AB14" s="192">
        <v>16</v>
      </c>
      <c r="AC14" s="193" t="s">
        <v>440</v>
      </c>
      <c r="AD14" s="194">
        <v>0.8</v>
      </c>
      <c r="AE14" s="194">
        <v>0.25</v>
      </c>
      <c r="AF14" s="194">
        <v>1.5</v>
      </c>
      <c r="AG14" s="194">
        <v>12</v>
      </c>
      <c r="AH14" s="194">
        <v>1</v>
      </c>
      <c r="AI14" s="194">
        <f>AF14-0.075</f>
        <v>1.425</v>
      </c>
      <c r="AJ14" s="194">
        <f>16*(AB14/1000)</f>
        <v>0.25600000000000001</v>
      </c>
      <c r="AK14" s="194"/>
      <c r="AL14" s="194"/>
      <c r="AM14" s="194"/>
      <c r="AN14" s="194">
        <f t="shared" si="67"/>
        <v>1.681</v>
      </c>
      <c r="AO14" s="194">
        <f t="shared" ref="AO14:AO15" si="74">AG14*AN14*AH14</f>
        <v>20.172000000000001</v>
      </c>
      <c r="AP14" s="194">
        <f t="shared" si="49"/>
        <v>1.5783361491635119</v>
      </c>
      <c r="AQ14" s="194">
        <f>AO14*AP14</f>
        <v>31.838196800926365</v>
      </c>
      <c r="AT14" s="216"/>
      <c r="AU14" s="216"/>
      <c r="AV14" s="217" t="s">
        <v>445</v>
      </c>
      <c r="AW14" s="218">
        <v>12</v>
      </c>
      <c r="AX14" s="219" t="s">
        <v>440</v>
      </c>
      <c r="AY14" s="220"/>
      <c r="AZ14" s="220"/>
      <c r="BA14" s="220">
        <v>1.5</v>
      </c>
      <c r="BB14" s="220">
        <v>10</v>
      </c>
      <c r="BC14" s="220">
        <v>1</v>
      </c>
      <c r="BD14" s="220">
        <f>BA14-0.075*2</f>
        <v>1.35</v>
      </c>
      <c r="BE14" s="220">
        <f>16*(AW14/1000)</f>
        <v>0.192</v>
      </c>
      <c r="BF14" s="220"/>
      <c r="BG14" s="220"/>
      <c r="BH14" s="220"/>
      <c r="BI14" s="220">
        <f>SUM(BD14:BH14)</f>
        <v>1.542</v>
      </c>
      <c r="BJ14" s="220">
        <f>BB14*BI14*BC14</f>
        <v>15.42</v>
      </c>
      <c r="BK14" s="220">
        <f t="shared" si="61"/>
        <v>0.88781408390447547</v>
      </c>
      <c r="BL14" s="220">
        <f t="shared" ref="BL14:BL17" si="75">BJ14*BK14</f>
        <v>13.690093173807012</v>
      </c>
      <c r="BO14" s="282" t="s">
        <v>458</v>
      </c>
      <c r="BP14" s="282" t="s">
        <v>253</v>
      </c>
      <c r="BQ14" s="187" t="s">
        <v>451</v>
      </c>
      <c r="BR14" s="188">
        <v>16</v>
      </c>
      <c r="BS14" s="222">
        <v>0</v>
      </c>
      <c r="BT14" s="190">
        <v>0.25</v>
      </c>
      <c r="BU14" s="190">
        <v>0.82</v>
      </c>
      <c r="BV14" s="190">
        <v>2.93</v>
      </c>
      <c r="BW14" s="190">
        <v>2</v>
      </c>
      <c r="BX14" s="190">
        <v>1</v>
      </c>
      <c r="BY14" s="190">
        <f>BV14</f>
        <v>2.93</v>
      </c>
      <c r="BZ14" s="190"/>
      <c r="CA14" s="190"/>
      <c r="CB14" s="190"/>
      <c r="CC14" s="190"/>
      <c r="CD14" s="190">
        <f>SUM(BY14:CC14)</f>
        <v>2.93</v>
      </c>
      <c r="CE14" s="190">
        <f t="shared" ref="CE14" si="76">BW14*CD14*BX14</f>
        <v>5.86</v>
      </c>
      <c r="CF14" s="190">
        <f t="shared" si="46"/>
        <v>1.5783361491635119</v>
      </c>
      <c r="CG14" s="190">
        <f>CE14*CF14</f>
        <v>9.2490498340981802</v>
      </c>
      <c r="DE14" s="206"/>
      <c r="DF14" s="206"/>
      <c r="DG14" s="187" t="s">
        <v>474</v>
      </c>
      <c r="DH14" s="188">
        <v>8</v>
      </c>
      <c r="DI14" s="189">
        <v>400</v>
      </c>
      <c r="DJ14" s="190">
        <v>1.2</v>
      </c>
      <c r="DK14" s="190">
        <v>0.25</v>
      </c>
      <c r="DL14" s="190">
        <v>2.125</v>
      </c>
      <c r="DM14" s="190">
        <f>ROUND((DJ14/(DI14/1000))+1,0)</f>
        <v>4</v>
      </c>
      <c r="DN14" s="190">
        <v>18</v>
      </c>
      <c r="DO14" s="190">
        <v>0.17</v>
      </c>
      <c r="DP14" s="190">
        <f>0.1</f>
        <v>0.1</v>
      </c>
      <c r="DQ14" s="190"/>
      <c r="DR14" s="190">
        <f>DP14</f>
        <v>0.1</v>
      </c>
      <c r="DS14" s="190"/>
      <c r="DT14" s="190">
        <f t="shared" si="3"/>
        <v>0.37</v>
      </c>
      <c r="DU14" s="190">
        <f t="shared" si="4"/>
        <v>26.64</v>
      </c>
      <c r="DV14" s="190">
        <f t="shared" ref="DV14" si="77">PI()*(DH14/1000)^2*0.25*1*7850</f>
        <v>0.39458403729087799</v>
      </c>
      <c r="DW14" s="190">
        <f t="shared" ref="DW14" si="78">DU14*DV14</f>
        <v>10.51171875342899</v>
      </c>
      <c r="DY14" s="206"/>
      <c r="DZ14" s="206"/>
      <c r="EA14" s="187"/>
      <c r="EB14" s="188"/>
      <c r="EC14" s="189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</row>
    <row r="15" spans="2:147" x14ac:dyDescent="0.25">
      <c r="B15" s="282" t="s">
        <v>419</v>
      </c>
      <c r="C15" s="282" t="s">
        <v>417</v>
      </c>
      <c r="D15" s="187" t="s">
        <v>429</v>
      </c>
      <c r="E15" s="188">
        <v>12</v>
      </c>
      <c r="F15" s="189">
        <v>200</v>
      </c>
      <c r="G15" s="190">
        <v>1.4</v>
      </c>
      <c r="H15" s="190">
        <v>1.7</v>
      </c>
      <c r="I15" s="190">
        <v>0.3</v>
      </c>
      <c r="J15" s="190">
        <f>ROUND(((G15-0.075*2)/(F15/1000))+1,0)</f>
        <v>7</v>
      </c>
      <c r="K15" s="190">
        <v>1</v>
      </c>
      <c r="L15" s="190">
        <f>I15-0.075*2</f>
        <v>0.15</v>
      </c>
      <c r="M15" s="190">
        <f>H15-0.075*2</f>
        <v>1.55</v>
      </c>
      <c r="N15" s="190">
        <f t="shared" si="65"/>
        <v>0.15</v>
      </c>
      <c r="O15" s="190"/>
      <c r="P15" s="190"/>
      <c r="Q15" s="190">
        <f t="shared" si="27"/>
        <v>1.8499999999999999</v>
      </c>
      <c r="R15" s="190">
        <f t="shared" si="28"/>
        <v>12.95</v>
      </c>
      <c r="S15" s="190">
        <f t="shared" si="8"/>
        <v>0.88781408390447547</v>
      </c>
      <c r="T15" s="190">
        <f>R15*S15</f>
        <v>11.497192386562956</v>
      </c>
      <c r="Y15" s="281"/>
      <c r="Z15" s="281"/>
      <c r="AA15" s="191" t="s">
        <v>438</v>
      </c>
      <c r="AB15" s="192">
        <v>10</v>
      </c>
      <c r="AC15" s="193">
        <v>200</v>
      </c>
      <c r="AD15" s="194">
        <v>0.8</v>
      </c>
      <c r="AE15" s="194">
        <v>0.25</v>
      </c>
      <c r="AF15" s="194">
        <v>1.5</v>
      </c>
      <c r="AG15" s="194">
        <f>ROUND(((1.5-0.075)/(AC15/1000))+1,0)</f>
        <v>8</v>
      </c>
      <c r="AH15" s="194">
        <v>1</v>
      </c>
      <c r="AI15" s="194">
        <f>AD15-0.04*2</f>
        <v>0.72000000000000008</v>
      </c>
      <c r="AJ15" s="194">
        <f>AE15-0.04*2</f>
        <v>0.16999999999999998</v>
      </c>
      <c r="AK15" s="194">
        <f t="shared" ref="AK15:AK16" si="79">AI15</f>
        <v>0.72000000000000008</v>
      </c>
      <c r="AL15" s="194">
        <f>AJ15</f>
        <v>0.16999999999999998</v>
      </c>
      <c r="AM15" s="194">
        <f>10*(AB15/1000)</f>
        <v>0.1</v>
      </c>
      <c r="AN15" s="194">
        <f t="shared" si="67"/>
        <v>1.8800000000000003</v>
      </c>
      <c r="AO15" s="194">
        <f t="shared" si="74"/>
        <v>15.040000000000003</v>
      </c>
      <c r="AP15" s="194">
        <f t="shared" si="49"/>
        <v>0.61653755826699685</v>
      </c>
      <c r="AQ15" s="194">
        <f t="shared" ref="AQ15" si="80">AO15*AP15</f>
        <v>9.2727248763356336</v>
      </c>
      <c r="AT15" s="216"/>
      <c r="AU15" s="216"/>
      <c r="AV15" s="217" t="s">
        <v>446</v>
      </c>
      <c r="AW15" s="218">
        <v>10</v>
      </c>
      <c r="AX15" s="219">
        <v>200</v>
      </c>
      <c r="AY15" s="220"/>
      <c r="AZ15" s="220"/>
      <c r="BA15" s="220">
        <v>1.5</v>
      </c>
      <c r="BB15" s="220">
        <f>ROUND(((1.5-0.075)/(AX15/1000))+1,0)</f>
        <v>8</v>
      </c>
      <c r="BC15" s="220">
        <v>2</v>
      </c>
      <c r="BD15" s="194">
        <v>0.17</v>
      </c>
      <c r="BE15" s="194">
        <v>0.17</v>
      </c>
      <c r="BF15" s="194">
        <f>BD15</f>
        <v>0.17</v>
      </c>
      <c r="BG15" s="194">
        <f>BE15</f>
        <v>0.17</v>
      </c>
      <c r="BH15" s="194">
        <f>10*(AW15/1000)</f>
        <v>0.1</v>
      </c>
      <c r="BI15" s="220">
        <f t="shared" ref="BI15:BI17" si="81">SUM(BD15:BH15)</f>
        <v>0.78</v>
      </c>
      <c r="BJ15" s="220">
        <f t="shared" ref="BJ15:BJ17" si="82">BB15*BI15*BC15</f>
        <v>12.48</v>
      </c>
      <c r="BK15" s="220">
        <f t="shared" si="61"/>
        <v>0.61653755826699685</v>
      </c>
      <c r="BL15" s="220">
        <f t="shared" si="75"/>
        <v>7.6943887271721207</v>
      </c>
      <c r="BO15" s="282"/>
      <c r="BP15" s="282"/>
      <c r="BQ15" s="187" t="s">
        <v>452</v>
      </c>
      <c r="BR15" s="188">
        <v>16</v>
      </c>
      <c r="BS15" s="222">
        <v>0</v>
      </c>
      <c r="BT15" s="190">
        <v>0.25</v>
      </c>
      <c r="BU15" s="190">
        <v>0.82</v>
      </c>
      <c r="BV15" s="190">
        <v>2.93</v>
      </c>
      <c r="BW15" s="190">
        <v>6</v>
      </c>
      <c r="BX15" s="190">
        <v>1</v>
      </c>
      <c r="BY15" s="190">
        <f>BV15</f>
        <v>2.93</v>
      </c>
      <c r="BZ15" s="190"/>
      <c r="CA15" s="190"/>
      <c r="CB15" s="190"/>
      <c r="CC15" s="190"/>
      <c r="CD15" s="190">
        <f t="shared" ref="CD15" si="83">SUM(BY15:CC15)</f>
        <v>2.93</v>
      </c>
      <c r="CE15" s="190">
        <f>BW15*CD15*BX15</f>
        <v>17.580000000000002</v>
      </c>
      <c r="CF15" s="190">
        <f t="shared" si="46"/>
        <v>1.5783361491635119</v>
      </c>
      <c r="CG15" s="190">
        <f t="shared" ref="CG15:CG17" si="84">CE15*CF15</f>
        <v>27.747149502294544</v>
      </c>
    </row>
    <row r="16" spans="2:147" x14ac:dyDescent="0.25">
      <c r="B16" s="282"/>
      <c r="C16" s="282"/>
      <c r="D16" s="187" t="s">
        <v>430</v>
      </c>
      <c r="E16" s="188">
        <v>12</v>
      </c>
      <c r="F16" s="189">
        <v>200</v>
      </c>
      <c r="G16" s="190">
        <v>1.4</v>
      </c>
      <c r="H16" s="190">
        <v>1.7</v>
      </c>
      <c r="I16" s="190">
        <v>0.3</v>
      </c>
      <c r="J16" s="190">
        <f>ROUND(((H16-0.075*2)/(F16/1000))+1,0)</f>
        <v>9</v>
      </c>
      <c r="K16" s="190">
        <v>1</v>
      </c>
      <c r="L16" s="190">
        <f t="shared" ref="L16" si="85">I16-0.075*2</f>
        <v>0.15</v>
      </c>
      <c r="M16" s="190">
        <f t="shared" ref="M16" si="86">G16-0.075*2</f>
        <v>1.25</v>
      </c>
      <c r="N16" s="190">
        <f t="shared" si="65"/>
        <v>0.15</v>
      </c>
      <c r="O16" s="190"/>
      <c r="P16" s="190"/>
      <c r="Q16" s="190">
        <f t="shared" si="27"/>
        <v>1.5499999999999998</v>
      </c>
      <c r="R16" s="190">
        <f t="shared" si="28"/>
        <v>13.95</v>
      </c>
      <c r="S16" s="190">
        <f t="shared" si="8"/>
        <v>0.88781408390447547</v>
      </c>
      <c r="T16" s="190">
        <f t="shared" ref="T16" si="87">R16*S16</f>
        <v>12.385006470467433</v>
      </c>
      <c r="Y16" s="281"/>
      <c r="Z16" s="281"/>
      <c r="AA16" s="191" t="s">
        <v>438</v>
      </c>
      <c r="AB16" s="192">
        <v>10</v>
      </c>
      <c r="AC16" s="193">
        <v>200</v>
      </c>
      <c r="AD16" s="194">
        <v>0.8</v>
      </c>
      <c r="AE16" s="194">
        <v>0.25</v>
      </c>
      <c r="AF16" s="194">
        <v>1.5</v>
      </c>
      <c r="AG16" s="194">
        <f t="shared" ref="AG16" si="88">ROUND(((1.5-0.075)/(AC16/1000))+1,0)</f>
        <v>8</v>
      </c>
      <c r="AH16" s="194">
        <v>1</v>
      </c>
      <c r="AI16" s="194">
        <f>AL16</f>
        <v>0.16999999999999998</v>
      </c>
      <c r="AJ16" s="194">
        <f>AE16-0.04*2</f>
        <v>0.16999999999999998</v>
      </c>
      <c r="AK16" s="194">
        <f t="shared" si="79"/>
        <v>0.16999999999999998</v>
      </c>
      <c r="AL16" s="194">
        <f>AJ16</f>
        <v>0.16999999999999998</v>
      </c>
      <c r="AM16" s="194">
        <f>10*(AB16/1000)</f>
        <v>0.1</v>
      </c>
      <c r="AN16" s="194">
        <f t="shared" si="67"/>
        <v>0.77999999999999992</v>
      </c>
      <c r="AO16" s="194">
        <f t="shared" ref="AO16" si="89">AG16*AN16*AH16</f>
        <v>6.2399999999999993</v>
      </c>
      <c r="AP16" s="194">
        <f t="shared" ref="AP16" si="90">PI()*(AB16/1000)^2*0.25*1*7850</f>
        <v>0.61653755826699685</v>
      </c>
      <c r="AQ16" s="194">
        <f t="shared" ref="AQ16" si="91">AO16*AP16</f>
        <v>3.8471943635860599</v>
      </c>
      <c r="AT16" s="216"/>
      <c r="AU16" s="216"/>
      <c r="AV16" s="217" t="s">
        <v>446</v>
      </c>
      <c r="AW16" s="218">
        <v>10</v>
      </c>
      <c r="AX16" s="219">
        <v>200</v>
      </c>
      <c r="AY16" s="220">
        <v>1.3</v>
      </c>
      <c r="AZ16" s="220">
        <v>0.25</v>
      </c>
      <c r="BA16" s="220">
        <v>1.5</v>
      </c>
      <c r="BB16" s="220">
        <f>ROUND(((1.5-0.075)/(AX16/1000))+1,0)</f>
        <v>8</v>
      </c>
      <c r="BC16" s="220">
        <v>1</v>
      </c>
      <c r="BD16" s="220">
        <f>AY16-0.04*2</f>
        <v>1.22</v>
      </c>
      <c r="BE16" s="220">
        <f>AZ16-0.04*2</f>
        <v>0.16999999999999998</v>
      </c>
      <c r="BF16" s="220">
        <f t="shared" ref="BF16" si="92">BD16</f>
        <v>1.22</v>
      </c>
      <c r="BG16" s="220">
        <f>BE16</f>
        <v>0.16999999999999998</v>
      </c>
      <c r="BH16" s="220">
        <f>10*(AW16/1000)</f>
        <v>0.1</v>
      </c>
      <c r="BI16" s="220">
        <f t="shared" si="81"/>
        <v>2.88</v>
      </c>
      <c r="BJ16" s="220">
        <f t="shared" si="82"/>
        <v>23.04</v>
      </c>
      <c r="BK16" s="220">
        <f t="shared" si="61"/>
        <v>0.61653755826699685</v>
      </c>
      <c r="BL16" s="220">
        <f t="shared" si="75"/>
        <v>14.205025342471608</v>
      </c>
      <c r="BO16" s="282"/>
      <c r="BP16" s="282"/>
      <c r="BQ16" s="187" t="s">
        <v>456</v>
      </c>
      <c r="BR16" s="188">
        <v>10</v>
      </c>
      <c r="BS16" s="189">
        <v>150</v>
      </c>
      <c r="BT16" s="190">
        <v>0.25</v>
      </c>
      <c r="BU16" s="190">
        <v>0.82</v>
      </c>
      <c r="BV16" s="190">
        <v>2.93</v>
      </c>
      <c r="BW16" s="190">
        <f>ROUND((BV16/(BS16/1000))+1,0)</f>
        <v>21</v>
      </c>
      <c r="BX16" s="190">
        <v>1</v>
      </c>
      <c r="BY16" s="190">
        <f>BT16-0.04*2</f>
        <v>0.16999999999999998</v>
      </c>
      <c r="BZ16" s="190">
        <f>BU16-0.04*2</f>
        <v>0.74</v>
      </c>
      <c r="CA16" s="190">
        <f>BY16</f>
        <v>0.16999999999999998</v>
      </c>
      <c r="CB16" s="190">
        <f>BZ16</f>
        <v>0.74</v>
      </c>
      <c r="CC16" s="190">
        <f>(10*BR16)/1000</f>
        <v>0.1</v>
      </c>
      <c r="CD16" s="190">
        <f>SUM(BY16:CC16)</f>
        <v>1.92</v>
      </c>
      <c r="CE16" s="190">
        <f>BW16*CD16*BX16</f>
        <v>40.32</v>
      </c>
      <c r="CF16" s="190">
        <f t="shared" si="46"/>
        <v>0.61653755826699685</v>
      </c>
      <c r="CG16" s="190">
        <f t="shared" si="84"/>
        <v>24.858794349325315</v>
      </c>
      <c r="DE16" s="283" t="s">
        <v>425</v>
      </c>
      <c r="DF16" s="283"/>
      <c r="DY16" s="283" t="s">
        <v>425</v>
      </c>
      <c r="DZ16" s="283"/>
    </row>
    <row r="17" spans="2:132" x14ac:dyDescent="0.25">
      <c r="B17" s="282"/>
      <c r="C17" s="282"/>
      <c r="D17" s="187" t="s">
        <v>431</v>
      </c>
      <c r="E17" s="188">
        <v>12</v>
      </c>
      <c r="F17" s="189">
        <v>250</v>
      </c>
      <c r="G17" s="190">
        <v>1.4</v>
      </c>
      <c r="H17" s="190">
        <v>1.7</v>
      </c>
      <c r="I17" s="190">
        <v>0.3</v>
      </c>
      <c r="J17" s="190">
        <f>ROUND(((G17-0.075*2)/(F17/1000))+1,0)</f>
        <v>6</v>
      </c>
      <c r="K17" s="190">
        <v>1</v>
      </c>
      <c r="L17" s="190">
        <f>I17-0.075*2</f>
        <v>0.15</v>
      </c>
      <c r="M17" s="190">
        <f>H17-0.075*2</f>
        <v>1.55</v>
      </c>
      <c r="N17" s="190">
        <f t="shared" si="65"/>
        <v>0.15</v>
      </c>
      <c r="O17" s="190"/>
      <c r="P17" s="190"/>
      <c r="Q17" s="190">
        <f t="shared" si="27"/>
        <v>1.8499999999999999</v>
      </c>
      <c r="R17" s="190">
        <f t="shared" si="28"/>
        <v>11.1</v>
      </c>
      <c r="S17" s="190">
        <f t="shared" ref="S17:S18" si="93">PI()*(E17/1000)^2*0.25*1*7850</f>
        <v>0.88781408390447547</v>
      </c>
      <c r="T17" s="190">
        <f>R17*S17</f>
        <v>9.8547363313396765</v>
      </c>
      <c r="Y17" s="282" t="s">
        <v>182</v>
      </c>
      <c r="Z17" s="282" t="s">
        <v>439</v>
      </c>
      <c r="AA17" s="187" t="s">
        <v>437</v>
      </c>
      <c r="AB17" s="188">
        <v>16</v>
      </c>
      <c r="AC17" s="189" t="s">
        <v>440</v>
      </c>
      <c r="AD17" s="190">
        <v>0.6</v>
      </c>
      <c r="AE17" s="190">
        <v>0.25</v>
      </c>
      <c r="AF17" s="190">
        <v>1.5</v>
      </c>
      <c r="AG17" s="190">
        <v>10</v>
      </c>
      <c r="AH17" s="190">
        <v>1</v>
      </c>
      <c r="AI17" s="190">
        <f>AF17-0.075</f>
        <v>1.425</v>
      </c>
      <c r="AJ17" s="190">
        <f>16*(AB17/1000)</f>
        <v>0.25600000000000001</v>
      </c>
      <c r="AK17" s="190"/>
      <c r="AL17" s="190"/>
      <c r="AM17" s="190"/>
      <c r="AN17" s="190">
        <f t="shared" si="67"/>
        <v>1.681</v>
      </c>
      <c r="AO17" s="190">
        <f>AG17*AN17*AH17</f>
        <v>16.810000000000002</v>
      </c>
      <c r="AP17" s="190">
        <f t="shared" ref="AP17:AP27" si="94">PI()*(AB17/1000)^2*0.25*1*7850</f>
        <v>1.5783361491635119</v>
      </c>
      <c r="AQ17" s="190">
        <f>AO17*AP17</f>
        <v>26.531830667438641</v>
      </c>
      <c r="AT17" s="216"/>
      <c r="AU17" s="216"/>
      <c r="AV17" s="217" t="s">
        <v>448</v>
      </c>
      <c r="AW17" s="218">
        <v>10</v>
      </c>
      <c r="AX17" s="219">
        <v>200</v>
      </c>
      <c r="AY17" s="220">
        <v>0.55000000000000004</v>
      </c>
      <c r="AZ17" s="220">
        <v>0.3</v>
      </c>
      <c r="BA17" s="220">
        <v>1.5</v>
      </c>
      <c r="BB17" s="220">
        <f>ROUND(((1.5-0.075)/(AX17/1000))+1,0)</f>
        <v>8</v>
      </c>
      <c r="BC17" s="220">
        <v>2</v>
      </c>
      <c r="BD17" s="220">
        <v>0.1</v>
      </c>
      <c r="BE17" s="220">
        <f>AZ17-0.04*2</f>
        <v>0.21999999999999997</v>
      </c>
      <c r="BF17" s="220">
        <v>0.1</v>
      </c>
      <c r="BG17" s="220"/>
      <c r="BH17" s="220"/>
      <c r="BI17" s="220">
        <f t="shared" si="81"/>
        <v>0.41999999999999993</v>
      </c>
      <c r="BJ17" s="220">
        <f t="shared" si="82"/>
        <v>6.7199999999999989</v>
      </c>
      <c r="BK17" s="220">
        <f t="shared" ref="BK17:BK22" si="95">PI()*(AW17/1000)^2*0.25*1*7850</f>
        <v>0.61653755826699685</v>
      </c>
      <c r="BL17" s="220">
        <f t="shared" si="75"/>
        <v>4.143132391554218</v>
      </c>
      <c r="BO17" s="206"/>
      <c r="BP17" s="206"/>
      <c r="BQ17" s="187" t="s">
        <v>453</v>
      </c>
      <c r="BR17" s="188">
        <v>12</v>
      </c>
      <c r="BS17" s="222">
        <v>0</v>
      </c>
      <c r="BT17" s="190">
        <v>0.4</v>
      </c>
      <c r="BU17" s="190">
        <v>0.25</v>
      </c>
      <c r="BV17" s="190">
        <f>BV16</f>
        <v>2.93</v>
      </c>
      <c r="BW17" s="190">
        <v>2</v>
      </c>
      <c r="BX17" s="190">
        <v>1</v>
      </c>
      <c r="BY17" s="190">
        <f t="shared" ref="BY17" si="96">BV17</f>
        <v>2.93</v>
      </c>
      <c r="BZ17" s="190"/>
      <c r="CA17" s="190"/>
      <c r="CB17" s="190"/>
      <c r="CC17" s="190"/>
      <c r="CD17" s="190">
        <f t="shared" ref="CD17" si="97">SUM(BY17:CC17)</f>
        <v>2.93</v>
      </c>
      <c r="CE17" s="190">
        <f t="shared" ref="CE17" si="98">BW17*CD17*BX17</f>
        <v>5.86</v>
      </c>
      <c r="CF17" s="190">
        <f t="shared" si="46"/>
        <v>0.88781408390447547</v>
      </c>
      <c r="CG17" s="190">
        <f t="shared" si="84"/>
        <v>5.2025905316802268</v>
      </c>
      <c r="DE17" s="203" t="s">
        <v>76</v>
      </c>
      <c r="DF17" s="197" t="s">
        <v>427</v>
      </c>
      <c r="DG17" s="197" t="s">
        <v>41</v>
      </c>
      <c r="DH17" s="197" t="s">
        <v>415</v>
      </c>
      <c r="DY17" s="203" t="s">
        <v>76</v>
      </c>
      <c r="DZ17" s="197" t="s">
        <v>427</v>
      </c>
      <c r="EA17" s="197" t="s">
        <v>44</v>
      </c>
      <c r="EB17" s="197" t="s">
        <v>415</v>
      </c>
    </row>
    <row r="18" spans="2:132" x14ac:dyDescent="0.25">
      <c r="B18" s="282"/>
      <c r="C18" s="282"/>
      <c r="D18" s="187" t="s">
        <v>432</v>
      </c>
      <c r="E18" s="188">
        <v>12</v>
      </c>
      <c r="F18" s="189">
        <v>250</v>
      </c>
      <c r="G18" s="190">
        <v>1.4</v>
      </c>
      <c r="H18" s="190">
        <v>1.7</v>
      </c>
      <c r="I18" s="190">
        <v>0.3</v>
      </c>
      <c r="J18" s="190">
        <f>ROUND(((H18-0.075*2)/(F18/1000))+1,0)</f>
        <v>7</v>
      </c>
      <c r="K18" s="190">
        <v>1</v>
      </c>
      <c r="L18" s="190">
        <f t="shared" ref="L18" si="99">I18-0.075*2</f>
        <v>0.15</v>
      </c>
      <c r="M18" s="190">
        <f t="shared" ref="M18" si="100">G18-0.075*2</f>
        <v>1.25</v>
      </c>
      <c r="N18" s="190">
        <f t="shared" si="65"/>
        <v>0.15</v>
      </c>
      <c r="O18" s="190"/>
      <c r="P18" s="190"/>
      <c r="Q18" s="190">
        <f t="shared" si="27"/>
        <v>1.5499999999999998</v>
      </c>
      <c r="R18" s="190">
        <f t="shared" si="28"/>
        <v>10.849999999999998</v>
      </c>
      <c r="S18" s="190">
        <f t="shared" si="93"/>
        <v>0.88781408390447547</v>
      </c>
      <c r="T18" s="190">
        <f t="shared" ref="T18" si="101">R18*S18</f>
        <v>9.6327828103635564</v>
      </c>
      <c r="Y18" s="282"/>
      <c r="Z18" s="282"/>
      <c r="AA18" s="187" t="s">
        <v>438</v>
      </c>
      <c r="AB18" s="188">
        <v>10</v>
      </c>
      <c r="AC18" s="189">
        <v>200</v>
      </c>
      <c r="AD18" s="190">
        <v>0.6</v>
      </c>
      <c r="AE18" s="190">
        <v>0.25</v>
      </c>
      <c r="AF18" s="190">
        <v>1.5</v>
      </c>
      <c r="AG18" s="190">
        <f>ROUND(((1.5-0.075)/(AC18/1000))+1,0)</f>
        <v>8</v>
      </c>
      <c r="AH18" s="190">
        <v>1</v>
      </c>
      <c r="AI18" s="190">
        <f>AD18-0.04*2</f>
        <v>0.52</v>
      </c>
      <c r="AJ18" s="190">
        <f>AE18-0.04*2</f>
        <v>0.16999999999999998</v>
      </c>
      <c r="AK18" s="190">
        <f t="shared" ref="AK18:AK19" si="102">AI18</f>
        <v>0.52</v>
      </c>
      <c r="AL18" s="190">
        <f>AJ18</f>
        <v>0.16999999999999998</v>
      </c>
      <c r="AM18" s="190">
        <f>10*(AB18/1000)</f>
        <v>0.1</v>
      </c>
      <c r="AN18" s="190">
        <f t="shared" si="67"/>
        <v>1.48</v>
      </c>
      <c r="AO18" s="190">
        <f>AG18*AN18*AH18</f>
        <v>11.84</v>
      </c>
      <c r="AP18" s="190">
        <f t="shared" si="94"/>
        <v>0.61653755826699685</v>
      </c>
      <c r="AQ18" s="190">
        <f t="shared" ref="AQ18:AQ19" si="103">AO18*AP18</f>
        <v>7.2998046898812428</v>
      </c>
      <c r="AT18" s="206" t="s">
        <v>197</v>
      </c>
      <c r="AU18" s="206" t="s">
        <v>496</v>
      </c>
      <c r="AV18" s="187" t="s">
        <v>444</v>
      </c>
      <c r="AW18" s="188">
        <v>16</v>
      </c>
      <c r="AX18" s="189" t="s">
        <v>440</v>
      </c>
      <c r="AY18" s="190"/>
      <c r="AZ18" s="190"/>
      <c r="BA18" s="190">
        <v>1.5</v>
      </c>
      <c r="BB18" s="190">
        <v>8</v>
      </c>
      <c r="BC18" s="190">
        <v>2</v>
      </c>
      <c r="BD18" s="190">
        <f>BA18-0.075*2</f>
        <v>1.35</v>
      </c>
      <c r="BE18" s="190">
        <f>16*(AW18/1000)</f>
        <v>0.25600000000000001</v>
      </c>
      <c r="BF18" s="190"/>
      <c r="BG18" s="190"/>
      <c r="BH18" s="190"/>
      <c r="BI18" s="190">
        <f>SUM(BD18:BH18)</f>
        <v>1.6060000000000001</v>
      </c>
      <c r="BJ18" s="190">
        <f>BB18*BI18*BC18</f>
        <v>25.696000000000002</v>
      </c>
      <c r="BK18" s="190">
        <f t="shared" si="95"/>
        <v>1.5783361491635119</v>
      </c>
      <c r="BL18" s="190">
        <f>BJ18*BK18</f>
        <v>40.556925688905608</v>
      </c>
      <c r="BO18" s="285" t="s">
        <v>459</v>
      </c>
      <c r="BP18" s="285" t="s">
        <v>253</v>
      </c>
      <c r="BQ18" s="217" t="s">
        <v>451</v>
      </c>
      <c r="BR18" s="218">
        <v>16</v>
      </c>
      <c r="BS18" s="223">
        <v>0</v>
      </c>
      <c r="BT18" s="220">
        <v>0.3</v>
      </c>
      <c r="BU18" s="220">
        <v>0.6</v>
      </c>
      <c r="BV18" s="220">
        <v>4.95</v>
      </c>
      <c r="BW18" s="220">
        <v>2</v>
      </c>
      <c r="BX18" s="220">
        <v>1</v>
      </c>
      <c r="BY18" s="220">
        <f>BV18</f>
        <v>4.95</v>
      </c>
      <c r="BZ18" s="220"/>
      <c r="CA18" s="220"/>
      <c r="CB18" s="220"/>
      <c r="CC18" s="220"/>
      <c r="CD18" s="220">
        <f>SUM(BY18:CC18)</f>
        <v>4.95</v>
      </c>
      <c r="CE18" s="220">
        <f t="shared" ref="CE18" si="104">BW18*CD18*BX18</f>
        <v>9.9</v>
      </c>
      <c r="CF18" s="220">
        <f t="shared" ref="CF18:CF25" si="105">PI()*(BR18/1000)^2*0.25*1*7850</f>
        <v>1.5783361491635119</v>
      </c>
      <c r="CG18" s="220">
        <f>CE18*CF18</f>
        <v>15.625527876718769</v>
      </c>
      <c r="DE18" s="204" t="s">
        <v>7</v>
      </c>
      <c r="DF18" s="198">
        <f>SUM(DW6:DW14)</f>
        <v>958.92996494541035</v>
      </c>
      <c r="DG18" s="198">
        <v>1</v>
      </c>
      <c r="DH18" s="198">
        <f>DF18*DG18</f>
        <v>958.92996494541035</v>
      </c>
      <c r="DY18" s="204" t="s">
        <v>7</v>
      </c>
      <c r="DZ18" s="198">
        <f>(EQ6+EQ7)/34.59</f>
        <v>6.5664190941185776</v>
      </c>
      <c r="EA18" s="198">
        <f>'Concrete Substructure'!J40</f>
        <v>532</v>
      </c>
      <c r="EB18" s="198">
        <f>DZ18*EA18</f>
        <v>3493.3349580710833</v>
      </c>
    </row>
    <row r="19" spans="2:132" x14ac:dyDescent="0.25">
      <c r="B19" s="281" t="s">
        <v>420</v>
      </c>
      <c r="C19" s="281" t="s">
        <v>417</v>
      </c>
      <c r="D19" s="191" t="s">
        <v>429</v>
      </c>
      <c r="E19" s="192">
        <v>12</v>
      </c>
      <c r="F19" s="193">
        <v>150</v>
      </c>
      <c r="G19" s="194">
        <v>1.9</v>
      </c>
      <c r="H19" s="194">
        <v>2.2000000000000002</v>
      </c>
      <c r="I19" s="194">
        <v>0.4</v>
      </c>
      <c r="J19" s="194">
        <f>ROUND(((G19-0.075*2)/(F19/1000))+1,0)</f>
        <v>13</v>
      </c>
      <c r="K19" s="194">
        <v>1</v>
      </c>
      <c r="L19" s="194">
        <f>I19-0.075*2</f>
        <v>0.25</v>
      </c>
      <c r="M19" s="194">
        <f>H19-0.075*2</f>
        <v>2.0500000000000003</v>
      </c>
      <c r="N19" s="194">
        <f t="shared" ref="N19:N22" si="106">L19</f>
        <v>0.25</v>
      </c>
      <c r="O19" s="194"/>
      <c r="P19" s="194"/>
      <c r="Q19" s="194">
        <f t="shared" si="27"/>
        <v>2.5500000000000003</v>
      </c>
      <c r="R19" s="194">
        <f t="shared" si="28"/>
        <v>33.150000000000006</v>
      </c>
      <c r="S19" s="194">
        <f t="shared" si="8"/>
        <v>0.88781408390447547</v>
      </c>
      <c r="T19" s="194">
        <f>R19*S19</f>
        <v>29.431036881433368</v>
      </c>
      <c r="Y19" s="282"/>
      <c r="Z19" s="282"/>
      <c r="AA19" s="187" t="s">
        <v>438</v>
      </c>
      <c r="AB19" s="188">
        <v>10</v>
      </c>
      <c r="AC19" s="189">
        <v>200</v>
      </c>
      <c r="AD19" s="190">
        <v>0.6</v>
      </c>
      <c r="AE19" s="190">
        <v>0.25</v>
      </c>
      <c r="AF19" s="190">
        <v>1.5</v>
      </c>
      <c r="AG19" s="190">
        <f t="shared" ref="AG19" si="107">ROUND(((1.5-0.075)/(AC19/1000))+1,0)</f>
        <v>8</v>
      </c>
      <c r="AH19" s="190">
        <v>1</v>
      </c>
      <c r="AI19" s="190">
        <f t="shared" ref="AI19" si="108">10*(AB19/1000)</f>
        <v>0.1</v>
      </c>
      <c r="AJ19" s="190">
        <f t="shared" ref="AJ19" si="109">AE19-0.04*2</f>
        <v>0.16999999999999998</v>
      </c>
      <c r="AK19" s="190">
        <f t="shared" si="102"/>
        <v>0.1</v>
      </c>
      <c r="AL19" s="190"/>
      <c r="AM19" s="190"/>
      <c r="AN19" s="190">
        <f t="shared" ref="AN19" si="110">SUM(AI19:AM19)</f>
        <v>0.37</v>
      </c>
      <c r="AO19" s="190">
        <f t="shared" ref="AO19" si="111">AG19*AN19*AH19</f>
        <v>2.96</v>
      </c>
      <c r="AP19" s="190">
        <f t="shared" si="94"/>
        <v>0.61653755826699685</v>
      </c>
      <c r="AQ19" s="190">
        <f t="shared" si="103"/>
        <v>1.8249511724703107</v>
      </c>
      <c r="AT19" s="206"/>
      <c r="AU19" s="206"/>
      <c r="AV19" s="187" t="s">
        <v>445</v>
      </c>
      <c r="AW19" s="188">
        <v>12</v>
      </c>
      <c r="AX19" s="189" t="s">
        <v>440</v>
      </c>
      <c r="AY19" s="190"/>
      <c r="AZ19" s="190"/>
      <c r="BA19" s="190">
        <v>1.5</v>
      </c>
      <c r="BB19" s="190">
        <v>10</v>
      </c>
      <c r="BC19" s="190">
        <v>1</v>
      </c>
      <c r="BD19" s="190">
        <f>BA19-0.075*2</f>
        <v>1.35</v>
      </c>
      <c r="BE19" s="190">
        <f>16*(AW19/1000)</f>
        <v>0.192</v>
      </c>
      <c r="BF19" s="190"/>
      <c r="BG19" s="190"/>
      <c r="BH19" s="190"/>
      <c r="BI19" s="190">
        <f>SUM(BD19:BH19)</f>
        <v>1.542</v>
      </c>
      <c r="BJ19" s="190">
        <f>BB19*BI19*BC19</f>
        <v>15.42</v>
      </c>
      <c r="BK19" s="190">
        <f t="shared" si="95"/>
        <v>0.88781408390447547</v>
      </c>
      <c r="BL19" s="190">
        <f t="shared" ref="BL19:BL22" si="112">BJ19*BK19</f>
        <v>13.690093173807012</v>
      </c>
      <c r="BO19" s="285"/>
      <c r="BP19" s="285"/>
      <c r="BQ19" s="217" t="s">
        <v>452</v>
      </c>
      <c r="BR19" s="218">
        <v>16</v>
      </c>
      <c r="BS19" s="223">
        <v>0</v>
      </c>
      <c r="BT19" s="220">
        <f>BT18</f>
        <v>0.3</v>
      </c>
      <c r="BU19" s="220">
        <f>BU18</f>
        <v>0.6</v>
      </c>
      <c r="BV19" s="220">
        <v>4.95</v>
      </c>
      <c r="BW19" s="220">
        <v>6</v>
      </c>
      <c r="BX19" s="220">
        <v>1</v>
      </c>
      <c r="BY19" s="220">
        <f>BV19</f>
        <v>4.95</v>
      </c>
      <c r="BZ19" s="220"/>
      <c r="CA19" s="220"/>
      <c r="CB19" s="220"/>
      <c r="CC19" s="220"/>
      <c r="CD19" s="220">
        <f t="shared" ref="CD19" si="113">SUM(BY19:CC19)</f>
        <v>4.95</v>
      </c>
      <c r="CE19" s="220">
        <f>BW19*CD19*BX19</f>
        <v>29.700000000000003</v>
      </c>
      <c r="CF19" s="220">
        <f t="shared" si="105"/>
        <v>1.5783361491635119</v>
      </c>
      <c r="CG19" s="220">
        <f t="shared" ref="CG19:CG21" si="114">CE19*CF19</f>
        <v>46.876583630156311</v>
      </c>
      <c r="DE19" s="212" t="s">
        <v>443</v>
      </c>
      <c r="DF19" s="210"/>
      <c r="DG19" s="210"/>
      <c r="DH19" s="214">
        <f>SUM(DH18:DH18)</f>
        <v>958.92996494541035</v>
      </c>
      <c r="DY19" s="212" t="s">
        <v>443</v>
      </c>
      <c r="DZ19" s="210"/>
      <c r="EA19" s="210"/>
      <c r="EB19" s="214">
        <f>SUM(EB18:EB18)</f>
        <v>3493.3349580710833</v>
      </c>
    </row>
    <row r="20" spans="2:132" x14ac:dyDescent="0.25">
      <c r="B20" s="281"/>
      <c r="C20" s="281"/>
      <c r="D20" s="191" t="s">
        <v>430</v>
      </c>
      <c r="E20" s="192">
        <v>12</v>
      </c>
      <c r="F20" s="193">
        <v>150</v>
      </c>
      <c r="G20" s="194">
        <v>1.9</v>
      </c>
      <c r="H20" s="194">
        <v>2.2000000000000002</v>
      </c>
      <c r="I20" s="194">
        <v>0.4</v>
      </c>
      <c r="J20" s="194">
        <f>ROUND(((H20-0.075*2)/(F20/1000))+1,0)</f>
        <v>15</v>
      </c>
      <c r="K20" s="194">
        <v>1</v>
      </c>
      <c r="L20" s="194">
        <f t="shared" ref="L20" si="115">I20-0.075*2</f>
        <v>0.25</v>
      </c>
      <c r="M20" s="194">
        <f t="shared" ref="M20" si="116">G20-0.075*2</f>
        <v>1.75</v>
      </c>
      <c r="N20" s="194">
        <f t="shared" si="106"/>
        <v>0.25</v>
      </c>
      <c r="O20" s="194"/>
      <c r="P20" s="194"/>
      <c r="Q20" s="194">
        <f t="shared" si="27"/>
        <v>2.25</v>
      </c>
      <c r="R20" s="194">
        <f t="shared" si="28"/>
        <v>33.75</v>
      </c>
      <c r="S20" s="194">
        <f t="shared" si="8"/>
        <v>0.88781408390447547</v>
      </c>
      <c r="T20" s="194">
        <f t="shared" ref="T20" si="117">R20*S20</f>
        <v>29.963725331776047</v>
      </c>
      <c r="Y20" s="281" t="s">
        <v>184</v>
      </c>
      <c r="Z20" s="281" t="s">
        <v>439</v>
      </c>
      <c r="AA20" s="191" t="s">
        <v>437</v>
      </c>
      <c r="AB20" s="192">
        <v>16</v>
      </c>
      <c r="AC20" s="193" t="s">
        <v>440</v>
      </c>
      <c r="AD20" s="194">
        <v>0.6</v>
      </c>
      <c r="AE20" s="194">
        <v>0.25</v>
      </c>
      <c r="AF20" s="194">
        <v>1.5</v>
      </c>
      <c r="AG20" s="194">
        <v>10</v>
      </c>
      <c r="AH20" s="194">
        <v>1</v>
      </c>
      <c r="AI20" s="194">
        <f>AF20-0.075</f>
        <v>1.425</v>
      </c>
      <c r="AJ20" s="194">
        <f>16*(AB20/1000)</f>
        <v>0.25600000000000001</v>
      </c>
      <c r="AK20" s="194"/>
      <c r="AL20" s="194"/>
      <c r="AM20" s="194"/>
      <c r="AN20" s="194">
        <f>SUM(AI20:AM20)</f>
        <v>1.681</v>
      </c>
      <c r="AO20" s="194">
        <f t="shared" ref="AO20:AO22" si="118">AG20*AN20*AH20</f>
        <v>16.810000000000002</v>
      </c>
      <c r="AP20" s="194">
        <f t="shared" si="94"/>
        <v>1.5783361491635119</v>
      </c>
      <c r="AQ20" s="194">
        <f>AO20*AP20</f>
        <v>26.531830667438641</v>
      </c>
      <c r="AT20" s="206"/>
      <c r="AU20" s="206"/>
      <c r="AV20" s="187" t="s">
        <v>446</v>
      </c>
      <c r="AW20" s="188">
        <v>10</v>
      </c>
      <c r="AX20" s="189">
        <v>200</v>
      </c>
      <c r="AY20" s="190">
        <v>1.3</v>
      </c>
      <c r="AZ20" s="190">
        <v>0.25</v>
      </c>
      <c r="BA20" s="190">
        <v>1.5</v>
      </c>
      <c r="BB20" s="190">
        <f>ROUND(((1.5-0.075)/(AX20/1000))+1,0)</f>
        <v>8</v>
      </c>
      <c r="BC20" s="190">
        <v>1</v>
      </c>
      <c r="BD20" s="190">
        <f>AY20-0.04*2</f>
        <v>1.22</v>
      </c>
      <c r="BE20" s="190">
        <f>AZ20-0.04*2</f>
        <v>0.16999999999999998</v>
      </c>
      <c r="BF20" s="190">
        <f t="shared" ref="BF20" si="119">BD20</f>
        <v>1.22</v>
      </c>
      <c r="BG20" s="190">
        <f>BE20</f>
        <v>0.16999999999999998</v>
      </c>
      <c r="BH20" s="190">
        <f>10*(AW20/1000)</f>
        <v>0.1</v>
      </c>
      <c r="BI20" s="190">
        <f t="shared" ref="BI20:BI22" si="120">SUM(BD20:BH20)</f>
        <v>2.88</v>
      </c>
      <c r="BJ20" s="190">
        <f t="shared" ref="BJ20:BJ22" si="121">BB20*BI20*BC20</f>
        <v>23.04</v>
      </c>
      <c r="BK20" s="190">
        <f t="shared" si="95"/>
        <v>0.61653755826699685</v>
      </c>
      <c r="BL20" s="190">
        <f t="shared" si="112"/>
        <v>14.205025342471608</v>
      </c>
      <c r="BO20" s="285"/>
      <c r="BP20" s="285"/>
      <c r="BQ20" s="217" t="s">
        <v>456</v>
      </c>
      <c r="BR20" s="218">
        <v>10</v>
      </c>
      <c r="BS20" s="219">
        <v>250</v>
      </c>
      <c r="BT20" s="220">
        <f>BT19</f>
        <v>0.3</v>
      </c>
      <c r="BU20" s="220">
        <f>BU19</f>
        <v>0.6</v>
      </c>
      <c r="BV20" s="220">
        <v>4.95</v>
      </c>
      <c r="BW20" s="220">
        <f>ROUND((BV20/(BS20/1000))+1,0)</f>
        <v>21</v>
      </c>
      <c r="BX20" s="220">
        <v>1</v>
      </c>
      <c r="BY20" s="220">
        <f>BT20-0.04*2</f>
        <v>0.21999999999999997</v>
      </c>
      <c r="BZ20" s="220">
        <f>BU20-0.04*2</f>
        <v>0.52</v>
      </c>
      <c r="CA20" s="220">
        <f>BY20</f>
        <v>0.21999999999999997</v>
      </c>
      <c r="CB20" s="220">
        <f>BZ20</f>
        <v>0.52</v>
      </c>
      <c r="CC20" s="220">
        <f>(10*BR20)/1000</f>
        <v>0.1</v>
      </c>
      <c r="CD20" s="220">
        <f>SUM(BY20:CC20)</f>
        <v>1.58</v>
      </c>
      <c r="CE20" s="220">
        <f>BW20*CD20*BX20</f>
        <v>33.18</v>
      </c>
      <c r="CF20" s="220">
        <f t="shared" si="105"/>
        <v>0.61653755826699685</v>
      </c>
      <c r="CG20" s="220">
        <f t="shared" si="114"/>
        <v>20.456716183298955</v>
      </c>
      <c r="EB20" s="247">
        <v>3076</v>
      </c>
    </row>
    <row r="21" spans="2:132" x14ac:dyDescent="0.25">
      <c r="B21" s="281"/>
      <c r="C21" s="281"/>
      <c r="D21" s="191" t="s">
        <v>431</v>
      </c>
      <c r="E21" s="192">
        <v>12</v>
      </c>
      <c r="F21" s="193">
        <v>250</v>
      </c>
      <c r="G21" s="194">
        <v>1.9</v>
      </c>
      <c r="H21" s="194">
        <v>2.2000000000000002</v>
      </c>
      <c r="I21" s="194">
        <v>0.4</v>
      </c>
      <c r="J21" s="194">
        <f>ROUND(((G21-0.075*2)/(F21/1000))+1,0)</f>
        <v>8</v>
      </c>
      <c r="K21" s="194">
        <v>1</v>
      </c>
      <c r="L21" s="194">
        <f>I21-0.075*2</f>
        <v>0.25</v>
      </c>
      <c r="M21" s="194">
        <f>H21-0.075*2</f>
        <v>2.0500000000000003</v>
      </c>
      <c r="N21" s="194">
        <f t="shared" si="106"/>
        <v>0.25</v>
      </c>
      <c r="O21" s="194"/>
      <c r="P21" s="194"/>
      <c r="Q21" s="194">
        <f t="shared" si="27"/>
        <v>2.5500000000000003</v>
      </c>
      <c r="R21" s="194">
        <f t="shared" si="28"/>
        <v>20.400000000000002</v>
      </c>
      <c r="S21" s="194">
        <f t="shared" ref="S21:S22" si="122">PI()*(E21/1000)^2*0.25*1*7850</f>
        <v>0.88781408390447547</v>
      </c>
      <c r="T21" s="194">
        <f>R21*S21</f>
        <v>18.111407311651302</v>
      </c>
      <c r="Y21" s="281"/>
      <c r="Z21" s="281"/>
      <c r="AA21" s="191" t="s">
        <v>438</v>
      </c>
      <c r="AB21" s="192">
        <v>10</v>
      </c>
      <c r="AC21" s="193">
        <v>200</v>
      </c>
      <c r="AD21" s="194">
        <v>0.6</v>
      </c>
      <c r="AE21" s="194">
        <v>0.25</v>
      </c>
      <c r="AF21" s="194">
        <v>1.5</v>
      </c>
      <c r="AG21" s="194">
        <f>ROUND(((1.5-0.075)/(AC21/1000))+1,0)</f>
        <v>8</v>
      </c>
      <c r="AH21" s="194">
        <v>1</v>
      </c>
      <c r="AI21" s="194">
        <f>AD21-0.04*2</f>
        <v>0.52</v>
      </c>
      <c r="AJ21" s="194">
        <f>AE21-0.04*2</f>
        <v>0.16999999999999998</v>
      </c>
      <c r="AK21" s="194">
        <f t="shared" ref="AK21:AK22" si="123">AI21</f>
        <v>0.52</v>
      </c>
      <c r="AL21" s="194">
        <f>AJ21</f>
        <v>0.16999999999999998</v>
      </c>
      <c r="AM21" s="194">
        <f>10*(AB21/1000)</f>
        <v>0.1</v>
      </c>
      <c r="AN21" s="194">
        <f>SUM(AI21:AM21)</f>
        <v>1.48</v>
      </c>
      <c r="AO21" s="194">
        <f t="shared" si="118"/>
        <v>11.84</v>
      </c>
      <c r="AP21" s="194">
        <f t="shared" si="94"/>
        <v>0.61653755826699685</v>
      </c>
      <c r="AQ21" s="194">
        <f t="shared" ref="AQ21:AQ22" si="124">AO21*AP21</f>
        <v>7.2998046898812428</v>
      </c>
      <c r="AT21" s="206"/>
      <c r="AU21" s="206"/>
      <c r="AV21" s="187" t="s">
        <v>446</v>
      </c>
      <c r="AW21" s="188">
        <v>10</v>
      </c>
      <c r="AX21" s="189">
        <v>200</v>
      </c>
      <c r="AY21" s="190">
        <v>0.25</v>
      </c>
      <c r="AZ21" s="190">
        <v>0.25</v>
      </c>
      <c r="BA21" s="190">
        <v>1.5</v>
      </c>
      <c r="BB21" s="190">
        <f>ROUND(((1.5-0.075)/(AX21/1000))+1,0)</f>
        <v>8</v>
      </c>
      <c r="BC21" s="190">
        <v>2</v>
      </c>
      <c r="BD21" s="190">
        <f>AY21-0.04</f>
        <v>0.21</v>
      </c>
      <c r="BE21" s="190">
        <f>AZ21-0.04*2</f>
        <v>0.16999999999999998</v>
      </c>
      <c r="BF21" s="190">
        <f>BD21</f>
        <v>0.21</v>
      </c>
      <c r="BG21" s="190">
        <f>BE21</f>
        <v>0.16999999999999998</v>
      </c>
      <c r="BH21" s="190">
        <f>10*(AW21/1000)</f>
        <v>0.1</v>
      </c>
      <c r="BI21" s="190">
        <f t="shared" si="120"/>
        <v>0.86</v>
      </c>
      <c r="BJ21" s="190">
        <f t="shared" si="121"/>
        <v>13.76</v>
      </c>
      <c r="BK21" s="190">
        <f t="shared" si="95"/>
        <v>0.61653755826699685</v>
      </c>
      <c r="BL21" s="190">
        <f t="shared" si="112"/>
        <v>8.4835568017538758</v>
      </c>
      <c r="BO21" s="216"/>
      <c r="BP21" s="216"/>
      <c r="BQ21" s="217" t="s">
        <v>453</v>
      </c>
      <c r="BR21" s="218">
        <v>12</v>
      </c>
      <c r="BS21" s="219">
        <f t="shared" ref="BS21" si="125">BS19</f>
        <v>0</v>
      </c>
      <c r="BT21" s="220">
        <v>0.4</v>
      </c>
      <c r="BU21" s="220">
        <v>0.25</v>
      </c>
      <c r="BV21" s="220">
        <f t="shared" ref="BV21" si="126">BV20</f>
        <v>4.95</v>
      </c>
      <c r="BW21" s="220">
        <v>2</v>
      </c>
      <c r="BX21" s="220">
        <v>1</v>
      </c>
      <c r="BY21" s="220">
        <f t="shared" ref="BY21" si="127">BV21</f>
        <v>4.95</v>
      </c>
      <c r="BZ21" s="220"/>
      <c r="CA21" s="220"/>
      <c r="CB21" s="220"/>
      <c r="CC21" s="220"/>
      <c r="CD21" s="220">
        <f t="shared" ref="CD21" si="128">SUM(BY21:CC21)</f>
        <v>4.95</v>
      </c>
      <c r="CE21" s="220">
        <f t="shared" ref="CE21" si="129">BW21*CD21*BX21</f>
        <v>9.9</v>
      </c>
      <c r="CF21" s="220">
        <f t="shared" si="105"/>
        <v>0.88781408390447547</v>
      </c>
      <c r="CG21" s="220">
        <f t="shared" si="114"/>
        <v>8.7893594306543079</v>
      </c>
      <c r="EB21" s="249">
        <f>EB19-EB20</f>
        <v>417.33495807108329</v>
      </c>
    </row>
    <row r="22" spans="2:132" x14ac:dyDescent="0.25">
      <c r="B22" s="281"/>
      <c r="C22" s="281"/>
      <c r="D22" s="191" t="s">
        <v>432</v>
      </c>
      <c r="E22" s="192">
        <v>12</v>
      </c>
      <c r="F22" s="193">
        <v>250</v>
      </c>
      <c r="G22" s="194">
        <v>1.9</v>
      </c>
      <c r="H22" s="194">
        <v>2.2000000000000002</v>
      </c>
      <c r="I22" s="194">
        <v>0.4</v>
      </c>
      <c r="J22" s="194">
        <f>ROUND(((H22-0.075*2)/(F22/1000))+1,0)</f>
        <v>9</v>
      </c>
      <c r="K22" s="194">
        <v>1</v>
      </c>
      <c r="L22" s="194">
        <f t="shared" ref="L22" si="130">I22-0.075*2</f>
        <v>0.25</v>
      </c>
      <c r="M22" s="194">
        <f t="shared" ref="M22" si="131">G22-0.075*2</f>
        <v>1.75</v>
      </c>
      <c r="N22" s="194">
        <f t="shared" si="106"/>
        <v>0.25</v>
      </c>
      <c r="O22" s="194"/>
      <c r="P22" s="194"/>
      <c r="Q22" s="194">
        <f t="shared" si="27"/>
        <v>2.25</v>
      </c>
      <c r="R22" s="194">
        <f t="shared" si="28"/>
        <v>20.25</v>
      </c>
      <c r="S22" s="194">
        <f t="shared" si="122"/>
        <v>0.88781408390447547</v>
      </c>
      <c r="T22" s="194">
        <f t="shared" ref="T22" si="132">R22*S22</f>
        <v>17.97823519906563</v>
      </c>
      <c r="Y22" s="281"/>
      <c r="Z22" s="281"/>
      <c r="AA22" s="191" t="s">
        <v>438</v>
      </c>
      <c r="AB22" s="192">
        <v>10</v>
      </c>
      <c r="AC22" s="193">
        <v>200</v>
      </c>
      <c r="AD22" s="194">
        <v>0.6</v>
      </c>
      <c r="AE22" s="194">
        <v>0.25</v>
      </c>
      <c r="AF22" s="194">
        <v>1.5</v>
      </c>
      <c r="AG22" s="194">
        <f t="shared" ref="AG22" si="133">ROUND(((1.5-0.075)/(AC22/1000))+1,0)</f>
        <v>8</v>
      </c>
      <c r="AH22" s="194">
        <v>1</v>
      </c>
      <c r="AI22" s="194">
        <f t="shared" ref="AI22" si="134">10*(AB22/1000)</f>
        <v>0.1</v>
      </c>
      <c r="AJ22" s="194">
        <f t="shared" ref="AJ22" si="135">AE22-0.04*2</f>
        <v>0.16999999999999998</v>
      </c>
      <c r="AK22" s="194">
        <f t="shared" si="123"/>
        <v>0.1</v>
      </c>
      <c r="AL22" s="194"/>
      <c r="AM22" s="194"/>
      <c r="AN22" s="194">
        <f t="shared" ref="AN22" si="136">SUM(AI22:AM22)</f>
        <v>0.37</v>
      </c>
      <c r="AO22" s="194">
        <f t="shared" si="118"/>
        <v>2.96</v>
      </c>
      <c r="AP22" s="194">
        <f t="shared" si="94"/>
        <v>0.61653755826699685</v>
      </c>
      <c r="AQ22" s="194">
        <f t="shared" si="124"/>
        <v>1.8249511724703107</v>
      </c>
      <c r="AT22" s="206"/>
      <c r="AU22" s="206"/>
      <c r="AV22" s="187" t="s">
        <v>448</v>
      </c>
      <c r="AW22" s="188">
        <v>10</v>
      </c>
      <c r="AX22" s="189">
        <v>200</v>
      </c>
      <c r="AY22" s="190">
        <v>0.55000000000000004</v>
      </c>
      <c r="AZ22" s="190">
        <v>0.3</v>
      </c>
      <c r="BA22" s="190">
        <v>1.5</v>
      </c>
      <c r="BB22" s="190">
        <f>ROUND(((1.5-0.075)/(AX22/1000))+1,0)</f>
        <v>8</v>
      </c>
      <c r="BC22" s="190">
        <v>2</v>
      </c>
      <c r="BD22" s="190">
        <v>0.1</v>
      </c>
      <c r="BE22" s="190">
        <f t="shared" ref="BE22" si="137">AZ22-0.04*2</f>
        <v>0.21999999999999997</v>
      </c>
      <c r="BF22" s="190">
        <v>0.1</v>
      </c>
      <c r="BG22" s="190"/>
      <c r="BH22" s="190"/>
      <c r="BI22" s="190">
        <f t="shared" si="120"/>
        <v>0.41999999999999993</v>
      </c>
      <c r="BJ22" s="190">
        <f t="shared" si="121"/>
        <v>6.7199999999999989</v>
      </c>
      <c r="BK22" s="190">
        <f t="shared" si="95"/>
        <v>0.61653755826699685</v>
      </c>
      <c r="BL22" s="190">
        <f t="shared" si="112"/>
        <v>4.143132391554218</v>
      </c>
      <c r="BO22" s="282" t="s">
        <v>460</v>
      </c>
      <c r="BP22" s="282" t="s">
        <v>253</v>
      </c>
      <c r="BQ22" s="187" t="s">
        <v>451</v>
      </c>
      <c r="BR22" s="188">
        <v>16</v>
      </c>
      <c r="BS22" s="222">
        <v>0</v>
      </c>
      <c r="BT22" s="190">
        <v>0.25</v>
      </c>
      <c r="BU22" s="190">
        <v>0.6</v>
      </c>
      <c r="BV22" s="190">
        <v>2.93</v>
      </c>
      <c r="BW22" s="190">
        <v>2</v>
      </c>
      <c r="BX22" s="190">
        <v>1</v>
      </c>
      <c r="BY22" s="190">
        <f>BV22</f>
        <v>2.93</v>
      </c>
      <c r="BZ22" s="190"/>
      <c r="CA22" s="190"/>
      <c r="CB22" s="190"/>
      <c r="CC22" s="190"/>
      <c r="CD22" s="190">
        <f>SUM(BY22:CC22)</f>
        <v>2.93</v>
      </c>
      <c r="CE22" s="190">
        <f t="shared" ref="CE22" si="138">BW22*CD22*BX22</f>
        <v>5.86</v>
      </c>
      <c r="CF22" s="190">
        <f t="shared" si="105"/>
        <v>1.5783361491635119</v>
      </c>
      <c r="CG22" s="190">
        <f>CE22*CF22</f>
        <v>9.2490498340981802</v>
      </c>
    </row>
    <row r="23" spans="2:132" x14ac:dyDescent="0.25">
      <c r="B23" s="282" t="s">
        <v>421</v>
      </c>
      <c r="C23" s="282" t="s">
        <v>417</v>
      </c>
      <c r="D23" s="187" t="s">
        <v>429</v>
      </c>
      <c r="E23" s="188">
        <v>12</v>
      </c>
      <c r="F23" s="189">
        <v>150</v>
      </c>
      <c r="G23" s="190">
        <v>2</v>
      </c>
      <c r="H23" s="190">
        <v>2.4</v>
      </c>
      <c r="I23" s="190">
        <v>0.4</v>
      </c>
      <c r="J23" s="190">
        <f>ROUND(((G23-0.075*2)/(F23/1000))+1,0)</f>
        <v>13</v>
      </c>
      <c r="K23" s="190">
        <v>1</v>
      </c>
      <c r="L23" s="190">
        <f>I23-0.075*2</f>
        <v>0.25</v>
      </c>
      <c r="M23" s="190">
        <f>H23-0.075*2</f>
        <v>2.25</v>
      </c>
      <c r="N23" s="190">
        <f t="shared" ref="N23:N25" si="139">L23</f>
        <v>0.25</v>
      </c>
      <c r="O23" s="190"/>
      <c r="P23" s="190"/>
      <c r="Q23" s="190">
        <f t="shared" si="27"/>
        <v>2.75</v>
      </c>
      <c r="R23" s="190">
        <f t="shared" si="28"/>
        <v>35.75</v>
      </c>
      <c r="S23" s="190">
        <f t="shared" si="8"/>
        <v>0.88781408390447547</v>
      </c>
      <c r="T23" s="190">
        <f>R23*S23</f>
        <v>31.739353499584997</v>
      </c>
      <c r="Y23" s="282" t="s">
        <v>185</v>
      </c>
      <c r="Z23" s="282" t="s">
        <v>439</v>
      </c>
      <c r="AA23" s="187" t="s">
        <v>437</v>
      </c>
      <c r="AB23" s="188">
        <v>16</v>
      </c>
      <c r="AC23" s="189" t="s">
        <v>440</v>
      </c>
      <c r="AD23" s="190">
        <v>0.6</v>
      </c>
      <c r="AE23" s="190">
        <v>0.25</v>
      </c>
      <c r="AF23" s="190">
        <v>1.5</v>
      </c>
      <c r="AG23" s="190">
        <v>10</v>
      </c>
      <c r="AH23" s="190">
        <v>1</v>
      </c>
      <c r="AI23" s="190">
        <f>AF23-0.075</f>
        <v>1.425</v>
      </c>
      <c r="AJ23" s="190">
        <f>16*(AB23/1000)</f>
        <v>0.25600000000000001</v>
      </c>
      <c r="AK23" s="190"/>
      <c r="AL23" s="190"/>
      <c r="AM23" s="190"/>
      <c r="AN23" s="190">
        <f>SUM(AI23:AM23)</f>
        <v>1.681</v>
      </c>
      <c r="AO23" s="190">
        <f>AG23*AN23*AH23</f>
        <v>16.810000000000002</v>
      </c>
      <c r="AP23" s="190">
        <f t="shared" si="94"/>
        <v>1.5783361491635119</v>
      </c>
      <c r="AQ23" s="190">
        <f>AO23*AP23</f>
        <v>26.531830667438641</v>
      </c>
      <c r="AT23" s="195" t="s">
        <v>450</v>
      </c>
      <c r="AU23" s="202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6"/>
      <c r="BO23" s="282"/>
      <c r="BP23" s="282"/>
      <c r="BQ23" s="187" t="s">
        <v>452</v>
      </c>
      <c r="BR23" s="188">
        <v>16</v>
      </c>
      <c r="BS23" s="222">
        <v>0</v>
      </c>
      <c r="BT23" s="190">
        <v>0.25</v>
      </c>
      <c r="BU23" s="190">
        <f>BU22</f>
        <v>0.6</v>
      </c>
      <c r="BV23" s="190">
        <v>2.93</v>
      </c>
      <c r="BW23" s="190">
        <v>6</v>
      </c>
      <c r="BX23" s="190">
        <v>1</v>
      </c>
      <c r="BY23" s="190">
        <f>BV23</f>
        <v>2.93</v>
      </c>
      <c r="BZ23" s="190"/>
      <c r="CA23" s="190"/>
      <c r="CB23" s="190"/>
      <c r="CC23" s="190"/>
      <c r="CD23" s="190">
        <f t="shared" ref="CD23" si="140">SUM(BY23:CC23)</f>
        <v>2.93</v>
      </c>
      <c r="CE23" s="190">
        <f>BW23*CD23*BX23</f>
        <v>17.580000000000002</v>
      </c>
      <c r="CF23" s="190">
        <f t="shared" si="105"/>
        <v>1.5783361491635119</v>
      </c>
      <c r="CG23" s="190">
        <f t="shared" ref="CG23:CG25" si="141">CE23*CF23</f>
        <v>27.747149502294544</v>
      </c>
    </row>
    <row r="24" spans="2:132" x14ac:dyDescent="0.25">
      <c r="B24" s="282"/>
      <c r="C24" s="282"/>
      <c r="D24" s="187" t="s">
        <v>430</v>
      </c>
      <c r="E24" s="188">
        <v>12</v>
      </c>
      <c r="F24" s="189">
        <v>150</v>
      </c>
      <c r="G24" s="190">
        <v>2</v>
      </c>
      <c r="H24" s="190">
        <v>2.4</v>
      </c>
      <c r="I24" s="190">
        <v>0.4</v>
      </c>
      <c r="J24" s="190">
        <f>ROUND(((H24-0.075*2)/(F24/1000))+1,0)</f>
        <v>16</v>
      </c>
      <c r="K24" s="190">
        <v>1</v>
      </c>
      <c r="L24" s="190">
        <f t="shared" ref="L24" si="142">I24-0.075*2</f>
        <v>0.25</v>
      </c>
      <c r="M24" s="190">
        <f t="shared" ref="M24" si="143">G24-0.075*2</f>
        <v>1.85</v>
      </c>
      <c r="N24" s="190">
        <f t="shared" si="139"/>
        <v>0.25</v>
      </c>
      <c r="O24" s="190"/>
      <c r="P24" s="190"/>
      <c r="Q24" s="190">
        <f t="shared" si="27"/>
        <v>2.35</v>
      </c>
      <c r="R24" s="190">
        <f t="shared" si="28"/>
        <v>37.6</v>
      </c>
      <c r="S24" s="190">
        <f t="shared" si="8"/>
        <v>0.88781408390447547</v>
      </c>
      <c r="T24" s="190">
        <f t="shared" ref="T24:T40" si="144">R24*S24</f>
        <v>33.381809554808278</v>
      </c>
      <c r="Y24" s="282"/>
      <c r="Z24" s="282"/>
      <c r="AA24" s="187" t="s">
        <v>438</v>
      </c>
      <c r="AB24" s="188">
        <v>10</v>
      </c>
      <c r="AC24" s="189">
        <v>200</v>
      </c>
      <c r="AD24" s="190">
        <v>0.6</v>
      </c>
      <c r="AE24" s="190">
        <v>0.25</v>
      </c>
      <c r="AF24" s="190">
        <v>1.5</v>
      </c>
      <c r="AG24" s="190">
        <f>ROUND(((1.5-0.075)/(AC24/1000))+1,0)</f>
        <v>8</v>
      </c>
      <c r="AH24" s="190">
        <v>1</v>
      </c>
      <c r="AI24" s="190">
        <f>AD24-0.04*2</f>
        <v>0.52</v>
      </c>
      <c r="AJ24" s="190">
        <f>AE24-0.04*2</f>
        <v>0.16999999999999998</v>
      </c>
      <c r="AK24" s="190">
        <f t="shared" ref="AK24:AK25" si="145">AI24</f>
        <v>0.52</v>
      </c>
      <c r="AL24" s="190">
        <f>AJ24</f>
        <v>0.16999999999999998</v>
      </c>
      <c r="AM24" s="190">
        <f>10*(AB24/1000)</f>
        <v>0.1</v>
      </c>
      <c r="AN24" s="190">
        <f>SUM(AI24:AM24)</f>
        <v>1.48</v>
      </c>
      <c r="AO24" s="190">
        <f>AG24*AN24*AH24</f>
        <v>11.84</v>
      </c>
      <c r="AP24" s="190">
        <f t="shared" si="94"/>
        <v>0.61653755826699685</v>
      </c>
      <c r="AQ24" s="190">
        <f t="shared" ref="AQ24:AQ25" si="146">AO24*AP24</f>
        <v>7.2998046898812428</v>
      </c>
      <c r="AT24" s="178"/>
      <c r="AU24" s="199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O24" s="282"/>
      <c r="BP24" s="282"/>
      <c r="BQ24" s="187" t="s">
        <v>456</v>
      </c>
      <c r="BR24" s="188">
        <v>10</v>
      </c>
      <c r="BS24" s="189">
        <v>150</v>
      </c>
      <c r="BT24" s="190">
        <v>0.25</v>
      </c>
      <c r="BU24" s="190">
        <f>BU23</f>
        <v>0.6</v>
      </c>
      <c r="BV24" s="190">
        <v>2.93</v>
      </c>
      <c r="BW24" s="190">
        <f>ROUND((BV24/(BS24/1000))+1,0)</f>
        <v>21</v>
      </c>
      <c r="BX24" s="190">
        <v>1</v>
      </c>
      <c r="BY24" s="190">
        <f>BT24-0.04*2</f>
        <v>0.16999999999999998</v>
      </c>
      <c r="BZ24" s="190">
        <f>BU24-0.04*2</f>
        <v>0.52</v>
      </c>
      <c r="CA24" s="190">
        <f>BY24</f>
        <v>0.16999999999999998</v>
      </c>
      <c r="CB24" s="190">
        <f>BZ24</f>
        <v>0.52</v>
      </c>
      <c r="CC24" s="190">
        <f>(10*BR24)/1000</f>
        <v>0.1</v>
      </c>
      <c r="CD24" s="190">
        <f>SUM(BY24:CC24)</f>
        <v>1.48</v>
      </c>
      <c r="CE24" s="190">
        <f>BW24*CD24*BX24</f>
        <v>31.08</v>
      </c>
      <c r="CF24" s="190">
        <f t="shared" si="105"/>
        <v>0.61653755826699685</v>
      </c>
      <c r="CG24" s="190">
        <f t="shared" si="141"/>
        <v>19.161987310938262</v>
      </c>
    </row>
    <row r="25" spans="2:132" x14ac:dyDescent="0.25">
      <c r="B25" s="282"/>
      <c r="C25" s="282"/>
      <c r="D25" s="187" t="s">
        <v>431</v>
      </c>
      <c r="E25" s="188">
        <v>12</v>
      </c>
      <c r="F25" s="189">
        <v>250</v>
      </c>
      <c r="G25" s="190">
        <v>2</v>
      </c>
      <c r="H25" s="190">
        <v>2.4</v>
      </c>
      <c r="I25" s="190">
        <v>0.4</v>
      </c>
      <c r="J25" s="190">
        <f>ROUND(((G25-0.075*2)/(F25/1000))+1,0)</f>
        <v>8</v>
      </c>
      <c r="K25" s="190">
        <v>1</v>
      </c>
      <c r="L25" s="190">
        <f>I25-0.075*2</f>
        <v>0.25</v>
      </c>
      <c r="M25" s="190">
        <f>H25-0.075*2</f>
        <v>2.25</v>
      </c>
      <c r="N25" s="190">
        <f t="shared" si="139"/>
        <v>0.25</v>
      </c>
      <c r="O25" s="190"/>
      <c r="P25" s="190"/>
      <c r="Q25" s="190">
        <f t="shared" si="27"/>
        <v>2.75</v>
      </c>
      <c r="R25" s="190">
        <f t="shared" si="28"/>
        <v>22</v>
      </c>
      <c r="S25" s="190">
        <f t="shared" ref="S25:S26" si="147">PI()*(E25/1000)^2*0.25*1*7850</f>
        <v>0.88781408390447547</v>
      </c>
      <c r="T25" s="190">
        <f>R25*S25</f>
        <v>19.531909845898461</v>
      </c>
      <c r="Y25" s="282"/>
      <c r="Z25" s="282"/>
      <c r="AA25" s="187" t="s">
        <v>438</v>
      </c>
      <c r="AB25" s="188">
        <v>10</v>
      </c>
      <c r="AC25" s="189">
        <v>200</v>
      </c>
      <c r="AD25" s="190">
        <v>0.6</v>
      </c>
      <c r="AE25" s="190">
        <v>0.25</v>
      </c>
      <c r="AF25" s="190">
        <v>1.5</v>
      </c>
      <c r="AG25" s="190">
        <f t="shared" ref="AG25" si="148">ROUND(((1.5-0.075)/(AC25/1000))+1,0)</f>
        <v>8</v>
      </c>
      <c r="AH25" s="190">
        <v>1</v>
      </c>
      <c r="AI25" s="190">
        <f t="shared" ref="AI25" si="149">10*(AB25/1000)</f>
        <v>0.1</v>
      </c>
      <c r="AJ25" s="190">
        <f t="shared" ref="AJ25" si="150">AE25-0.04*2</f>
        <v>0.16999999999999998</v>
      </c>
      <c r="AK25" s="190">
        <f t="shared" si="145"/>
        <v>0.1</v>
      </c>
      <c r="AL25" s="190"/>
      <c r="AM25" s="190"/>
      <c r="AN25" s="190">
        <f t="shared" ref="AN25" si="151">SUM(AI25:AM25)</f>
        <v>0.37</v>
      </c>
      <c r="AO25" s="190">
        <f t="shared" ref="AO25" si="152">AG25*AN25*AH25</f>
        <v>2.96</v>
      </c>
      <c r="AP25" s="190">
        <f t="shared" ref="AP25" si="153">PI()*(AB25/1000)^2*0.25*1*7850</f>
        <v>0.61653755826699685</v>
      </c>
      <c r="AQ25" s="190">
        <f t="shared" si="146"/>
        <v>1.8249511724703107</v>
      </c>
      <c r="AT25" s="178"/>
      <c r="AU25" s="283" t="s">
        <v>425</v>
      </c>
      <c r="AV25" s="283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O25" s="206"/>
      <c r="BP25" s="206"/>
      <c r="BQ25" s="187" t="s">
        <v>453</v>
      </c>
      <c r="BR25" s="188">
        <v>12</v>
      </c>
      <c r="BS25" s="222">
        <v>0</v>
      </c>
      <c r="BT25" s="190">
        <v>0.4</v>
      </c>
      <c r="BU25" s="190">
        <v>0.25</v>
      </c>
      <c r="BV25" s="190">
        <f t="shared" ref="BV25" si="154">BV24</f>
        <v>2.93</v>
      </c>
      <c r="BW25" s="190">
        <v>2</v>
      </c>
      <c r="BX25" s="190">
        <v>1</v>
      </c>
      <c r="BY25" s="190">
        <f t="shared" ref="BY25" si="155">BV25</f>
        <v>2.93</v>
      </c>
      <c r="BZ25" s="190"/>
      <c r="CA25" s="190"/>
      <c r="CB25" s="190"/>
      <c r="CC25" s="190"/>
      <c r="CD25" s="190">
        <f t="shared" ref="CD25" si="156">SUM(BY25:CC25)</f>
        <v>2.93</v>
      </c>
      <c r="CE25" s="190">
        <f t="shared" ref="CE25" si="157">BW25*CD25*BX25</f>
        <v>5.86</v>
      </c>
      <c r="CF25" s="190">
        <f t="shared" si="105"/>
        <v>0.88781408390447547</v>
      </c>
      <c r="CG25" s="190">
        <f t="shared" si="141"/>
        <v>5.2025905316802268</v>
      </c>
    </row>
    <row r="26" spans="2:132" x14ac:dyDescent="0.25">
      <c r="B26" s="282"/>
      <c r="C26" s="282"/>
      <c r="D26" s="187" t="s">
        <v>432</v>
      </c>
      <c r="E26" s="188">
        <v>12</v>
      </c>
      <c r="F26" s="189">
        <v>250</v>
      </c>
      <c r="G26" s="190">
        <v>2</v>
      </c>
      <c r="H26" s="190">
        <v>2.4</v>
      </c>
      <c r="I26" s="190">
        <v>0.4</v>
      </c>
      <c r="J26" s="190">
        <f>ROUND(((H26-0.075*2)/(F26/1000))+1,0)</f>
        <v>10</v>
      </c>
      <c r="K26" s="190">
        <v>1</v>
      </c>
      <c r="L26" s="190">
        <f>I26-0.075*2</f>
        <v>0.25</v>
      </c>
      <c r="M26" s="190">
        <f t="shared" ref="M26" si="158">G26-0.075*2</f>
        <v>1.85</v>
      </c>
      <c r="N26" s="190">
        <f>L26</f>
        <v>0.25</v>
      </c>
      <c r="O26" s="190"/>
      <c r="P26" s="190"/>
      <c r="Q26" s="190">
        <f t="shared" si="27"/>
        <v>2.35</v>
      </c>
      <c r="R26" s="190">
        <f t="shared" si="28"/>
        <v>23.5</v>
      </c>
      <c r="S26" s="190">
        <f t="shared" si="147"/>
        <v>0.88781408390447547</v>
      </c>
      <c r="T26" s="190">
        <f t="shared" ref="T26" si="159">R26*S26</f>
        <v>20.863630971755175</v>
      </c>
      <c r="Y26" s="281" t="s">
        <v>183</v>
      </c>
      <c r="Z26" s="281" t="s">
        <v>439</v>
      </c>
      <c r="AA26" s="191" t="s">
        <v>437</v>
      </c>
      <c r="AB26" s="192">
        <v>16</v>
      </c>
      <c r="AC26" s="193" t="s">
        <v>440</v>
      </c>
      <c r="AD26" s="194">
        <v>0.6</v>
      </c>
      <c r="AE26" s="194">
        <v>0.2</v>
      </c>
      <c r="AF26" s="194">
        <v>1.5</v>
      </c>
      <c r="AG26" s="194">
        <v>10</v>
      </c>
      <c r="AH26" s="194">
        <v>1</v>
      </c>
      <c r="AI26" s="194">
        <f>AF26-0.075</f>
        <v>1.425</v>
      </c>
      <c r="AJ26" s="194">
        <f>16*(AB26/1000)</f>
        <v>0.25600000000000001</v>
      </c>
      <c r="AK26" s="194"/>
      <c r="AL26" s="194"/>
      <c r="AM26" s="194"/>
      <c r="AN26" s="194">
        <f>SUM(AI26:AM26)</f>
        <v>1.681</v>
      </c>
      <c r="AO26" s="194">
        <f t="shared" ref="AO26:AO28" si="160">AG26*AN26*AH26</f>
        <v>16.810000000000002</v>
      </c>
      <c r="AP26" s="194">
        <f t="shared" si="94"/>
        <v>1.5783361491635119</v>
      </c>
      <c r="AQ26" s="194">
        <f>AO26*AP26</f>
        <v>26.531830667438641</v>
      </c>
      <c r="AT26" s="178"/>
      <c r="AU26" s="203" t="s">
        <v>449</v>
      </c>
      <c r="AV26" s="197" t="s">
        <v>427</v>
      </c>
      <c r="AW26" s="197" t="s">
        <v>40</v>
      </c>
      <c r="AX26" s="197" t="s">
        <v>415</v>
      </c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O26" s="285" t="s">
        <v>461</v>
      </c>
      <c r="BP26" s="285" t="s">
        <v>253</v>
      </c>
      <c r="BQ26" s="217" t="s">
        <v>451</v>
      </c>
      <c r="BR26" s="218">
        <v>16</v>
      </c>
      <c r="BS26" s="223">
        <v>0</v>
      </c>
      <c r="BT26" s="220">
        <v>0.25</v>
      </c>
      <c r="BU26" s="220">
        <v>0.82</v>
      </c>
      <c r="BV26" s="220">
        <v>3.49</v>
      </c>
      <c r="BW26" s="220">
        <v>2</v>
      </c>
      <c r="BX26" s="220">
        <v>1</v>
      </c>
      <c r="BY26" s="220">
        <f>BV26</f>
        <v>3.49</v>
      </c>
      <c r="BZ26" s="220"/>
      <c r="CA26" s="220"/>
      <c r="CB26" s="220"/>
      <c r="CC26" s="220"/>
      <c r="CD26" s="220">
        <f>SUM(BY26:CC26)</f>
        <v>3.49</v>
      </c>
      <c r="CE26" s="220">
        <f t="shared" ref="CE26" si="161">BW26*CD26*BX26</f>
        <v>6.98</v>
      </c>
      <c r="CF26" s="220">
        <f t="shared" ref="CF26:CF33" si="162">PI()*(BR26/1000)^2*0.25*1*7850</f>
        <v>1.5783361491635119</v>
      </c>
      <c r="CG26" s="220">
        <f>CE26*CF26</f>
        <v>11.016786321161314</v>
      </c>
    </row>
    <row r="27" spans="2:132" x14ac:dyDescent="0.25">
      <c r="B27" s="281" t="s">
        <v>422</v>
      </c>
      <c r="C27" s="281" t="s">
        <v>417</v>
      </c>
      <c r="D27" s="191" t="s">
        <v>429</v>
      </c>
      <c r="E27" s="192">
        <v>16</v>
      </c>
      <c r="F27" s="193">
        <v>200</v>
      </c>
      <c r="G27" s="194">
        <v>2.2000000000000002</v>
      </c>
      <c r="H27" s="194">
        <v>2.8</v>
      </c>
      <c r="I27" s="194">
        <v>0.4</v>
      </c>
      <c r="J27" s="194">
        <f>ROUND(((G27-0.075*2)/(F27/1000))+1,0)</f>
        <v>11</v>
      </c>
      <c r="K27" s="194">
        <v>1</v>
      </c>
      <c r="L27" s="194">
        <f>I27-0.075*2</f>
        <v>0.25</v>
      </c>
      <c r="M27" s="194">
        <f>H27-0.075*2</f>
        <v>2.65</v>
      </c>
      <c r="N27" s="194">
        <f t="shared" ref="N27:N29" si="163">L27</f>
        <v>0.25</v>
      </c>
      <c r="O27" s="194"/>
      <c r="P27" s="194"/>
      <c r="Q27" s="194">
        <f t="shared" si="27"/>
        <v>3.15</v>
      </c>
      <c r="R27" s="194">
        <f t="shared" si="28"/>
        <v>34.65</v>
      </c>
      <c r="S27" s="194">
        <f t="shared" si="8"/>
        <v>1.5783361491635119</v>
      </c>
      <c r="T27" s="194">
        <f t="shared" si="144"/>
        <v>54.689347568515686</v>
      </c>
      <c r="Y27" s="281"/>
      <c r="Z27" s="281"/>
      <c r="AA27" s="191" t="s">
        <v>438</v>
      </c>
      <c r="AB27" s="192">
        <v>10</v>
      </c>
      <c r="AC27" s="193">
        <v>200</v>
      </c>
      <c r="AD27" s="194">
        <v>0.6</v>
      </c>
      <c r="AE27" s="194">
        <v>0.2</v>
      </c>
      <c r="AF27" s="194">
        <v>1.5</v>
      </c>
      <c r="AG27" s="194">
        <f>ROUND(((1.5-0.075)/(AC27/1000))+1,0)</f>
        <v>8</v>
      </c>
      <c r="AH27" s="194">
        <v>1</v>
      </c>
      <c r="AI27" s="194">
        <f>AD27-0.04*2</f>
        <v>0.52</v>
      </c>
      <c r="AJ27" s="194">
        <f>AE27-0.04*2</f>
        <v>0.12000000000000001</v>
      </c>
      <c r="AK27" s="194">
        <f t="shared" ref="AK27:AK28" si="164">AI27</f>
        <v>0.52</v>
      </c>
      <c r="AL27" s="194">
        <f>AJ27</f>
        <v>0.12000000000000001</v>
      </c>
      <c r="AM27" s="194">
        <f>10*(AB27/1000)</f>
        <v>0.1</v>
      </c>
      <c r="AN27" s="194">
        <f>SUM(AI27:AM27)</f>
        <v>1.3800000000000003</v>
      </c>
      <c r="AO27" s="194">
        <f t="shared" si="160"/>
        <v>11.040000000000003</v>
      </c>
      <c r="AP27" s="194">
        <f t="shared" si="94"/>
        <v>0.61653755826699685</v>
      </c>
      <c r="AQ27" s="194">
        <f t="shared" ref="AQ27:AQ28" si="165">AO27*AP27</f>
        <v>6.8065746432676466</v>
      </c>
      <c r="AT27" s="178"/>
      <c r="AU27" s="204" t="s">
        <v>195</v>
      </c>
      <c r="AV27" s="198">
        <f>SUM(BL7:BL12)</f>
        <v>186.61299626019868</v>
      </c>
      <c r="AW27" s="198">
        <f>'Concrete Substructure'!F60</f>
        <v>1</v>
      </c>
      <c r="AX27" s="198">
        <f>AV27*AW27</f>
        <v>186.61299626019868</v>
      </c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O27" s="285"/>
      <c r="BP27" s="285"/>
      <c r="BQ27" s="217" t="s">
        <v>452</v>
      </c>
      <c r="BR27" s="218">
        <v>16</v>
      </c>
      <c r="BS27" s="223">
        <v>0</v>
      </c>
      <c r="BT27" s="220">
        <f>BT26</f>
        <v>0.25</v>
      </c>
      <c r="BU27" s="220">
        <f>BU26</f>
        <v>0.82</v>
      </c>
      <c r="BV27" s="220">
        <v>3.49</v>
      </c>
      <c r="BW27" s="220">
        <v>6</v>
      </c>
      <c r="BX27" s="220">
        <v>1</v>
      </c>
      <c r="BY27" s="220">
        <f>BV27</f>
        <v>3.49</v>
      </c>
      <c r="BZ27" s="220"/>
      <c r="CA27" s="220"/>
      <c r="CB27" s="220"/>
      <c r="CC27" s="220"/>
      <c r="CD27" s="220">
        <f t="shared" ref="CD27" si="166">SUM(BY27:CC27)</f>
        <v>3.49</v>
      </c>
      <c r="CE27" s="220">
        <f>BW27*CD27*BX27</f>
        <v>20.94</v>
      </c>
      <c r="CF27" s="220">
        <f t="shared" si="162"/>
        <v>1.5783361491635119</v>
      </c>
      <c r="CG27" s="220">
        <f t="shared" ref="CG27:CG29" si="167">CE27*CF27</f>
        <v>33.050358963483944</v>
      </c>
    </row>
    <row r="28" spans="2:132" x14ac:dyDescent="0.25">
      <c r="B28" s="281"/>
      <c r="C28" s="281"/>
      <c r="D28" s="191" t="s">
        <v>430</v>
      </c>
      <c r="E28" s="192">
        <v>16</v>
      </c>
      <c r="F28" s="193">
        <v>200</v>
      </c>
      <c r="G28" s="194">
        <v>2.2000000000000002</v>
      </c>
      <c r="H28" s="194">
        <v>2.8</v>
      </c>
      <c r="I28" s="194">
        <v>0.4</v>
      </c>
      <c r="J28" s="194">
        <f>ROUND(((H28-0.075*2)/(F28/1000))+1,0)</f>
        <v>14</v>
      </c>
      <c r="K28" s="194">
        <v>1</v>
      </c>
      <c r="L28" s="194">
        <f t="shared" ref="L28" si="168">I28-0.075*2</f>
        <v>0.25</v>
      </c>
      <c r="M28" s="194">
        <f t="shared" ref="M28" si="169">G28-0.075*2</f>
        <v>2.0500000000000003</v>
      </c>
      <c r="N28" s="194">
        <f t="shared" si="163"/>
        <v>0.25</v>
      </c>
      <c r="O28" s="194"/>
      <c r="P28" s="194"/>
      <c r="Q28" s="194">
        <f t="shared" si="27"/>
        <v>2.5500000000000003</v>
      </c>
      <c r="R28" s="194">
        <f t="shared" si="28"/>
        <v>35.700000000000003</v>
      </c>
      <c r="S28" s="194">
        <f t="shared" si="8"/>
        <v>1.5783361491635119</v>
      </c>
      <c r="T28" s="194">
        <f t="shared" si="144"/>
        <v>56.346600525137383</v>
      </c>
      <c r="Y28" s="281"/>
      <c r="Z28" s="281"/>
      <c r="AA28" s="191" t="s">
        <v>438</v>
      </c>
      <c r="AB28" s="192">
        <v>10</v>
      </c>
      <c r="AC28" s="193">
        <v>200</v>
      </c>
      <c r="AD28" s="194">
        <v>0.6</v>
      </c>
      <c r="AE28" s="194">
        <v>0.25</v>
      </c>
      <c r="AF28" s="194">
        <v>1.5</v>
      </c>
      <c r="AG28" s="194">
        <f t="shared" ref="AG28" si="170">ROUND(((1.5-0.075)/(AC28/1000))+1,0)</f>
        <v>8</v>
      </c>
      <c r="AH28" s="194">
        <v>1</v>
      </c>
      <c r="AI28" s="194">
        <f t="shared" ref="AI28" si="171">10*(AB28/1000)</f>
        <v>0.1</v>
      </c>
      <c r="AJ28" s="194">
        <f t="shared" ref="AJ28" si="172">AE28-0.04*2</f>
        <v>0.16999999999999998</v>
      </c>
      <c r="AK28" s="194">
        <f t="shared" si="164"/>
        <v>0.1</v>
      </c>
      <c r="AL28" s="194"/>
      <c r="AM28" s="194"/>
      <c r="AN28" s="194">
        <f t="shared" ref="AN28" si="173">SUM(AI28:AM28)</f>
        <v>0.37</v>
      </c>
      <c r="AO28" s="194">
        <f t="shared" si="160"/>
        <v>2.96</v>
      </c>
      <c r="AP28" s="194">
        <f t="shared" ref="AP28" si="174">PI()*(AB28/1000)^2*0.25*1*7850</f>
        <v>0.61653755826699685</v>
      </c>
      <c r="AQ28" s="194">
        <f t="shared" si="165"/>
        <v>1.8249511724703107</v>
      </c>
      <c r="AT28" s="178"/>
      <c r="AU28" s="204" t="s">
        <v>196</v>
      </c>
      <c r="AV28" s="198">
        <f>SUM(BL13:BL17)</f>
        <v>60.011102479457762</v>
      </c>
      <c r="AW28" s="198">
        <f>'Concrete Substructure'!F61</f>
        <v>2</v>
      </c>
      <c r="AX28" s="198">
        <f t="shared" ref="AX28:AX29" si="175">AV28*AW28</f>
        <v>120.02220495891552</v>
      </c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O28" s="285"/>
      <c r="BP28" s="285"/>
      <c r="BQ28" s="217" t="s">
        <v>456</v>
      </c>
      <c r="BR28" s="218">
        <v>10</v>
      </c>
      <c r="BS28" s="219">
        <v>250</v>
      </c>
      <c r="BT28" s="220">
        <f>BT27</f>
        <v>0.25</v>
      </c>
      <c r="BU28" s="220">
        <f>BU27</f>
        <v>0.82</v>
      </c>
      <c r="BV28" s="220">
        <v>3.49</v>
      </c>
      <c r="BW28" s="220">
        <f>ROUND((BV28/(BS28/1000))+1,0)</f>
        <v>15</v>
      </c>
      <c r="BX28" s="220">
        <v>1</v>
      </c>
      <c r="BY28" s="220">
        <f>BT28-0.04*2</f>
        <v>0.16999999999999998</v>
      </c>
      <c r="BZ28" s="220">
        <f>BU28-0.04*2</f>
        <v>0.74</v>
      </c>
      <c r="CA28" s="220">
        <f>BY28</f>
        <v>0.16999999999999998</v>
      </c>
      <c r="CB28" s="220">
        <f>BZ28</f>
        <v>0.74</v>
      </c>
      <c r="CC28" s="220">
        <f>(10*BR28)/1000</f>
        <v>0.1</v>
      </c>
      <c r="CD28" s="220">
        <f>SUM(BY28:CC28)</f>
        <v>1.92</v>
      </c>
      <c r="CE28" s="220">
        <f>BW28*CD28*BX28</f>
        <v>28.799999999999997</v>
      </c>
      <c r="CF28" s="220">
        <f t="shared" si="162"/>
        <v>0.61653755826699685</v>
      </c>
      <c r="CG28" s="220">
        <f t="shared" si="167"/>
        <v>17.756281678089508</v>
      </c>
    </row>
    <row r="29" spans="2:132" x14ac:dyDescent="0.25">
      <c r="B29" s="281"/>
      <c r="C29" s="281"/>
      <c r="D29" s="191" t="s">
        <v>431</v>
      </c>
      <c r="E29" s="192">
        <v>12</v>
      </c>
      <c r="F29" s="193">
        <v>250</v>
      </c>
      <c r="G29" s="194">
        <v>2.2000000000000002</v>
      </c>
      <c r="H29" s="194">
        <v>2.8</v>
      </c>
      <c r="I29" s="194">
        <v>0.4</v>
      </c>
      <c r="J29" s="194">
        <f>ROUND(((G29-0.075*2)/(F29/1000))+1,0)</f>
        <v>9</v>
      </c>
      <c r="K29" s="194">
        <v>1</v>
      </c>
      <c r="L29" s="194">
        <f>I29-0.075*2</f>
        <v>0.25</v>
      </c>
      <c r="M29" s="194">
        <f>H29-0.075*2</f>
        <v>2.65</v>
      </c>
      <c r="N29" s="194">
        <f t="shared" si="163"/>
        <v>0.25</v>
      </c>
      <c r="O29" s="194"/>
      <c r="P29" s="194"/>
      <c r="Q29" s="194">
        <f t="shared" si="27"/>
        <v>3.15</v>
      </c>
      <c r="R29" s="194">
        <f t="shared" si="28"/>
        <v>28.349999999999998</v>
      </c>
      <c r="S29" s="194">
        <f t="shared" ref="S29:S30" si="176">PI()*(E29/1000)^2*0.25*1*7850</f>
        <v>0.88781408390447547</v>
      </c>
      <c r="T29" s="194">
        <f t="shared" ref="T29:T30" si="177">R29*S29</f>
        <v>25.169529278691879</v>
      </c>
      <c r="Y29" s="282" t="s">
        <v>187</v>
      </c>
      <c r="Z29" s="282" t="s">
        <v>439</v>
      </c>
      <c r="AA29" s="187" t="s">
        <v>437</v>
      </c>
      <c r="AB29" s="188">
        <v>25</v>
      </c>
      <c r="AC29" s="189" t="s">
        <v>440</v>
      </c>
      <c r="AD29" s="190">
        <v>1</v>
      </c>
      <c r="AE29" s="190">
        <v>0.25</v>
      </c>
      <c r="AF29" s="190">
        <v>1.5</v>
      </c>
      <c r="AG29" s="190">
        <v>20</v>
      </c>
      <c r="AH29" s="190">
        <v>1</v>
      </c>
      <c r="AI29" s="190">
        <f>AF29-0.075</f>
        <v>1.425</v>
      </c>
      <c r="AJ29" s="190">
        <f>16*(AB29/1000)</f>
        <v>0.4</v>
      </c>
      <c r="AK29" s="190"/>
      <c r="AL29" s="190"/>
      <c r="AM29" s="190"/>
      <c r="AN29" s="190">
        <f>SUM(AI29:AM29)</f>
        <v>1.8250000000000002</v>
      </c>
      <c r="AO29" s="190">
        <f>AG29*AN29*AH29</f>
        <v>36.5</v>
      </c>
      <c r="AP29" s="190">
        <f t="shared" ref="AP29:AP41" si="178">PI()*(AB29/1000)^2*0.25*1*7850</f>
        <v>3.8533597391687309</v>
      </c>
      <c r="AQ29" s="190">
        <f>AO29*AP29</f>
        <v>140.64763047965869</v>
      </c>
      <c r="AT29" s="178"/>
      <c r="AU29" s="204" t="s">
        <v>197</v>
      </c>
      <c r="AV29" s="198">
        <f>SUM(BL18:BL22)</f>
        <v>81.078733398492318</v>
      </c>
      <c r="AW29" s="198">
        <f>'Concrete Substructure'!F62</f>
        <v>2</v>
      </c>
      <c r="AX29" s="198">
        <f t="shared" si="175"/>
        <v>162.15746679698464</v>
      </c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O29" s="216"/>
      <c r="BP29" s="216"/>
      <c r="BQ29" s="217" t="s">
        <v>453</v>
      </c>
      <c r="BR29" s="218">
        <v>12</v>
      </c>
      <c r="BS29" s="219">
        <f t="shared" ref="BS29" si="179">BS27</f>
        <v>0</v>
      </c>
      <c r="BT29" s="220">
        <v>0.4</v>
      </c>
      <c r="BU29" s="220">
        <v>0.25</v>
      </c>
      <c r="BV29" s="220">
        <f t="shared" ref="BV29" si="180">BV28</f>
        <v>3.49</v>
      </c>
      <c r="BW29" s="220">
        <v>2</v>
      </c>
      <c r="BX29" s="220">
        <v>1</v>
      </c>
      <c r="BY29" s="220">
        <f t="shared" ref="BY29" si="181">BV29</f>
        <v>3.49</v>
      </c>
      <c r="BZ29" s="220"/>
      <c r="CA29" s="220"/>
      <c r="CB29" s="220"/>
      <c r="CC29" s="220"/>
      <c r="CD29" s="220">
        <f t="shared" ref="CD29" si="182">SUM(BY29:CC29)</f>
        <v>3.49</v>
      </c>
      <c r="CE29" s="220">
        <f t="shared" ref="CE29" si="183">BW29*CD29*BX29</f>
        <v>6.98</v>
      </c>
      <c r="CF29" s="220">
        <f t="shared" si="162"/>
        <v>0.88781408390447547</v>
      </c>
      <c r="CG29" s="220">
        <f t="shared" si="167"/>
        <v>6.1969423056532396</v>
      </c>
    </row>
    <row r="30" spans="2:132" x14ac:dyDescent="0.25">
      <c r="B30" s="281"/>
      <c r="C30" s="281"/>
      <c r="D30" s="191" t="s">
        <v>432</v>
      </c>
      <c r="E30" s="192">
        <v>12</v>
      </c>
      <c r="F30" s="193">
        <v>250</v>
      </c>
      <c r="G30" s="194">
        <v>2.2000000000000002</v>
      </c>
      <c r="H30" s="194">
        <v>2.8</v>
      </c>
      <c r="I30" s="194">
        <v>0.4</v>
      </c>
      <c r="J30" s="194">
        <f>ROUND(((H30-0.075*2)/(F30/1000))+1,0)</f>
        <v>12</v>
      </c>
      <c r="K30" s="194">
        <v>1</v>
      </c>
      <c r="L30" s="194">
        <f>I30-0.075*2</f>
        <v>0.25</v>
      </c>
      <c r="M30" s="194">
        <f t="shared" ref="M30" si="184">G30-0.075*2</f>
        <v>2.0500000000000003</v>
      </c>
      <c r="N30" s="194">
        <f>L30</f>
        <v>0.25</v>
      </c>
      <c r="O30" s="194"/>
      <c r="P30" s="194"/>
      <c r="Q30" s="194">
        <f t="shared" si="27"/>
        <v>2.5500000000000003</v>
      </c>
      <c r="R30" s="194">
        <f t="shared" si="28"/>
        <v>30.6</v>
      </c>
      <c r="S30" s="194">
        <f t="shared" si="176"/>
        <v>0.88781408390447547</v>
      </c>
      <c r="T30" s="194">
        <f t="shared" si="177"/>
        <v>27.167110967476951</v>
      </c>
      <c r="Y30" s="282"/>
      <c r="Z30" s="282"/>
      <c r="AA30" s="187" t="s">
        <v>438</v>
      </c>
      <c r="AB30" s="188">
        <v>10</v>
      </c>
      <c r="AC30" s="189">
        <v>200</v>
      </c>
      <c r="AD30" s="190">
        <v>1</v>
      </c>
      <c r="AE30" s="190">
        <v>0.25</v>
      </c>
      <c r="AF30" s="190">
        <v>1.5</v>
      </c>
      <c r="AG30" s="190">
        <f>ROUND(((1.5-0.075)/(AC30/1000))+1,0)</f>
        <v>8</v>
      </c>
      <c r="AH30" s="190">
        <v>1</v>
      </c>
      <c r="AI30" s="190">
        <f>AD30-0.04*2</f>
        <v>0.92</v>
      </c>
      <c r="AJ30" s="190">
        <f>AE30-0.04*2</f>
        <v>0.16999999999999998</v>
      </c>
      <c r="AK30" s="190">
        <f t="shared" ref="AK30:AK31" si="185">AI30</f>
        <v>0.92</v>
      </c>
      <c r="AL30" s="190">
        <f>AJ30</f>
        <v>0.16999999999999998</v>
      </c>
      <c r="AM30" s="190">
        <f>10*(AB30/1000)</f>
        <v>0.1</v>
      </c>
      <c r="AN30" s="190">
        <f>SUM(AI30:AM30)</f>
        <v>2.2800000000000002</v>
      </c>
      <c r="AO30" s="190">
        <f>AG30*AN30*AH30</f>
        <v>18.240000000000002</v>
      </c>
      <c r="AP30" s="190">
        <f t="shared" si="178"/>
        <v>0.61653755826699685</v>
      </c>
      <c r="AQ30" s="190">
        <f t="shared" ref="AQ30:AQ32" si="186">AO30*AP30</f>
        <v>11.245645062790024</v>
      </c>
      <c r="AT30" s="178"/>
      <c r="AU30" s="212" t="s">
        <v>443</v>
      </c>
      <c r="AV30" s="210"/>
      <c r="AW30" s="210"/>
      <c r="AX30" s="214">
        <f>SUM(AX27:AX29)</f>
        <v>468.79266801609884</v>
      </c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O30" s="282" t="s">
        <v>462</v>
      </c>
      <c r="BP30" s="282" t="s">
        <v>253</v>
      </c>
      <c r="BQ30" s="187" t="s">
        <v>451</v>
      </c>
      <c r="BR30" s="188">
        <v>16</v>
      </c>
      <c r="BS30" s="222">
        <v>0</v>
      </c>
      <c r="BT30" s="190">
        <v>0.25</v>
      </c>
      <c r="BU30" s="190">
        <v>0.67</v>
      </c>
      <c r="BV30" s="190">
        <v>1.54</v>
      </c>
      <c r="BW30" s="190">
        <v>2</v>
      </c>
      <c r="BX30" s="190">
        <v>1</v>
      </c>
      <c r="BY30" s="190">
        <f>BV30</f>
        <v>1.54</v>
      </c>
      <c r="BZ30" s="190"/>
      <c r="CA30" s="190"/>
      <c r="CB30" s="190"/>
      <c r="CC30" s="190"/>
      <c r="CD30" s="190">
        <f>SUM(BY30:CC30)</f>
        <v>1.54</v>
      </c>
      <c r="CE30" s="190">
        <f t="shared" ref="CE30" si="187">BW30*CD30*BX30</f>
        <v>3.08</v>
      </c>
      <c r="CF30" s="190">
        <f t="shared" si="162"/>
        <v>1.5783361491635119</v>
      </c>
      <c r="CG30" s="190">
        <f>CE30*CF30</f>
        <v>4.8612753394236172</v>
      </c>
    </row>
    <row r="31" spans="2:132" x14ac:dyDescent="0.25">
      <c r="B31" s="282" t="s">
        <v>423</v>
      </c>
      <c r="C31" s="282" t="s">
        <v>417</v>
      </c>
      <c r="D31" s="187" t="s">
        <v>429</v>
      </c>
      <c r="E31" s="188">
        <v>16</v>
      </c>
      <c r="F31" s="189">
        <v>200</v>
      </c>
      <c r="G31" s="190">
        <v>2.2999999999999998</v>
      </c>
      <c r="H31" s="190">
        <v>3.1</v>
      </c>
      <c r="I31" s="190">
        <v>0.5</v>
      </c>
      <c r="J31" s="190">
        <f>ROUND(((G31-0.075*2)/(F31/1000))+1,0)</f>
        <v>12</v>
      </c>
      <c r="K31" s="190">
        <v>1</v>
      </c>
      <c r="L31" s="190">
        <f>I31-0.075*2</f>
        <v>0.35</v>
      </c>
      <c r="M31" s="190">
        <f>H31-0.075*2</f>
        <v>2.95</v>
      </c>
      <c r="N31" s="190">
        <f t="shared" ref="N31:N33" si="188">L31</f>
        <v>0.35</v>
      </c>
      <c r="O31" s="190"/>
      <c r="P31" s="190"/>
      <c r="Q31" s="190">
        <f t="shared" si="27"/>
        <v>3.6500000000000004</v>
      </c>
      <c r="R31" s="190">
        <f t="shared" si="28"/>
        <v>43.800000000000004</v>
      </c>
      <c r="S31" s="190">
        <f t="shared" si="8"/>
        <v>1.5783361491635119</v>
      </c>
      <c r="T31" s="190">
        <f t="shared" si="144"/>
        <v>69.131123333361828</v>
      </c>
      <c r="Y31" s="282"/>
      <c r="Z31" s="282"/>
      <c r="AA31" s="187" t="s">
        <v>438</v>
      </c>
      <c r="AB31" s="188">
        <v>10</v>
      </c>
      <c r="AC31" s="189">
        <v>200</v>
      </c>
      <c r="AD31" s="190">
        <v>0.6</v>
      </c>
      <c r="AE31" s="190">
        <v>0.25</v>
      </c>
      <c r="AF31" s="190">
        <v>1.5</v>
      </c>
      <c r="AG31" s="190">
        <f t="shared" ref="AG31:AG32" si="189">ROUND(((1.5-0.075)/(AC31/1000))+1,0)</f>
        <v>8</v>
      </c>
      <c r="AH31" s="190">
        <v>2</v>
      </c>
      <c r="AI31" s="190">
        <f t="shared" ref="AI31" si="190">10*(AB31/1000)</f>
        <v>0.1</v>
      </c>
      <c r="AJ31" s="190">
        <f>AE31-0.04*2</f>
        <v>0.16999999999999998</v>
      </c>
      <c r="AK31" s="190">
        <f t="shared" si="185"/>
        <v>0.1</v>
      </c>
      <c r="AL31" s="190"/>
      <c r="AM31" s="190"/>
      <c r="AN31" s="190">
        <f>SUM(AI31:AM31)</f>
        <v>0.37</v>
      </c>
      <c r="AO31" s="190">
        <f>AG31*AN31*AH31</f>
        <v>5.92</v>
      </c>
      <c r="AP31" s="190">
        <f t="shared" si="178"/>
        <v>0.61653755826699685</v>
      </c>
      <c r="AQ31" s="190">
        <f t="shared" si="186"/>
        <v>3.6499023449406214</v>
      </c>
      <c r="AT31" s="178"/>
      <c r="AU31" s="199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O31" s="282"/>
      <c r="BP31" s="282"/>
      <c r="BQ31" s="187" t="s">
        <v>452</v>
      </c>
      <c r="BR31" s="188">
        <v>16</v>
      </c>
      <c r="BS31" s="222">
        <v>0</v>
      </c>
      <c r="BT31" s="190">
        <v>0.25</v>
      </c>
      <c r="BU31" s="190">
        <v>0.67</v>
      </c>
      <c r="BV31" s="190">
        <v>1.54</v>
      </c>
      <c r="BW31" s="190">
        <v>6</v>
      </c>
      <c r="BX31" s="190">
        <v>1</v>
      </c>
      <c r="BY31" s="190">
        <f>BV31</f>
        <v>1.54</v>
      </c>
      <c r="BZ31" s="190"/>
      <c r="CA31" s="190"/>
      <c r="CB31" s="190"/>
      <c r="CC31" s="190"/>
      <c r="CD31" s="190">
        <f t="shared" ref="CD31" si="191">SUM(BY31:CC31)</f>
        <v>1.54</v>
      </c>
      <c r="CE31" s="190">
        <f>BW31*CD31*BX31</f>
        <v>9.24</v>
      </c>
      <c r="CF31" s="190">
        <f t="shared" si="162"/>
        <v>1.5783361491635119</v>
      </c>
      <c r="CG31" s="190">
        <f t="shared" ref="CG31:CG33" si="192">CE31*CF31</f>
        <v>14.58382601827085</v>
      </c>
    </row>
    <row r="32" spans="2:132" x14ac:dyDescent="0.25">
      <c r="B32" s="282"/>
      <c r="C32" s="282"/>
      <c r="D32" s="187" t="s">
        <v>430</v>
      </c>
      <c r="E32" s="188">
        <v>16</v>
      </c>
      <c r="F32" s="189">
        <v>200</v>
      </c>
      <c r="G32" s="190">
        <v>2.2999999999999998</v>
      </c>
      <c r="H32" s="190">
        <v>3.1</v>
      </c>
      <c r="I32" s="190">
        <v>0.5</v>
      </c>
      <c r="J32" s="190">
        <f>ROUND(((H32-0.075*2)/(F32/1000))+1,0)</f>
        <v>16</v>
      </c>
      <c r="K32" s="190">
        <v>1</v>
      </c>
      <c r="L32" s="190">
        <f t="shared" ref="L32" si="193">I32-0.075*2</f>
        <v>0.35</v>
      </c>
      <c r="M32" s="190">
        <f t="shared" ref="M32" si="194">G32-0.075*2</f>
        <v>2.15</v>
      </c>
      <c r="N32" s="190">
        <f t="shared" si="188"/>
        <v>0.35</v>
      </c>
      <c r="O32" s="190"/>
      <c r="P32" s="190"/>
      <c r="Q32" s="190">
        <f t="shared" si="27"/>
        <v>2.85</v>
      </c>
      <c r="R32" s="190">
        <f t="shared" si="28"/>
        <v>45.6</v>
      </c>
      <c r="S32" s="190">
        <f t="shared" si="8"/>
        <v>1.5783361491635119</v>
      </c>
      <c r="T32" s="190">
        <f t="shared" si="144"/>
        <v>71.972128401856153</v>
      </c>
      <c r="Y32" s="282"/>
      <c r="Z32" s="282"/>
      <c r="AA32" s="187" t="s">
        <v>438</v>
      </c>
      <c r="AB32" s="188">
        <v>10</v>
      </c>
      <c r="AC32" s="189">
        <v>200</v>
      </c>
      <c r="AD32" s="190">
        <v>0.6</v>
      </c>
      <c r="AE32" s="190">
        <v>0.25</v>
      </c>
      <c r="AF32" s="190">
        <v>1.5</v>
      </c>
      <c r="AG32" s="190">
        <f t="shared" si="189"/>
        <v>8</v>
      </c>
      <c r="AH32" s="190">
        <v>1</v>
      </c>
      <c r="AI32" s="190">
        <f>AL32</f>
        <v>0.16999999999999998</v>
      </c>
      <c r="AJ32" s="190">
        <f>AE32-0.04*2</f>
        <v>0.16999999999999998</v>
      </c>
      <c r="AK32" s="190">
        <f>AI32</f>
        <v>0.16999999999999998</v>
      </c>
      <c r="AL32" s="190">
        <f>AJ32</f>
        <v>0.16999999999999998</v>
      </c>
      <c r="AM32" s="190">
        <f>10*(AB32/1000)</f>
        <v>0.1</v>
      </c>
      <c r="AN32" s="190">
        <f t="shared" ref="AN32" si="195">SUM(AI32:AM32)</f>
        <v>0.77999999999999992</v>
      </c>
      <c r="AO32" s="190">
        <f t="shared" ref="AO32" si="196">AG32*AN32*AH32</f>
        <v>6.2399999999999993</v>
      </c>
      <c r="AP32" s="190">
        <f t="shared" si="178"/>
        <v>0.61653755826699685</v>
      </c>
      <c r="AQ32" s="190">
        <f t="shared" si="186"/>
        <v>3.8471943635860599</v>
      </c>
      <c r="AT32" s="178"/>
      <c r="AU32" s="199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O32" s="282"/>
      <c r="BP32" s="282"/>
      <c r="BQ32" s="187" t="s">
        <v>456</v>
      </c>
      <c r="BR32" s="188">
        <v>10</v>
      </c>
      <c r="BS32" s="189">
        <v>150</v>
      </c>
      <c r="BT32" s="190">
        <v>0.25</v>
      </c>
      <c r="BU32" s="190">
        <v>0.67</v>
      </c>
      <c r="BV32" s="190">
        <v>1.54</v>
      </c>
      <c r="BW32" s="190">
        <f>ROUND((BV32/(BS32/1000))+1,0)</f>
        <v>11</v>
      </c>
      <c r="BX32" s="190">
        <v>1</v>
      </c>
      <c r="BY32" s="190">
        <f>BT32-0.04*2</f>
        <v>0.16999999999999998</v>
      </c>
      <c r="BZ32" s="190">
        <f>BU32-0.04*2</f>
        <v>0.59000000000000008</v>
      </c>
      <c r="CA32" s="190">
        <f>BY32</f>
        <v>0.16999999999999998</v>
      </c>
      <c r="CB32" s="190">
        <f>BZ32</f>
        <v>0.59000000000000008</v>
      </c>
      <c r="CC32" s="190">
        <f>(10*BR32)/1000</f>
        <v>0.1</v>
      </c>
      <c r="CD32" s="190">
        <f>SUM(BY32:CC32)</f>
        <v>1.62</v>
      </c>
      <c r="CE32" s="190">
        <f>BW32*CD32*BX32</f>
        <v>17.82</v>
      </c>
      <c r="CF32" s="190">
        <f t="shared" si="162"/>
        <v>0.61653755826699685</v>
      </c>
      <c r="CG32" s="190">
        <f t="shared" si="192"/>
        <v>10.986699288317885</v>
      </c>
    </row>
    <row r="33" spans="2:85" x14ac:dyDescent="0.25">
      <c r="B33" s="282"/>
      <c r="C33" s="282"/>
      <c r="D33" s="187" t="s">
        <v>431</v>
      </c>
      <c r="E33" s="188">
        <v>12</v>
      </c>
      <c r="F33" s="189">
        <v>250</v>
      </c>
      <c r="G33" s="190">
        <v>2.2999999999999998</v>
      </c>
      <c r="H33" s="190">
        <v>3.1</v>
      </c>
      <c r="I33" s="190">
        <v>0.5</v>
      </c>
      <c r="J33" s="190">
        <f>ROUND(((G33-0.075*2)/(F33/1000))+1,0)</f>
        <v>10</v>
      </c>
      <c r="K33" s="190">
        <v>1</v>
      </c>
      <c r="L33" s="190">
        <f>I33-0.075*2</f>
        <v>0.35</v>
      </c>
      <c r="M33" s="190">
        <f>H33-0.075*2</f>
        <v>2.95</v>
      </c>
      <c r="N33" s="190">
        <f t="shared" si="188"/>
        <v>0.35</v>
      </c>
      <c r="O33" s="190"/>
      <c r="P33" s="190"/>
      <c r="Q33" s="190">
        <f t="shared" si="27"/>
        <v>3.6500000000000004</v>
      </c>
      <c r="R33" s="190">
        <f t="shared" si="28"/>
        <v>36.5</v>
      </c>
      <c r="S33" s="190">
        <f t="shared" ref="S33:S34" si="197">PI()*(E33/1000)^2*0.25*1*7850</f>
        <v>0.88781408390447547</v>
      </c>
      <c r="T33" s="190">
        <f t="shared" ref="T33:T34" si="198">R33*S33</f>
        <v>32.405214062513352</v>
      </c>
      <c r="Y33" s="281" t="s">
        <v>186</v>
      </c>
      <c r="Z33" s="281" t="s">
        <v>439</v>
      </c>
      <c r="AA33" s="191" t="s">
        <v>437</v>
      </c>
      <c r="AB33" s="192">
        <v>25</v>
      </c>
      <c r="AC33" s="193" t="s">
        <v>440</v>
      </c>
      <c r="AD33" s="194">
        <v>1</v>
      </c>
      <c r="AE33" s="194">
        <v>0.25</v>
      </c>
      <c r="AF33" s="194">
        <v>1.5</v>
      </c>
      <c r="AG33" s="194">
        <v>20</v>
      </c>
      <c r="AH33" s="194">
        <v>1</v>
      </c>
      <c r="AI33" s="194">
        <f>AF33-0.075</f>
        <v>1.425</v>
      </c>
      <c r="AJ33" s="194">
        <f>16*(AB33/1000)</f>
        <v>0.4</v>
      </c>
      <c r="AK33" s="194"/>
      <c r="AL33" s="194"/>
      <c r="AM33" s="194"/>
      <c r="AN33" s="194">
        <f>SUM(AI33:AM33)</f>
        <v>1.8250000000000002</v>
      </c>
      <c r="AO33" s="194">
        <f t="shared" ref="AO33:AO36" si="199">AG33*AN33*AH33</f>
        <v>36.5</v>
      </c>
      <c r="AP33" s="194">
        <f t="shared" si="178"/>
        <v>3.8533597391687309</v>
      </c>
      <c r="AQ33" s="194">
        <f>AO33*AP33</f>
        <v>140.64763047965869</v>
      </c>
      <c r="AT33" s="178"/>
      <c r="AU33" s="199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O33" s="206"/>
      <c r="BP33" s="206"/>
      <c r="BQ33" s="187" t="s">
        <v>453</v>
      </c>
      <c r="BR33" s="188">
        <v>12</v>
      </c>
      <c r="BS33" s="222">
        <v>0</v>
      </c>
      <c r="BT33" s="190">
        <v>0.4</v>
      </c>
      <c r="BU33" s="190">
        <v>0.25</v>
      </c>
      <c r="BV33" s="190">
        <f t="shared" ref="BV33" si="200">BV32</f>
        <v>1.54</v>
      </c>
      <c r="BW33" s="190">
        <v>2</v>
      </c>
      <c r="BX33" s="190">
        <v>1</v>
      </c>
      <c r="BY33" s="190">
        <f t="shared" ref="BY33" si="201">BV33</f>
        <v>1.54</v>
      </c>
      <c r="BZ33" s="190"/>
      <c r="CA33" s="190"/>
      <c r="CB33" s="190"/>
      <c r="CC33" s="190"/>
      <c r="CD33" s="190">
        <f t="shared" ref="CD33" si="202">SUM(BY33:CC33)</f>
        <v>1.54</v>
      </c>
      <c r="CE33" s="190">
        <f t="shared" ref="CE33" si="203">BW33*CD33*BX33</f>
        <v>3.08</v>
      </c>
      <c r="CF33" s="190">
        <f t="shared" si="162"/>
        <v>0.88781408390447547</v>
      </c>
      <c r="CG33" s="190">
        <f t="shared" si="192"/>
        <v>2.7344673784257845</v>
      </c>
    </row>
    <row r="34" spans="2:85" x14ac:dyDescent="0.25">
      <c r="B34" s="282"/>
      <c r="C34" s="282"/>
      <c r="D34" s="187" t="s">
        <v>432</v>
      </c>
      <c r="E34" s="188">
        <v>12</v>
      </c>
      <c r="F34" s="189">
        <v>250</v>
      </c>
      <c r="G34" s="190">
        <v>2.2999999999999998</v>
      </c>
      <c r="H34" s="190">
        <v>3.1</v>
      </c>
      <c r="I34" s="190">
        <v>0.5</v>
      </c>
      <c r="J34" s="190">
        <f>ROUND(((H34-0.075*2)/(F34/1000))+1,0)</f>
        <v>13</v>
      </c>
      <c r="K34" s="190">
        <v>1</v>
      </c>
      <c r="L34" s="190">
        <f>I34-0.075*2</f>
        <v>0.35</v>
      </c>
      <c r="M34" s="190">
        <f t="shared" ref="M34" si="204">G34-0.075*2</f>
        <v>2.15</v>
      </c>
      <c r="N34" s="190">
        <f>L34</f>
        <v>0.35</v>
      </c>
      <c r="O34" s="190"/>
      <c r="P34" s="190"/>
      <c r="Q34" s="190">
        <f t="shared" si="27"/>
        <v>2.85</v>
      </c>
      <c r="R34" s="190">
        <f t="shared" si="28"/>
        <v>37.050000000000004</v>
      </c>
      <c r="S34" s="190">
        <f t="shared" si="197"/>
        <v>0.88781408390447547</v>
      </c>
      <c r="T34" s="190">
        <f t="shared" si="198"/>
        <v>32.893511808660818</v>
      </c>
      <c r="Y34" s="281"/>
      <c r="Z34" s="281"/>
      <c r="AA34" s="191" t="s">
        <v>438</v>
      </c>
      <c r="AB34" s="192">
        <v>10</v>
      </c>
      <c r="AC34" s="193">
        <v>200</v>
      </c>
      <c r="AD34" s="194">
        <v>1</v>
      </c>
      <c r="AE34" s="194">
        <v>0.25</v>
      </c>
      <c r="AF34" s="194">
        <v>1.5</v>
      </c>
      <c r="AG34" s="194">
        <f>ROUND(((1.5-0.075)/(AC34/1000))+1,0)</f>
        <v>8</v>
      </c>
      <c r="AH34" s="194">
        <v>1</v>
      </c>
      <c r="AI34" s="194">
        <f>AD34-0.04*2</f>
        <v>0.92</v>
      </c>
      <c r="AJ34" s="194">
        <f>AE34-0.04*2</f>
        <v>0.16999999999999998</v>
      </c>
      <c r="AK34" s="194">
        <f t="shared" ref="AK34:AK36" si="205">AI34</f>
        <v>0.92</v>
      </c>
      <c r="AL34" s="194">
        <f>AJ34</f>
        <v>0.16999999999999998</v>
      </c>
      <c r="AM34" s="194">
        <f>10*(AB34/1000)</f>
        <v>0.1</v>
      </c>
      <c r="AN34" s="194">
        <f>SUM(AI34:AM34)</f>
        <v>2.2800000000000002</v>
      </c>
      <c r="AO34" s="194">
        <f t="shared" si="199"/>
        <v>18.240000000000002</v>
      </c>
      <c r="AP34" s="194">
        <f t="shared" si="178"/>
        <v>0.61653755826699685</v>
      </c>
      <c r="AQ34" s="194">
        <f t="shared" ref="AQ34:AQ36" si="206">AO34*AP34</f>
        <v>11.245645062790024</v>
      </c>
      <c r="AT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O34" s="285" t="s">
        <v>141</v>
      </c>
      <c r="BP34" s="285" t="s">
        <v>253</v>
      </c>
      <c r="BQ34" s="217" t="s">
        <v>451</v>
      </c>
      <c r="BR34" s="218">
        <v>16</v>
      </c>
      <c r="BS34" s="223">
        <v>0</v>
      </c>
      <c r="BT34" s="220">
        <v>0.2</v>
      </c>
      <c r="BU34" s="220">
        <v>0.55000000000000004</v>
      </c>
      <c r="BV34" s="220">
        <v>2.85</v>
      </c>
      <c r="BW34" s="220">
        <v>2</v>
      </c>
      <c r="BX34" s="220">
        <v>1</v>
      </c>
      <c r="BY34" s="220">
        <f>BV34</f>
        <v>2.85</v>
      </c>
      <c r="BZ34" s="220"/>
      <c r="CA34" s="220"/>
      <c r="CB34" s="220"/>
      <c r="CC34" s="220"/>
      <c r="CD34" s="220">
        <f>SUM(BY34:CC34)</f>
        <v>2.85</v>
      </c>
      <c r="CE34" s="220">
        <f t="shared" ref="CE34" si="207">BW34*CD34*BX34</f>
        <v>5.7</v>
      </c>
      <c r="CF34" s="220">
        <f t="shared" ref="CF34:CF42" si="208">PI()*(BR34/1000)^2*0.25*1*7850</f>
        <v>1.5783361491635119</v>
      </c>
      <c r="CG34" s="220">
        <f>CE34*CF34</f>
        <v>8.9965160502320192</v>
      </c>
    </row>
    <row r="35" spans="2:85" x14ac:dyDescent="0.25">
      <c r="B35" s="281" t="s">
        <v>145</v>
      </c>
      <c r="C35" s="281" t="s">
        <v>417</v>
      </c>
      <c r="D35" s="191" t="s">
        <v>429</v>
      </c>
      <c r="E35" s="192">
        <v>12</v>
      </c>
      <c r="F35" s="193">
        <v>150</v>
      </c>
      <c r="G35" s="194">
        <v>1.4</v>
      </c>
      <c r="H35" s="194">
        <v>3.1</v>
      </c>
      <c r="I35" s="194">
        <v>0.4</v>
      </c>
      <c r="J35" s="194">
        <f>ROUND(((G35-0.075*2)/(F35/1000))+1,0)</f>
        <v>9</v>
      </c>
      <c r="K35" s="194">
        <v>1</v>
      </c>
      <c r="L35" s="194">
        <f>I35-0.075*2</f>
        <v>0.25</v>
      </c>
      <c r="M35" s="194">
        <f>H35-0.075*2</f>
        <v>2.95</v>
      </c>
      <c r="N35" s="194">
        <f t="shared" ref="N35:N37" si="209">L35</f>
        <v>0.25</v>
      </c>
      <c r="O35" s="194"/>
      <c r="P35" s="194"/>
      <c r="Q35" s="194">
        <f t="shared" si="27"/>
        <v>3.45</v>
      </c>
      <c r="R35" s="194">
        <f t="shared" si="28"/>
        <v>31.05</v>
      </c>
      <c r="S35" s="194">
        <f t="shared" si="8"/>
        <v>0.88781408390447547</v>
      </c>
      <c r="T35" s="194">
        <f t="shared" si="144"/>
        <v>27.566627305233965</v>
      </c>
      <c r="Y35" s="281"/>
      <c r="Z35" s="281"/>
      <c r="AA35" s="191" t="s">
        <v>438</v>
      </c>
      <c r="AB35" s="192">
        <v>10</v>
      </c>
      <c r="AC35" s="193">
        <v>200</v>
      </c>
      <c r="AD35" s="194">
        <v>0.6</v>
      </c>
      <c r="AE35" s="194">
        <v>0.25</v>
      </c>
      <c r="AF35" s="194">
        <v>1.5</v>
      </c>
      <c r="AG35" s="194">
        <f t="shared" ref="AG35:AG36" si="210">ROUND(((1.5-0.075)/(AC35/1000))+1,0)</f>
        <v>8</v>
      </c>
      <c r="AH35" s="194">
        <v>2</v>
      </c>
      <c r="AI35" s="194">
        <f t="shared" ref="AI35" si="211">10*(AB35/1000)</f>
        <v>0.1</v>
      </c>
      <c r="AJ35" s="194">
        <f t="shared" ref="AJ35" si="212">AE35-0.04*2</f>
        <v>0.16999999999999998</v>
      </c>
      <c r="AK35" s="194">
        <f t="shared" si="205"/>
        <v>0.1</v>
      </c>
      <c r="AL35" s="194"/>
      <c r="AM35" s="194"/>
      <c r="AN35" s="194">
        <f t="shared" ref="AN35:AN36" si="213">SUM(AI35:AM35)</f>
        <v>0.37</v>
      </c>
      <c r="AO35" s="194">
        <f t="shared" si="199"/>
        <v>5.92</v>
      </c>
      <c r="AP35" s="194">
        <f t="shared" si="178"/>
        <v>0.61653755826699685</v>
      </c>
      <c r="AQ35" s="194">
        <f t="shared" si="206"/>
        <v>3.6499023449406214</v>
      </c>
      <c r="AT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O35" s="285"/>
      <c r="BP35" s="285"/>
      <c r="BQ35" s="217" t="s">
        <v>451</v>
      </c>
      <c r="BR35" s="218">
        <v>12</v>
      </c>
      <c r="BS35" s="223">
        <v>0</v>
      </c>
      <c r="BT35" s="220">
        <f>BT34</f>
        <v>0.2</v>
      </c>
      <c r="BU35" s="220">
        <f>BU34</f>
        <v>0.55000000000000004</v>
      </c>
      <c r="BV35" s="220">
        <v>2.85</v>
      </c>
      <c r="BW35" s="220">
        <v>2</v>
      </c>
      <c r="BX35" s="220">
        <v>1</v>
      </c>
      <c r="BY35" s="220">
        <f>BV35</f>
        <v>2.85</v>
      </c>
      <c r="BZ35" s="220"/>
      <c r="CA35" s="220"/>
      <c r="CB35" s="220"/>
      <c r="CC35" s="220"/>
      <c r="CD35" s="220">
        <f t="shared" ref="CD35" si="214">SUM(BY35:CC35)</f>
        <v>2.85</v>
      </c>
      <c r="CE35" s="220">
        <f>BW35*CD35*BX35</f>
        <v>5.7</v>
      </c>
      <c r="CF35" s="220">
        <f t="shared" si="208"/>
        <v>0.88781408390447547</v>
      </c>
      <c r="CG35" s="220">
        <f t="shared" ref="CG35:CG39" si="215">CE35*CF35</f>
        <v>5.0605402782555107</v>
      </c>
    </row>
    <row r="36" spans="2:85" x14ac:dyDescent="0.25">
      <c r="B36" s="281"/>
      <c r="C36" s="281"/>
      <c r="D36" s="191" t="s">
        <v>430</v>
      </c>
      <c r="E36" s="192">
        <v>12</v>
      </c>
      <c r="F36" s="193">
        <v>150</v>
      </c>
      <c r="G36" s="194">
        <v>1.4</v>
      </c>
      <c r="H36" s="194">
        <v>3.1</v>
      </c>
      <c r="I36" s="194">
        <v>0.4</v>
      </c>
      <c r="J36" s="194">
        <f>ROUND(((H36-0.075*2)/(F36/1000))+1,0)</f>
        <v>21</v>
      </c>
      <c r="K36" s="194">
        <v>1</v>
      </c>
      <c r="L36" s="194">
        <f t="shared" ref="L36" si="216">I36-0.075*2</f>
        <v>0.25</v>
      </c>
      <c r="M36" s="194">
        <f t="shared" ref="M36" si="217">G36-0.075*2</f>
        <v>1.25</v>
      </c>
      <c r="N36" s="194">
        <f t="shared" si="209"/>
        <v>0.25</v>
      </c>
      <c r="O36" s="194"/>
      <c r="P36" s="194"/>
      <c r="Q36" s="194">
        <f t="shared" si="27"/>
        <v>1.75</v>
      </c>
      <c r="R36" s="194">
        <f t="shared" si="28"/>
        <v>36.75</v>
      </c>
      <c r="S36" s="194">
        <f t="shared" si="8"/>
        <v>0.88781408390447547</v>
      </c>
      <c r="T36" s="194">
        <f t="shared" si="144"/>
        <v>32.627167583489474</v>
      </c>
      <c r="Y36" s="281"/>
      <c r="Z36" s="281"/>
      <c r="AA36" s="191" t="s">
        <v>438</v>
      </c>
      <c r="AB36" s="192">
        <v>10</v>
      </c>
      <c r="AC36" s="193">
        <v>200</v>
      </c>
      <c r="AD36" s="194">
        <v>0.6</v>
      </c>
      <c r="AE36" s="194">
        <v>0.25</v>
      </c>
      <c r="AF36" s="194">
        <v>1.5</v>
      </c>
      <c r="AG36" s="194">
        <f t="shared" si="210"/>
        <v>8</v>
      </c>
      <c r="AH36" s="194">
        <v>1</v>
      </c>
      <c r="AI36" s="194">
        <f>AL36</f>
        <v>0.16999999999999998</v>
      </c>
      <c r="AJ36" s="194">
        <f>AE36-0.04*2</f>
        <v>0.16999999999999998</v>
      </c>
      <c r="AK36" s="194">
        <f t="shared" si="205"/>
        <v>0.16999999999999998</v>
      </c>
      <c r="AL36" s="194">
        <f>AJ36</f>
        <v>0.16999999999999998</v>
      </c>
      <c r="AM36" s="194">
        <f>10*(AB36/1000)</f>
        <v>0.1</v>
      </c>
      <c r="AN36" s="194">
        <f t="shared" si="213"/>
        <v>0.77999999999999992</v>
      </c>
      <c r="AO36" s="194">
        <f t="shared" si="199"/>
        <v>6.2399999999999993</v>
      </c>
      <c r="AP36" s="194">
        <f t="shared" si="178"/>
        <v>0.61653755826699685</v>
      </c>
      <c r="AQ36" s="194">
        <f t="shared" si="206"/>
        <v>3.8471943635860599</v>
      </c>
      <c r="AT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O36" s="285"/>
      <c r="BP36" s="285"/>
      <c r="BQ36" s="217" t="s">
        <v>452</v>
      </c>
      <c r="BR36" s="218">
        <v>16</v>
      </c>
      <c r="BS36" s="223">
        <v>0</v>
      </c>
      <c r="BT36" s="220">
        <f t="shared" ref="BT36:BT38" si="218">BT35</f>
        <v>0.2</v>
      </c>
      <c r="BU36" s="220">
        <f t="shared" ref="BU36:BU38" si="219">BU35</f>
        <v>0.55000000000000004</v>
      </c>
      <c r="BV36" s="220">
        <v>2.85</v>
      </c>
      <c r="BW36" s="220">
        <v>2</v>
      </c>
      <c r="BX36" s="220">
        <v>1</v>
      </c>
      <c r="BY36" s="220">
        <f>BV36</f>
        <v>2.85</v>
      </c>
      <c r="BZ36" s="220"/>
      <c r="CA36" s="220"/>
      <c r="CB36" s="220"/>
      <c r="CC36" s="220"/>
      <c r="CD36" s="220">
        <f>SUM(BY36:CC36)</f>
        <v>2.85</v>
      </c>
      <c r="CE36" s="220">
        <f t="shared" ref="CE36" si="220">BW36*CD36*BX36</f>
        <v>5.7</v>
      </c>
      <c r="CF36" s="220">
        <f t="shared" ref="CF36:CF37" si="221">PI()*(BR36/1000)^2*0.25*1*7850</f>
        <v>1.5783361491635119</v>
      </c>
      <c r="CG36" s="220">
        <f>CE36*CF36</f>
        <v>8.9965160502320192</v>
      </c>
    </row>
    <row r="37" spans="2:85" x14ac:dyDescent="0.25">
      <c r="B37" s="281"/>
      <c r="C37" s="281"/>
      <c r="D37" s="191" t="s">
        <v>431</v>
      </c>
      <c r="E37" s="192">
        <v>12</v>
      </c>
      <c r="F37" s="193">
        <v>250</v>
      </c>
      <c r="G37" s="194">
        <v>1.4</v>
      </c>
      <c r="H37" s="194">
        <v>3.1</v>
      </c>
      <c r="I37" s="194">
        <v>0.4</v>
      </c>
      <c r="J37" s="194">
        <f>ROUND(((G37-0.075*2)/(F37/1000))+1,0)</f>
        <v>6</v>
      </c>
      <c r="K37" s="194">
        <v>1</v>
      </c>
      <c r="L37" s="194">
        <f>I37-0.075*2</f>
        <v>0.25</v>
      </c>
      <c r="M37" s="194">
        <f>H37-0.075*2</f>
        <v>2.95</v>
      </c>
      <c r="N37" s="194">
        <f t="shared" si="209"/>
        <v>0.25</v>
      </c>
      <c r="O37" s="194"/>
      <c r="P37" s="194"/>
      <c r="Q37" s="194">
        <f t="shared" si="27"/>
        <v>3.45</v>
      </c>
      <c r="R37" s="194">
        <f t="shared" si="28"/>
        <v>20.700000000000003</v>
      </c>
      <c r="S37" s="194">
        <f t="shared" ref="S37:S38" si="222">PI()*(E37/1000)^2*0.25*1*7850</f>
        <v>0.88781408390447547</v>
      </c>
      <c r="T37" s="194">
        <f t="shared" ref="T37:T38" si="223">R37*S37</f>
        <v>18.377751536822643</v>
      </c>
      <c r="Y37" s="282" t="s">
        <v>82</v>
      </c>
      <c r="Z37" s="282" t="s">
        <v>439</v>
      </c>
      <c r="AA37" s="187" t="s">
        <v>437</v>
      </c>
      <c r="AB37" s="188">
        <v>16</v>
      </c>
      <c r="AC37" s="189" t="s">
        <v>440</v>
      </c>
      <c r="AD37" s="190">
        <v>0.6</v>
      </c>
      <c r="AE37" s="190">
        <v>0.25</v>
      </c>
      <c r="AF37" s="190">
        <v>1.5</v>
      </c>
      <c r="AG37" s="190">
        <v>10</v>
      </c>
      <c r="AH37" s="190">
        <v>1</v>
      </c>
      <c r="AI37" s="190">
        <f>AF37-0.075</f>
        <v>1.425</v>
      </c>
      <c r="AJ37" s="190">
        <f>16*(AB37/1000)</f>
        <v>0.25600000000000001</v>
      </c>
      <c r="AK37" s="190"/>
      <c r="AL37" s="190"/>
      <c r="AM37" s="190"/>
      <c r="AN37" s="190">
        <f>SUM(AI37:AM37)</f>
        <v>1.681</v>
      </c>
      <c r="AO37" s="190">
        <f>AG37*AN37*AH37</f>
        <v>16.810000000000002</v>
      </c>
      <c r="AP37" s="190">
        <f t="shared" si="178"/>
        <v>1.5783361491635119</v>
      </c>
      <c r="AQ37" s="190">
        <f>AO37*AP37</f>
        <v>26.531830667438641</v>
      </c>
      <c r="AT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O37" s="285"/>
      <c r="BP37" s="285"/>
      <c r="BQ37" s="217" t="s">
        <v>452</v>
      </c>
      <c r="BR37" s="218">
        <v>12</v>
      </c>
      <c r="BS37" s="223">
        <v>0</v>
      </c>
      <c r="BT37" s="220">
        <f t="shared" si="218"/>
        <v>0.2</v>
      </c>
      <c r="BU37" s="220">
        <f t="shared" si="219"/>
        <v>0.55000000000000004</v>
      </c>
      <c r="BV37" s="220">
        <v>2.85</v>
      </c>
      <c r="BW37" s="220">
        <v>2</v>
      </c>
      <c r="BX37" s="220">
        <v>1</v>
      </c>
      <c r="BY37" s="220">
        <f>BV37</f>
        <v>2.85</v>
      </c>
      <c r="BZ37" s="220"/>
      <c r="CA37" s="220"/>
      <c r="CB37" s="220"/>
      <c r="CC37" s="220"/>
      <c r="CD37" s="220">
        <f t="shared" ref="CD37" si="224">SUM(BY37:CC37)</f>
        <v>2.85</v>
      </c>
      <c r="CE37" s="220">
        <f>BW37*CD37*BX37</f>
        <v>5.7</v>
      </c>
      <c r="CF37" s="220">
        <f t="shared" si="221"/>
        <v>0.88781408390447547</v>
      </c>
      <c r="CG37" s="220">
        <f t="shared" ref="CG37" si="225">CE37*CF37</f>
        <v>5.0605402782555107</v>
      </c>
    </row>
    <row r="38" spans="2:85" x14ac:dyDescent="0.25">
      <c r="B38" s="281"/>
      <c r="C38" s="281"/>
      <c r="D38" s="191" t="s">
        <v>432</v>
      </c>
      <c r="E38" s="192">
        <v>12</v>
      </c>
      <c r="F38" s="193">
        <v>250</v>
      </c>
      <c r="G38" s="194">
        <v>1.4</v>
      </c>
      <c r="H38" s="194">
        <v>3.1</v>
      </c>
      <c r="I38" s="194">
        <v>0.4</v>
      </c>
      <c r="J38" s="194">
        <f>ROUND(((H38-0.075*2)/(F38/1000))+1,0)</f>
        <v>13</v>
      </c>
      <c r="K38" s="194">
        <v>1</v>
      </c>
      <c r="L38" s="194">
        <f>I38-0.075*2</f>
        <v>0.25</v>
      </c>
      <c r="M38" s="194">
        <f t="shared" ref="M38" si="226">G38-0.075*2</f>
        <v>1.25</v>
      </c>
      <c r="N38" s="194">
        <f>L38</f>
        <v>0.25</v>
      </c>
      <c r="O38" s="194"/>
      <c r="P38" s="194"/>
      <c r="Q38" s="194">
        <f t="shared" si="27"/>
        <v>1.75</v>
      </c>
      <c r="R38" s="194">
        <f t="shared" si="28"/>
        <v>22.75</v>
      </c>
      <c r="S38" s="194">
        <f t="shared" si="222"/>
        <v>0.88781408390447547</v>
      </c>
      <c r="T38" s="194">
        <f t="shared" si="223"/>
        <v>20.197770408826816</v>
      </c>
      <c r="Y38" s="282"/>
      <c r="Z38" s="282"/>
      <c r="AA38" s="187" t="s">
        <v>438</v>
      </c>
      <c r="AB38" s="188">
        <v>10</v>
      </c>
      <c r="AC38" s="189">
        <v>200</v>
      </c>
      <c r="AD38" s="190">
        <v>0.6</v>
      </c>
      <c r="AE38" s="190">
        <v>0.25</v>
      </c>
      <c r="AF38" s="190">
        <v>1.5</v>
      </c>
      <c r="AG38" s="190">
        <f>ROUND(((1.5-0.075)/(AC38/1000))+1,0)</f>
        <v>8</v>
      </c>
      <c r="AH38" s="190">
        <v>1</v>
      </c>
      <c r="AI38" s="190">
        <f>AD38-0.04*2</f>
        <v>0.52</v>
      </c>
      <c r="AJ38" s="190">
        <f>AE38-0.04*2</f>
        <v>0.16999999999999998</v>
      </c>
      <c r="AK38" s="190">
        <f>AI38</f>
        <v>0.52</v>
      </c>
      <c r="AL38" s="190">
        <f>AJ38</f>
        <v>0.16999999999999998</v>
      </c>
      <c r="AM38" s="190">
        <f>10*(AB38/1000)</f>
        <v>0.1</v>
      </c>
      <c r="AN38" s="190">
        <f>SUM(AI38:AM38)</f>
        <v>1.48</v>
      </c>
      <c r="AO38" s="190">
        <f>AG38*AN38*AH38</f>
        <v>11.84</v>
      </c>
      <c r="AP38" s="190">
        <f t="shared" si="178"/>
        <v>0.61653755826699685</v>
      </c>
      <c r="AQ38" s="190">
        <f t="shared" ref="AQ38:AQ39" si="227">AO38*AP38</f>
        <v>7.2998046898812428</v>
      </c>
      <c r="AT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O38" s="285"/>
      <c r="BP38" s="285"/>
      <c r="BQ38" s="217" t="s">
        <v>456</v>
      </c>
      <c r="BR38" s="218">
        <v>10</v>
      </c>
      <c r="BS38" s="219">
        <v>200</v>
      </c>
      <c r="BT38" s="220">
        <f t="shared" si="218"/>
        <v>0.2</v>
      </c>
      <c r="BU38" s="220">
        <f t="shared" si="219"/>
        <v>0.55000000000000004</v>
      </c>
      <c r="BV38" s="220">
        <v>2.85</v>
      </c>
      <c r="BW38" s="220">
        <f>ROUND((BV38/(BS38/1000))+1,0)</f>
        <v>15</v>
      </c>
      <c r="BX38" s="220">
        <v>1</v>
      </c>
      <c r="BY38" s="220">
        <f>BT38-0.04*2</f>
        <v>0.12000000000000001</v>
      </c>
      <c r="BZ38" s="220">
        <f>BU38-0.04*2</f>
        <v>0.47000000000000003</v>
      </c>
      <c r="CA38" s="220">
        <f>BY38</f>
        <v>0.12000000000000001</v>
      </c>
      <c r="CB38" s="220">
        <f>BZ38</f>
        <v>0.47000000000000003</v>
      </c>
      <c r="CC38" s="220">
        <f>(10*BR38)/1000</f>
        <v>0.1</v>
      </c>
      <c r="CD38" s="220">
        <f>SUM(BY38:CC38)</f>
        <v>1.2800000000000002</v>
      </c>
      <c r="CE38" s="220">
        <f>BW38*CD38*BX38</f>
        <v>19.200000000000003</v>
      </c>
      <c r="CF38" s="220">
        <f t="shared" si="208"/>
        <v>0.61653755826699685</v>
      </c>
      <c r="CG38" s="220">
        <f t="shared" si="215"/>
        <v>11.837521118726341</v>
      </c>
    </row>
    <row r="39" spans="2:85" x14ac:dyDescent="0.25">
      <c r="B39" s="282" t="s">
        <v>146</v>
      </c>
      <c r="C39" s="282" t="s">
        <v>417</v>
      </c>
      <c r="D39" s="187" t="s">
        <v>429</v>
      </c>
      <c r="E39" s="188">
        <v>12</v>
      </c>
      <c r="F39" s="189">
        <v>150</v>
      </c>
      <c r="G39" s="190">
        <v>2</v>
      </c>
      <c r="H39" s="190">
        <v>3.9</v>
      </c>
      <c r="I39" s="190">
        <v>0.4</v>
      </c>
      <c r="J39" s="190">
        <f>ROUND(((G39-0.075*2)/(F39/1000))+1,0)</f>
        <v>13</v>
      </c>
      <c r="K39" s="190">
        <v>1</v>
      </c>
      <c r="L39" s="190">
        <f>I39-0.075*2</f>
        <v>0.25</v>
      </c>
      <c r="M39" s="190">
        <f>H39-0.075*2</f>
        <v>3.75</v>
      </c>
      <c r="N39" s="190">
        <f t="shared" ref="N39:N41" si="228">L39</f>
        <v>0.25</v>
      </c>
      <c r="O39" s="190"/>
      <c r="P39" s="190"/>
      <c r="Q39" s="190">
        <f t="shared" si="27"/>
        <v>4.25</v>
      </c>
      <c r="R39" s="190">
        <f t="shared" si="28"/>
        <v>55.25</v>
      </c>
      <c r="S39" s="190">
        <f t="shared" si="8"/>
        <v>0.88781408390447547</v>
      </c>
      <c r="T39" s="190">
        <f t="shared" si="144"/>
        <v>49.051728135722271</v>
      </c>
      <c r="Y39" s="282"/>
      <c r="Z39" s="282"/>
      <c r="AA39" s="187" t="s">
        <v>438</v>
      </c>
      <c r="AB39" s="188">
        <v>10</v>
      </c>
      <c r="AC39" s="189">
        <v>200</v>
      </c>
      <c r="AD39" s="190">
        <v>0.6</v>
      </c>
      <c r="AE39" s="190">
        <v>0.25</v>
      </c>
      <c r="AF39" s="190">
        <v>1.5</v>
      </c>
      <c r="AG39" s="190">
        <f t="shared" ref="AG39" si="229">ROUND(((1.5-0.075)/(AC39/1000))+1,0)</f>
        <v>8</v>
      </c>
      <c r="AH39" s="190">
        <v>1</v>
      </c>
      <c r="AI39" s="190">
        <f t="shared" ref="AI39" si="230">10*(AB39/1000)</f>
        <v>0.1</v>
      </c>
      <c r="AJ39" s="190">
        <f t="shared" ref="AJ39" si="231">AE39-0.04*2</f>
        <v>0.16999999999999998</v>
      </c>
      <c r="AK39" s="190">
        <f t="shared" ref="AK39" si="232">AI39</f>
        <v>0.1</v>
      </c>
      <c r="AL39" s="190"/>
      <c r="AM39" s="190"/>
      <c r="AN39" s="190">
        <f t="shared" ref="AN39" si="233">SUM(AI39:AM39)</f>
        <v>0.37</v>
      </c>
      <c r="AO39" s="190">
        <f t="shared" ref="AO39" si="234">AG39*AN39*AH39</f>
        <v>2.96</v>
      </c>
      <c r="AP39" s="190">
        <f t="shared" si="178"/>
        <v>0.61653755826699685</v>
      </c>
      <c r="AQ39" s="190">
        <f t="shared" si="227"/>
        <v>1.8249511724703107</v>
      </c>
      <c r="AT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O39" s="285"/>
      <c r="BP39" s="285"/>
      <c r="BQ39" s="217" t="s">
        <v>453</v>
      </c>
      <c r="BR39" s="218">
        <v>10</v>
      </c>
      <c r="BS39" s="223">
        <v>0</v>
      </c>
      <c r="BT39" s="220">
        <f t="shared" ref="BT39" si="235">BT38</f>
        <v>0.2</v>
      </c>
      <c r="BU39" s="220">
        <f t="shared" ref="BU39" si="236">BU38</f>
        <v>0.55000000000000004</v>
      </c>
      <c r="BV39" s="220">
        <v>2.85</v>
      </c>
      <c r="BW39" s="220">
        <v>1</v>
      </c>
      <c r="BX39" s="220">
        <v>1</v>
      </c>
      <c r="BY39" s="220">
        <f>BV39</f>
        <v>2.85</v>
      </c>
      <c r="BZ39" s="220"/>
      <c r="CA39" s="220"/>
      <c r="CB39" s="220"/>
      <c r="CC39" s="220"/>
      <c r="CD39" s="220">
        <f t="shared" ref="CD39" si="237">SUM(BY39:CC39)</f>
        <v>2.85</v>
      </c>
      <c r="CE39" s="220">
        <f>BW39*CD39*BX39</f>
        <v>2.85</v>
      </c>
      <c r="CF39" s="220">
        <f t="shared" si="208"/>
        <v>0.61653755826699685</v>
      </c>
      <c r="CG39" s="220">
        <f t="shared" si="215"/>
        <v>1.757132041060941</v>
      </c>
    </row>
    <row r="40" spans="2:85" x14ac:dyDescent="0.25">
      <c r="B40" s="282"/>
      <c r="C40" s="282"/>
      <c r="D40" s="187" t="s">
        <v>430</v>
      </c>
      <c r="E40" s="188">
        <v>12</v>
      </c>
      <c r="F40" s="189">
        <v>150</v>
      </c>
      <c r="G40" s="190">
        <v>2</v>
      </c>
      <c r="H40" s="190">
        <v>3.9</v>
      </c>
      <c r="I40" s="190">
        <v>0.4</v>
      </c>
      <c r="J40" s="190">
        <f>ROUND(((H40-0.075*2)/(F40/1000))+1,0)</f>
        <v>26</v>
      </c>
      <c r="K40" s="190">
        <v>1</v>
      </c>
      <c r="L40" s="190">
        <f t="shared" ref="L40" si="238">I40-0.075*2</f>
        <v>0.25</v>
      </c>
      <c r="M40" s="190">
        <f t="shared" ref="M40" si="239">G40-0.075*2</f>
        <v>1.85</v>
      </c>
      <c r="N40" s="190">
        <f t="shared" si="228"/>
        <v>0.25</v>
      </c>
      <c r="O40" s="190"/>
      <c r="P40" s="190"/>
      <c r="Q40" s="190">
        <f t="shared" si="27"/>
        <v>2.35</v>
      </c>
      <c r="R40" s="190">
        <f t="shared" si="28"/>
        <v>61.1</v>
      </c>
      <c r="S40" s="190">
        <f t="shared" si="8"/>
        <v>0.88781408390447547</v>
      </c>
      <c r="T40" s="190">
        <f t="shared" si="144"/>
        <v>54.245440526563449</v>
      </c>
      <c r="Y40" s="281" t="s">
        <v>81</v>
      </c>
      <c r="Z40" s="281" t="s">
        <v>439</v>
      </c>
      <c r="AA40" s="191" t="s">
        <v>437</v>
      </c>
      <c r="AB40" s="192">
        <v>16</v>
      </c>
      <c r="AC40" s="193" t="s">
        <v>440</v>
      </c>
      <c r="AD40" s="194">
        <v>0.25</v>
      </c>
      <c r="AE40" s="194">
        <v>0.25</v>
      </c>
      <c r="AF40" s="194">
        <v>1.5</v>
      </c>
      <c r="AG40" s="194">
        <v>6</v>
      </c>
      <c r="AH40" s="194">
        <v>1</v>
      </c>
      <c r="AI40" s="194">
        <f>AF40-0.075</f>
        <v>1.425</v>
      </c>
      <c r="AJ40" s="194">
        <f>16*(AB40/1000)</f>
        <v>0.25600000000000001</v>
      </c>
      <c r="AK40" s="194"/>
      <c r="AL40" s="194"/>
      <c r="AM40" s="194"/>
      <c r="AN40" s="194">
        <f>SUM(AI40:AM40)</f>
        <v>1.681</v>
      </c>
      <c r="AO40" s="194">
        <f t="shared" ref="AO40:AO41" si="240">AG40*AN40*AH40</f>
        <v>10.086</v>
      </c>
      <c r="AP40" s="194">
        <f t="shared" si="178"/>
        <v>1.5783361491635119</v>
      </c>
      <c r="AQ40" s="194">
        <f>AO40*AP40</f>
        <v>15.919098400463183</v>
      </c>
      <c r="AT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O40" s="282" t="s">
        <v>463</v>
      </c>
      <c r="BP40" s="282" t="s">
        <v>464</v>
      </c>
      <c r="BQ40" s="187" t="s">
        <v>451</v>
      </c>
      <c r="BR40" s="188">
        <v>16</v>
      </c>
      <c r="BS40" s="222">
        <v>0</v>
      </c>
      <c r="BT40" s="190">
        <v>0.25</v>
      </c>
      <c r="BU40" s="190">
        <v>0.6</v>
      </c>
      <c r="BV40" s="190">
        <v>4.49</v>
      </c>
      <c r="BW40" s="190">
        <v>5</v>
      </c>
      <c r="BX40" s="190">
        <v>1</v>
      </c>
      <c r="BY40" s="190">
        <f>BV40</f>
        <v>4.49</v>
      </c>
      <c r="BZ40" s="190"/>
      <c r="CA40" s="190"/>
      <c r="CB40" s="190"/>
      <c r="CC40" s="190"/>
      <c r="CD40" s="190">
        <f>SUM(BY40:CC40)</f>
        <v>4.49</v>
      </c>
      <c r="CE40" s="190">
        <f t="shared" ref="CE40" si="241">BW40*CD40*BX40</f>
        <v>22.450000000000003</v>
      </c>
      <c r="CF40" s="190">
        <f t="shared" si="208"/>
        <v>1.5783361491635119</v>
      </c>
      <c r="CG40" s="190">
        <f>CE40*CF40</f>
        <v>35.433646548720844</v>
      </c>
    </row>
    <row r="41" spans="2:85" x14ac:dyDescent="0.25">
      <c r="B41" s="282"/>
      <c r="C41" s="282"/>
      <c r="D41" s="187" t="s">
        <v>431</v>
      </c>
      <c r="E41" s="188">
        <v>12</v>
      </c>
      <c r="F41" s="189">
        <v>250</v>
      </c>
      <c r="G41" s="190">
        <v>2</v>
      </c>
      <c r="H41" s="190">
        <v>3.9</v>
      </c>
      <c r="I41" s="190">
        <v>0.4</v>
      </c>
      <c r="J41" s="190">
        <f>ROUND(((G41-0.075*2)/(F41/1000))+1,0)</f>
        <v>8</v>
      </c>
      <c r="K41" s="190">
        <v>1</v>
      </c>
      <c r="L41" s="190">
        <f>I41-0.075*2</f>
        <v>0.25</v>
      </c>
      <c r="M41" s="190">
        <f>H41-0.075*2</f>
        <v>3.75</v>
      </c>
      <c r="N41" s="190">
        <f t="shared" si="228"/>
        <v>0.25</v>
      </c>
      <c r="O41" s="190"/>
      <c r="P41" s="190"/>
      <c r="Q41" s="190">
        <f t="shared" si="27"/>
        <v>4.25</v>
      </c>
      <c r="R41" s="190">
        <f t="shared" si="28"/>
        <v>34</v>
      </c>
      <c r="S41" s="190">
        <f t="shared" ref="S41:S42" si="242">PI()*(E41/1000)^2*0.25*1*7850</f>
        <v>0.88781408390447547</v>
      </c>
      <c r="T41" s="190">
        <f t="shared" ref="T41:T42" si="243">R41*S41</f>
        <v>30.185678852752165</v>
      </c>
      <c r="Y41" s="281"/>
      <c r="Z41" s="281"/>
      <c r="AA41" s="191" t="s">
        <v>438</v>
      </c>
      <c r="AB41" s="192">
        <v>10</v>
      </c>
      <c r="AC41" s="193">
        <v>200</v>
      </c>
      <c r="AD41" s="194">
        <v>0.25</v>
      </c>
      <c r="AE41" s="194">
        <v>0.25</v>
      </c>
      <c r="AF41" s="194">
        <v>1.5</v>
      </c>
      <c r="AG41" s="194">
        <f>ROUND(((1.5-0.075)/(AC41/1000))+1,0)</f>
        <v>8</v>
      </c>
      <c r="AH41" s="194">
        <v>1</v>
      </c>
      <c r="AI41" s="194">
        <f>AD41-0.04*2</f>
        <v>0.16999999999999998</v>
      </c>
      <c r="AJ41" s="194">
        <f>AE41-0.04*2</f>
        <v>0.16999999999999998</v>
      </c>
      <c r="AK41" s="194">
        <f>AI41</f>
        <v>0.16999999999999998</v>
      </c>
      <c r="AL41" s="194">
        <f>AJ41</f>
        <v>0.16999999999999998</v>
      </c>
      <c r="AM41" s="194">
        <f>10*(AB41/1000)</f>
        <v>0.1</v>
      </c>
      <c r="AN41" s="194">
        <f>SUM(AI41:AM41)</f>
        <v>0.77999999999999992</v>
      </c>
      <c r="AO41" s="194">
        <f t="shared" si="240"/>
        <v>6.2399999999999993</v>
      </c>
      <c r="AP41" s="194">
        <f t="shared" si="178"/>
        <v>0.61653755826699685</v>
      </c>
      <c r="AQ41" s="194">
        <f t="shared" ref="AQ41" si="244">AO41*AP41</f>
        <v>3.8471943635860599</v>
      </c>
      <c r="AT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O41" s="282"/>
      <c r="BP41" s="282"/>
      <c r="BQ41" s="187" t="s">
        <v>452</v>
      </c>
      <c r="BR41" s="188">
        <v>16</v>
      </c>
      <c r="BS41" s="222">
        <v>0</v>
      </c>
      <c r="BT41" s="190">
        <v>0.25</v>
      </c>
      <c r="BU41" s="190">
        <f>BU40</f>
        <v>0.6</v>
      </c>
      <c r="BV41" s="190">
        <v>4.49</v>
      </c>
      <c r="BW41" s="190">
        <v>5</v>
      </c>
      <c r="BX41" s="190">
        <v>1</v>
      </c>
      <c r="BY41" s="190">
        <f>BV41</f>
        <v>4.49</v>
      </c>
      <c r="BZ41" s="190"/>
      <c r="CA41" s="190"/>
      <c r="CB41" s="190"/>
      <c r="CC41" s="190"/>
      <c r="CD41" s="190">
        <f t="shared" ref="CD41" si="245">SUM(BY41:CC41)</f>
        <v>4.49</v>
      </c>
      <c r="CE41" s="190">
        <f>BW41*CD41*BX41</f>
        <v>22.450000000000003</v>
      </c>
      <c r="CF41" s="190">
        <f t="shared" si="208"/>
        <v>1.5783361491635119</v>
      </c>
      <c r="CG41" s="190">
        <f t="shared" ref="CG41:CG42" si="246">CE41*CF41</f>
        <v>35.433646548720844</v>
      </c>
    </row>
    <row r="42" spans="2:85" x14ac:dyDescent="0.25">
      <c r="B42" s="282"/>
      <c r="C42" s="282"/>
      <c r="D42" s="187" t="s">
        <v>432</v>
      </c>
      <c r="E42" s="188">
        <v>12</v>
      </c>
      <c r="F42" s="189">
        <v>250</v>
      </c>
      <c r="G42" s="190">
        <v>2</v>
      </c>
      <c r="H42" s="190">
        <v>3.9</v>
      </c>
      <c r="I42" s="190">
        <v>0.4</v>
      </c>
      <c r="J42" s="190">
        <f>ROUND(((H42-0.075*2)/(F42/1000))+1,0)</f>
        <v>16</v>
      </c>
      <c r="K42" s="190">
        <v>1</v>
      </c>
      <c r="L42" s="190">
        <f>I42-0.075*2</f>
        <v>0.25</v>
      </c>
      <c r="M42" s="190">
        <f t="shared" ref="M42" si="247">G42-0.075*2</f>
        <v>1.85</v>
      </c>
      <c r="N42" s="190">
        <f>L42</f>
        <v>0.25</v>
      </c>
      <c r="O42" s="190"/>
      <c r="P42" s="190"/>
      <c r="Q42" s="190">
        <f t="shared" si="27"/>
        <v>2.35</v>
      </c>
      <c r="R42" s="190">
        <f>J42*Q42*K42</f>
        <v>37.6</v>
      </c>
      <c r="S42" s="190">
        <f t="shared" si="242"/>
        <v>0.88781408390447547</v>
      </c>
      <c r="T42" s="190">
        <f t="shared" si="243"/>
        <v>33.381809554808278</v>
      </c>
      <c r="Y42" s="282" t="s">
        <v>83</v>
      </c>
      <c r="Z42" s="282" t="s">
        <v>439</v>
      </c>
      <c r="AA42" s="187" t="s">
        <v>437</v>
      </c>
      <c r="AB42" s="188">
        <v>16</v>
      </c>
      <c r="AC42" s="189" t="s">
        <v>440</v>
      </c>
      <c r="AD42" s="190">
        <v>0.2</v>
      </c>
      <c r="AE42" s="190">
        <v>0.2</v>
      </c>
      <c r="AF42" s="190">
        <v>1.5</v>
      </c>
      <c r="AG42" s="190">
        <v>4</v>
      </c>
      <c r="AH42" s="190">
        <v>1</v>
      </c>
      <c r="AI42" s="190">
        <f>AF42-0.075</f>
        <v>1.425</v>
      </c>
      <c r="AJ42" s="190">
        <f>16*(AB42/1000)</f>
        <v>0.25600000000000001</v>
      </c>
      <c r="AK42" s="190"/>
      <c r="AL42" s="190"/>
      <c r="AM42" s="190"/>
      <c r="AN42" s="190">
        <f>SUM(AI42:AM42)</f>
        <v>1.681</v>
      </c>
      <c r="AO42" s="190">
        <f>AG42*AN42*AH42</f>
        <v>6.7240000000000002</v>
      </c>
      <c r="AP42" s="190">
        <f t="shared" ref="AP42:AP44" si="248">PI()*(AB42/1000)^2*0.25*1*7850</f>
        <v>1.5783361491635119</v>
      </c>
      <c r="AQ42" s="190">
        <f>AO42*AP42</f>
        <v>10.612732266975454</v>
      </c>
      <c r="AT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O42" s="282"/>
      <c r="BP42" s="282"/>
      <c r="BQ42" s="187" t="s">
        <v>456</v>
      </c>
      <c r="BR42" s="188">
        <v>10</v>
      </c>
      <c r="BS42" s="189">
        <v>150</v>
      </c>
      <c r="BT42" s="190">
        <v>0.25</v>
      </c>
      <c r="BU42" s="190">
        <f>BU41</f>
        <v>0.6</v>
      </c>
      <c r="BV42" s="190">
        <v>4.49</v>
      </c>
      <c r="BW42" s="190">
        <f>ROUND((BV42/(BS42/1000))+1,0)</f>
        <v>31</v>
      </c>
      <c r="BX42" s="190">
        <v>1</v>
      </c>
      <c r="BY42" s="190">
        <f>BT42-0.04*2</f>
        <v>0.16999999999999998</v>
      </c>
      <c r="BZ42" s="190">
        <f>BU42-0.04*2</f>
        <v>0.52</v>
      </c>
      <c r="CA42" s="190">
        <f>BY42</f>
        <v>0.16999999999999998</v>
      </c>
      <c r="CB42" s="190">
        <f>BZ42</f>
        <v>0.52</v>
      </c>
      <c r="CC42" s="190">
        <f>(10*BR42)/1000</f>
        <v>0.1</v>
      </c>
      <c r="CD42" s="190">
        <f>SUM(BY42:CC42)</f>
        <v>1.48</v>
      </c>
      <c r="CE42" s="190">
        <f>BW42*CD42*BX42</f>
        <v>45.88</v>
      </c>
      <c r="CF42" s="190">
        <f t="shared" si="208"/>
        <v>0.61653755826699685</v>
      </c>
      <c r="CG42" s="190">
        <f t="shared" si="246"/>
        <v>28.286743173289818</v>
      </c>
    </row>
    <row r="43" spans="2:85" ht="15" customHeight="1" x14ac:dyDescent="0.25">
      <c r="B43" s="281" t="s">
        <v>148</v>
      </c>
      <c r="C43" s="281" t="s">
        <v>433</v>
      </c>
      <c r="D43" s="191" t="s">
        <v>429</v>
      </c>
      <c r="E43" s="192">
        <v>20</v>
      </c>
      <c r="F43" s="193">
        <v>150</v>
      </c>
      <c r="G43" s="194">
        <f>2.2+2.4</f>
        <v>4.5999999999999996</v>
      </c>
      <c r="H43" s="194">
        <f>1.425+1.425+0.95</f>
        <v>3.8</v>
      </c>
      <c r="I43" s="194">
        <v>0.5</v>
      </c>
      <c r="J43" s="194">
        <f>ROUND(((G43-0.075*2)/(F43/1000))+1,0)</f>
        <v>31</v>
      </c>
      <c r="K43" s="194">
        <v>1</v>
      </c>
      <c r="L43" s="194">
        <f>I43-0.075*2</f>
        <v>0.35</v>
      </c>
      <c r="M43" s="194">
        <f>H43-0.075*2</f>
        <v>3.65</v>
      </c>
      <c r="N43" s="194">
        <f t="shared" ref="N43:N45" si="249">L43</f>
        <v>0.35</v>
      </c>
      <c r="O43" s="194"/>
      <c r="P43" s="194"/>
      <c r="Q43" s="194">
        <f t="shared" ref="Q43:Q46" si="250">SUM(L43:P43)</f>
        <v>4.3499999999999996</v>
      </c>
      <c r="R43" s="194">
        <f t="shared" ref="R43:R45" si="251">J43*Q43*K43</f>
        <v>134.85</v>
      </c>
      <c r="S43" s="194">
        <f t="shared" si="8"/>
        <v>2.4661502330679874</v>
      </c>
      <c r="T43" s="194">
        <f>R43*S43</f>
        <v>332.56035892921807</v>
      </c>
      <c r="U43" t="s">
        <v>434</v>
      </c>
      <c r="V43">
        <v>15.8</v>
      </c>
      <c r="Y43" s="282"/>
      <c r="Z43" s="282"/>
      <c r="AA43" s="187" t="s">
        <v>438</v>
      </c>
      <c r="AB43" s="188">
        <v>10</v>
      </c>
      <c r="AC43" s="189">
        <v>200</v>
      </c>
      <c r="AD43" s="190">
        <v>0.2</v>
      </c>
      <c r="AE43" s="190">
        <v>0.2</v>
      </c>
      <c r="AF43" s="190">
        <v>1.5</v>
      </c>
      <c r="AG43" s="190">
        <f>ROUND(((1.5-0.075)/(AC43/1000))+1,0)</f>
        <v>8</v>
      </c>
      <c r="AH43" s="190">
        <v>1</v>
      </c>
      <c r="AI43" s="190">
        <f>AD43-0.04*2</f>
        <v>0.12000000000000001</v>
      </c>
      <c r="AJ43" s="190">
        <f>AE43-0.04*2</f>
        <v>0.12000000000000001</v>
      </c>
      <c r="AK43" s="190">
        <f t="shared" ref="AK43" si="252">AI43</f>
        <v>0.12000000000000001</v>
      </c>
      <c r="AL43" s="190">
        <f>AJ43</f>
        <v>0.12000000000000001</v>
      </c>
      <c r="AM43" s="190">
        <f>10*(AB43/1000)</f>
        <v>0.1</v>
      </c>
      <c r="AN43" s="190">
        <f>SUM(AI43:AM43)</f>
        <v>0.58000000000000007</v>
      </c>
      <c r="AO43" s="190">
        <f>AG43*AN43*AH43</f>
        <v>4.6400000000000006</v>
      </c>
      <c r="AP43" s="190">
        <f t="shared" si="248"/>
        <v>0.61653755826699685</v>
      </c>
      <c r="AQ43" s="190">
        <f t="shared" ref="AQ43:AQ44" si="253">AO43*AP43</f>
        <v>2.8607342703588658</v>
      </c>
      <c r="AT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</row>
    <row r="44" spans="2:85" x14ac:dyDescent="0.25">
      <c r="B44" s="281"/>
      <c r="C44" s="281"/>
      <c r="D44" s="191" t="s">
        <v>430</v>
      </c>
      <c r="E44" s="192">
        <v>16</v>
      </c>
      <c r="F44" s="193">
        <v>200</v>
      </c>
      <c r="G44" s="194">
        <f t="shared" ref="G44:G46" si="254">2.2+2.4</f>
        <v>4.5999999999999996</v>
      </c>
      <c r="H44" s="194">
        <f t="shared" ref="H44:H46" si="255">1.425+1.425+0.95</f>
        <v>3.8</v>
      </c>
      <c r="I44" s="194">
        <v>0.5</v>
      </c>
      <c r="J44" s="194">
        <f>ROUND(((H44-0.075*2)/(F44/1000))+1,0)</f>
        <v>19</v>
      </c>
      <c r="K44" s="194">
        <v>1</v>
      </c>
      <c r="L44" s="194">
        <f t="shared" ref="L44" si="256">I44-0.075*2</f>
        <v>0.35</v>
      </c>
      <c r="M44" s="194">
        <f t="shared" ref="M44" si="257">G44-0.075*2</f>
        <v>4.4499999999999993</v>
      </c>
      <c r="N44" s="194">
        <f t="shared" si="249"/>
        <v>0.35</v>
      </c>
      <c r="O44" s="194"/>
      <c r="P44" s="194"/>
      <c r="Q44" s="194">
        <f t="shared" si="250"/>
        <v>5.1499999999999986</v>
      </c>
      <c r="R44" s="194">
        <f t="shared" si="251"/>
        <v>97.849999999999966</v>
      </c>
      <c r="S44" s="194">
        <f t="shared" si="8"/>
        <v>1.5783361491635119</v>
      </c>
      <c r="T44" s="194">
        <f>R44*S44</f>
        <v>154.44019219564959</v>
      </c>
      <c r="V44">
        <f>G43*H43</f>
        <v>17.479999999999997</v>
      </c>
      <c r="Y44" s="282"/>
      <c r="Z44" s="282"/>
      <c r="AA44" s="187" t="s">
        <v>438</v>
      </c>
      <c r="AB44" s="188">
        <v>10</v>
      </c>
      <c r="AC44" s="189">
        <v>200</v>
      </c>
      <c r="AD44" s="190">
        <v>0.6</v>
      </c>
      <c r="AE44" s="190">
        <v>0.25</v>
      </c>
      <c r="AF44" s="190">
        <v>1.5</v>
      </c>
      <c r="AG44" s="190">
        <f t="shared" ref="AG44" si="258">ROUND(((1.5-0.075)/(AC44/1000))+1,0)</f>
        <v>8</v>
      </c>
      <c r="AH44" s="190"/>
      <c r="AI44" s="190"/>
      <c r="AJ44" s="190"/>
      <c r="AK44" s="190"/>
      <c r="AL44" s="190"/>
      <c r="AM44" s="190"/>
      <c r="AN44" s="190">
        <f t="shared" ref="AN44" si="259">SUM(AI44:AM44)</f>
        <v>0</v>
      </c>
      <c r="AO44" s="190">
        <f t="shared" ref="AO44" si="260">AG44*AN44*AH44</f>
        <v>0</v>
      </c>
      <c r="AP44" s="190">
        <f t="shared" si="248"/>
        <v>0.61653755826699685</v>
      </c>
      <c r="AQ44" s="190">
        <f t="shared" si="253"/>
        <v>0</v>
      </c>
      <c r="AT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O44" s="283" t="s">
        <v>425</v>
      </c>
      <c r="BP44" s="283"/>
    </row>
    <row r="45" spans="2:85" ht="15" customHeight="1" x14ac:dyDescent="0.25">
      <c r="B45" s="281"/>
      <c r="C45" s="281"/>
      <c r="D45" s="191" t="s">
        <v>431</v>
      </c>
      <c r="E45" s="192">
        <v>12</v>
      </c>
      <c r="F45" s="193">
        <v>250</v>
      </c>
      <c r="G45" s="194">
        <f t="shared" si="254"/>
        <v>4.5999999999999996</v>
      </c>
      <c r="H45" s="194">
        <f t="shared" si="255"/>
        <v>3.8</v>
      </c>
      <c r="I45" s="194">
        <v>0.5</v>
      </c>
      <c r="J45" s="194">
        <f>ROUND(((G45-0.075*2)/(F45/1000))+1,0)</f>
        <v>19</v>
      </c>
      <c r="K45" s="194">
        <v>1</v>
      </c>
      <c r="L45" s="194">
        <f>I45-0.075*2</f>
        <v>0.35</v>
      </c>
      <c r="M45" s="194">
        <f>H45-0.075*2</f>
        <v>3.65</v>
      </c>
      <c r="N45" s="194">
        <f t="shared" si="249"/>
        <v>0.35</v>
      </c>
      <c r="O45" s="194"/>
      <c r="P45" s="194"/>
      <c r="Q45" s="194">
        <f t="shared" si="250"/>
        <v>4.3499999999999996</v>
      </c>
      <c r="R45" s="194">
        <f t="shared" si="251"/>
        <v>82.649999999999991</v>
      </c>
      <c r="S45" s="194">
        <f t="shared" ref="S45:S46" si="261">PI()*(E45/1000)^2*0.25*1*7850</f>
        <v>0.88781408390447547</v>
      </c>
      <c r="T45" s="194">
        <f>R45*S45</f>
        <v>73.37783403470489</v>
      </c>
      <c r="V45" s="207">
        <f>SUM(T43:T46)/V44</f>
        <v>36.243379043095047</v>
      </c>
      <c r="Y45" s="195"/>
      <c r="Z45" s="202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6"/>
      <c r="AT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O45" s="203" t="s">
        <v>465</v>
      </c>
      <c r="BP45" s="197" t="s">
        <v>427</v>
      </c>
      <c r="BQ45" s="197" t="s">
        <v>41</v>
      </c>
      <c r="BR45" s="197" t="s">
        <v>415</v>
      </c>
    </row>
    <row r="46" spans="2:85" x14ac:dyDescent="0.25">
      <c r="B46" s="281"/>
      <c r="C46" s="281"/>
      <c r="D46" s="191" t="s">
        <v>432</v>
      </c>
      <c r="E46" s="192">
        <v>12</v>
      </c>
      <c r="F46" s="193">
        <v>250</v>
      </c>
      <c r="G46" s="194">
        <f t="shared" si="254"/>
        <v>4.5999999999999996</v>
      </c>
      <c r="H46" s="194">
        <f t="shared" si="255"/>
        <v>3.8</v>
      </c>
      <c r="I46" s="194">
        <v>0.5</v>
      </c>
      <c r="J46" s="194">
        <f>ROUND(((H46-0.075*2)/(F46/1000))+1,0)</f>
        <v>16</v>
      </c>
      <c r="K46" s="194">
        <v>1</v>
      </c>
      <c r="L46" s="194">
        <f>I46-0.075*2</f>
        <v>0.35</v>
      </c>
      <c r="M46" s="194">
        <f t="shared" ref="M46" si="262">G46-0.075*2</f>
        <v>4.4499999999999993</v>
      </c>
      <c r="N46" s="194">
        <f>L46</f>
        <v>0.35</v>
      </c>
      <c r="O46" s="194"/>
      <c r="P46" s="194"/>
      <c r="Q46" s="194">
        <f t="shared" si="250"/>
        <v>5.1499999999999986</v>
      </c>
      <c r="R46" s="194">
        <f>J46*Q46*K46</f>
        <v>82.399999999999977</v>
      </c>
      <c r="S46" s="194">
        <f t="shared" si="261"/>
        <v>0.88781408390447547</v>
      </c>
      <c r="T46" s="194">
        <f>R46*S46</f>
        <v>73.155880513728761</v>
      </c>
      <c r="V46" s="208">
        <f>V45*V43</f>
        <v>572.64538888090181</v>
      </c>
      <c r="W46" t="s">
        <v>435</v>
      </c>
      <c r="Y46" s="178"/>
      <c r="Z46" s="199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BO46" s="204" t="s">
        <v>85</v>
      </c>
      <c r="BP46" s="198">
        <f>SUM(CG6:CG9)/BV6</f>
        <v>21.09212734028841</v>
      </c>
      <c r="BQ46" s="198">
        <f>'Concrete Substructure'!G31</f>
        <v>164.4</v>
      </c>
      <c r="BR46" s="198">
        <f>BP46*BQ46*1.1</f>
        <v>3814.3003082177565</v>
      </c>
    </row>
    <row r="47" spans="2:85" x14ac:dyDescent="0.25">
      <c r="B47" s="282" t="s">
        <v>65</v>
      </c>
      <c r="C47" s="282" t="s">
        <v>417</v>
      </c>
      <c r="D47" s="187" t="s">
        <v>429</v>
      </c>
      <c r="E47" s="188">
        <v>12</v>
      </c>
      <c r="F47" s="189">
        <v>150</v>
      </c>
      <c r="G47" s="190">
        <v>1</v>
      </c>
      <c r="H47" s="190">
        <v>1.2</v>
      </c>
      <c r="I47" s="190">
        <v>0.3</v>
      </c>
      <c r="J47" s="190">
        <f>ROUND(((G47-0.075*2)/(F47/1000))+1,0)</f>
        <v>7</v>
      </c>
      <c r="K47" s="190">
        <v>1</v>
      </c>
      <c r="L47" s="190">
        <f>I47-0.075*2</f>
        <v>0.15</v>
      </c>
      <c r="M47" s="190">
        <f>H47-0.075*2</f>
        <v>1.05</v>
      </c>
      <c r="N47" s="190">
        <f t="shared" si="7"/>
        <v>0.15</v>
      </c>
      <c r="O47" s="190"/>
      <c r="P47" s="190"/>
      <c r="Q47" s="190">
        <f t="shared" ref="Q47:Q50" si="263">SUM(L47:P47)</f>
        <v>1.3499999999999999</v>
      </c>
      <c r="R47" s="190">
        <f t="shared" ref="R47:R49" si="264">J47*Q47*K47</f>
        <v>9.4499999999999993</v>
      </c>
      <c r="S47" s="190">
        <f t="shared" si="8"/>
        <v>0.88781408390447547</v>
      </c>
      <c r="T47" s="190">
        <f>R47*S47</f>
        <v>8.3898430928972925</v>
      </c>
      <c r="Y47" s="178"/>
      <c r="Z47" s="283" t="s">
        <v>425</v>
      </c>
      <c r="AA47" s="283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BO47" s="204" t="s">
        <v>86</v>
      </c>
      <c r="BP47" s="198">
        <f>SUM(CG10:CG13)/BV10</f>
        <v>22.821267973666604</v>
      </c>
      <c r="BQ47" s="198">
        <f>'Concrete Substructure'!G32</f>
        <v>18.399999999999999</v>
      </c>
      <c r="BR47" s="198">
        <f t="shared" ref="BR47:BR54" si="265">BP47*BQ47*1.1</f>
        <v>461.90246378701204</v>
      </c>
    </row>
    <row r="48" spans="2:85" x14ac:dyDescent="0.25">
      <c r="B48" s="282"/>
      <c r="C48" s="282"/>
      <c r="D48" s="187" t="s">
        <v>430</v>
      </c>
      <c r="E48" s="188">
        <v>12</v>
      </c>
      <c r="F48" s="189">
        <v>150</v>
      </c>
      <c r="G48" s="190">
        <v>1</v>
      </c>
      <c r="H48" s="190">
        <v>1.2</v>
      </c>
      <c r="I48" s="190">
        <v>0.3</v>
      </c>
      <c r="J48" s="190">
        <f>ROUND(((H48-0.075*2)/(F48/1000))+1,0)</f>
        <v>8</v>
      </c>
      <c r="K48" s="190">
        <v>1</v>
      </c>
      <c r="L48" s="190">
        <f t="shared" ref="L48" si="266">I48-0.075*2</f>
        <v>0.15</v>
      </c>
      <c r="M48" s="190">
        <f t="shared" ref="M48" si="267">G48-0.075*2</f>
        <v>0.85</v>
      </c>
      <c r="N48" s="190">
        <f t="shared" si="7"/>
        <v>0.15</v>
      </c>
      <c r="O48" s="190"/>
      <c r="P48" s="190"/>
      <c r="Q48" s="190">
        <f t="shared" si="263"/>
        <v>1.1499999999999999</v>
      </c>
      <c r="R48" s="190">
        <f t="shared" si="264"/>
        <v>9.1999999999999993</v>
      </c>
      <c r="S48" s="190">
        <f t="shared" si="8"/>
        <v>0.88781408390447547</v>
      </c>
      <c r="T48" s="190">
        <f t="shared" ref="T48" si="268">R48*S48</f>
        <v>8.1678895719211742</v>
      </c>
      <c r="Y48" s="178"/>
      <c r="Z48" s="203" t="s">
        <v>442</v>
      </c>
      <c r="AA48" s="197" t="s">
        <v>427</v>
      </c>
      <c r="AB48" s="197" t="s">
        <v>40</v>
      </c>
      <c r="AC48" s="197" t="s">
        <v>415</v>
      </c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BO48" s="204" t="s">
        <v>87</v>
      </c>
      <c r="BP48" s="198">
        <f>SUM(CG14:CG17)/BV14</f>
        <v>22.886547514470394</v>
      </c>
      <c r="BQ48" s="198">
        <f>'Concrete Substructure'!G33</f>
        <v>13.2</v>
      </c>
      <c r="BR48" s="198">
        <f t="shared" si="265"/>
        <v>332.31266991011012</v>
      </c>
    </row>
    <row r="49" spans="2:70" x14ac:dyDescent="0.25">
      <c r="B49" s="282"/>
      <c r="C49" s="282"/>
      <c r="D49" s="187" t="s">
        <v>431</v>
      </c>
      <c r="E49" s="188">
        <v>12</v>
      </c>
      <c r="F49" s="189">
        <v>200</v>
      </c>
      <c r="G49" s="190">
        <v>1</v>
      </c>
      <c r="H49" s="190">
        <v>1.2</v>
      </c>
      <c r="I49" s="190">
        <v>0.3</v>
      </c>
      <c r="J49" s="190">
        <f>ROUND(((G49-0.075*2)/(F49/1000))+1,0)</f>
        <v>5</v>
      </c>
      <c r="K49" s="190">
        <v>1</v>
      </c>
      <c r="L49" s="190">
        <f>I49-0.075*2</f>
        <v>0.15</v>
      </c>
      <c r="M49" s="190">
        <f>H49-0.075*2</f>
        <v>1.05</v>
      </c>
      <c r="N49" s="190">
        <f t="shared" si="7"/>
        <v>0.15</v>
      </c>
      <c r="O49" s="190"/>
      <c r="P49" s="190"/>
      <c r="Q49" s="190">
        <f t="shared" si="263"/>
        <v>1.3499999999999999</v>
      </c>
      <c r="R49" s="190">
        <f t="shared" si="264"/>
        <v>6.7499999999999991</v>
      </c>
      <c r="S49" s="190">
        <f t="shared" ref="S49:S50" si="269">PI()*(E49/1000)^2*0.25*1*7850</f>
        <v>0.88781408390447547</v>
      </c>
      <c r="T49" s="190">
        <f>R49*S49</f>
        <v>5.9927450663552086</v>
      </c>
      <c r="Y49" s="178"/>
      <c r="Z49" s="204" t="s">
        <v>181</v>
      </c>
      <c r="AA49" s="198">
        <f>SUM(AQ7:AQ8)</f>
        <v>21.245982903890035</v>
      </c>
      <c r="AB49" s="198">
        <v>6</v>
      </c>
      <c r="AC49" s="198">
        <f>AA49*AB49</f>
        <v>127.4758974233402</v>
      </c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BO49" s="204" t="s">
        <v>88</v>
      </c>
      <c r="BP49" s="198">
        <f>SUM(CG18:CG21)/BV18</f>
        <v>18.534987297137036</v>
      </c>
      <c r="BQ49" s="198">
        <f>'Concrete Substructure'!G34</f>
        <v>14.9</v>
      </c>
      <c r="BR49" s="198">
        <f t="shared" si="265"/>
        <v>303.78844180007604</v>
      </c>
    </row>
    <row r="50" spans="2:70" x14ac:dyDescent="0.25">
      <c r="B50" s="282"/>
      <c r="C50" s="282"/>
      <c r="D50" s="187" t="s">
        <v>432</v>
      </c>
      <c r="E50" s="188">
        <v>12</v>
      </c>
      <c r="F50" s="189">
        <v>200</v>
      </c>
      <c r="G50" s="190">
        <v>1</v>
      </c>
      <c r="H50" s="190">
        <v>1.2</v>
      </c>
      <c r="I50" s="190">
        <v>0.3</v>
      </c>
      <c r="J50" s="190">
        <f>ROUND(((H50-0.075*2)/(F50/1000))+1,0)</f>
        <v>6</v>
      </c>
      <c r="K50" s="190">
        <v>1</v>
      </c>
      <c r="L50" s="190">
        <f>I50-0.075*2</f>
        <v>0.15</v>
      </c>
      <c r="M50" s="190">
        <f t="shared" ref="M50" si="270">G50-0.075*2</f>
        <v>0.85</v>
      </c>
      <c r="N50" s="190">
        <f>L50</f>
        <v>0.15</v>
      </c>
      <c r="O50" s="190"/>
      <c r="P50" s="190"/>
      <c r="Q50" s="190">
        <f t="shared" si="263"/>
        <v>1.1499999999999999</v>
      </c>
      <c r="R50" s="190">
        <f>J50*Q50*K50</f>
        <v>6.8999999999999995</v>
      </c>
      <c r="S50" s="190">
        <f t="shared" si="269"/>
        <v>0.88781408390447547</v>
      </c>
      <c r="T50" s="190">
        <f t="shared" ref="T50" si="271">R50*S50</f>
        <v>6.1259171789408802</v>
      </c>
      <c r="Y50" s="178"/>
      <c r="Z50" s="204" t="s">
        <v>190</v>
      </c>
      <c r="AA50" s="198">
        <f>SUM(AQ9:AQ10)</f>
        <v>21.245982903890035</v>
      </c>
      <c r="AB50" s="198">
        <f>'Concrete Substructure'!F57</f>
        <v>1</v>
      </c>
      <c r="AC50" s="198">
        <f t="shared" ref="AC50:AC60" si="272">AA50*AB50</f>
        <v>21.245982903890035</v>
      </c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BO50" s="204" t="s">
        <v>154</v>
      </c>
      <c r="BP50" s="198">
        <f>SUM(CG22:CG25)/BV22</f>
        <v>20.942244770993586</v>
      </c>
      <c r="BQ50" s="198">
        <f>'Concrete Substructure'!G35</f>
        <v>21.3</v>
      </c>
      <c r="BR50" s="198">
        <f t="shared" si="265"/>
        <v>490.6767949843798</v>
      </c>
    </row>
    <row r="51" spans="2:70" x14ac:dyDescent="0.25">
      <c r="B51" s="281" t="s">
        <v>147</v>
      </c>
      <c r="C51" s="281" t="s">
        <v>417</v>
      </c>
      <c r="D51" s="191" t="s">
        <v>429</v>
      </c>
      <c r="E51" s="192">
        <v>12</v>
      </c>
      <c r="F51" s="193">
        <v>150</v>
      </c>
      <c r="G51" s="194">
        <v>1</v>
      </c>
      <c r="H51" s="194">
        <v>1</v>
      </c>
      <c r="I51" s="194">
        <v>0.3</v>
      </c>
      <c r="J51" s="194">
        <f>ROUND(((G51-0.075*2)/(F51/1000))+1,0)</f>
        <v>7</v>
      </c>
      <c r="K51" s="194">
        <v>1</v>
      </c>
      <c r="L51" s="194">
        <f>I51-0.075*2</f>
        <v>0.15</v>
      </c>
      <c r="M51" s="194">
        <f>H51-0.075*2</f>
        <v>0.85</v>
      </c>
      <c r="N51" s="194">
        <f t="shared" ref="N51:N53" si="273">L51</f>
        <v>0.15</v>
      </c>
      <c r="O51" s="194"/>
      <c r="P51" s="194"/>
      <c r="Q51" s="194">
        <f t="shared" ref="Q51:Q54" si="274">SUM(L51:P51)</f>
        <v>1.1499999999999999</v>
      </c>
      <c r="R51" s="194">
        <f t="shared" ref="R51:R53" si="275">J51*Q51*K51</f>
        <v>8.0499999999999989</v>
      </c>
      <c r="S51" s="194">
        <f t="shared" si="8"/>
        <v>0.88781408390447547</v>
      </c>
      <c r="T51" s="194">
        <f>R51*S51</f>
        <v>7.1469033754310267</v>
      </c>
      <c r="Y51" s="178"/>
      <c r="Z51" s="204" t="s">
        <v>188</v>
      </c>
      <c r="AA51" s="198">
        <f>SUM(AQ11:AQ13)</f>
        <v>81.421491288635281</v>
      </c>
      <c r="AB51" s="198">
        <f>'Concrete Substructure'!F55</f>
        <v>1</v>
      </c>
      <c r="AC51" s="198">
        <f t="shared" si="272"/>
        <v>81.421491288635281</v>
      </c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BO51" s="204" t="s">
        <v>155</v>
      </c>
      <c r="BP51" s="198">
        <f>SUM(CG26:CG29)/BV26</f>
        <v>19.490077154265904</v>
      </c>
      <c r="BQ51" s="198">
        <f>'Concrete Substructure'!G36</f>
        <v>3.5</v>
      </c>
      <c r="BR51" s="198">
        <f t="shared" si="265"/>
        <v>75.036797043923727</v>
      </c>
    </row>
    <row r="52" spans="2:70" x14ac:dyDescent="0.25">
      <c r="B52" s="281"/>
      <c r="C52" s="281"/>
      <c r="D52" s="191" t="s">
        <v>430</v>
      </c>
      <c r="E52" s="192">
        <v>12</v>
      </c>
      <c r="F52" s="193">
        <v>150</v>
      </c>
      <c r="G52" s="194">
        <v>1</v>
      </c>
      <c r="H52" s="194">
        <v>1</v>
      </c>
      <c r="I52" s="194">
        <v>0.3</v>
      </c>
      <c r="J52" s="194">
        <f>ROUND(((H52-0.075*2)/(F52/1000))+1,0)</f>
        <v>7</v>
      </c>
      <c r="K52" s="194">
        <v>1</v>
      </c>
      <c r="L52" s="194">
        <f t="shared" ref="L52" si="276">I52-0.075*2</f>
        <v>0.15</v>
      </c>
      <c r="M52" s="194">
        <f t="shared" ref="M52" si="277">G52-0.075*2</f>
        <v>0.85</v>
      </c>
      <c r="N52" s="194">
        <f t="shared" si="273"/>
        <v>0.15</v>
      </c>
      <c r="O52" s="194"/>
      <c r="P52" s="194"/>
      <c r="Q52" s="194">
        <f t="shared" si="274"/>
        <v>1.1499999999999999</v>
      </c>
      <c r="R52" s="194">
        <f t="shared" si="275"/>
        <v>8.0499999999999989</v>
      </c>
      <c r="S52" s="194">
        <f t="shared" si="8"/>
        <v>0.88781408390447547</v>
      </c>
      <c r="T52" s="194">
        <f>R52*S52</f>
        <v>7.1469033754310267</v>
      </c>
      <c r="Y52" s="178"/>
      <c r="Z52" s="204" t="s">
        <v>189</v>
      </c>
      <c r="AA52" s="198">
        <f>SUM(AQ14:AQ16)</f>
        <v>44.958116040848061</v>
      </c>
      <c r="AB52" s="198">
        <f>'Concrete Substructure'!F56</f>
        <v>1</v>
      </c>
      <c r="AC52" s="198">
        <f t="shared" si="272"/>
        <v>44.958116040848061</v>
      </c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BO52" s="204" t="s">
        <v>156</v>
      </c>
      <c r="BP52" s="198">
        <f>SUM(CG30:CG33)/BV30</f>
        <v>21.536537678206582</v>
      </c>
      <c r="BQ52" s="198">
        <f>'Concrete Substructure'!G37</f>
        <v>1.5</v>
      </c>
      <c r="BR52" s="198">
        <f t="shared" si="265"/>
        <v>35.535287169040863</v>
      </c>
    </row>
    <row r="53" spans="2:70" x14ac:dyDescent="0.25">
      <c r="B53" s="281"/>
      <c r="C53" s="281"/>
      <c r="D53" s="191" t="s">
        <v>431</v>
      </c>
      <c r="E53" s="192">
        <v>12</v>
      </c>
      <c r="F53" s="193">
        <v>200</v>
      </c>
      <c r="G53" s="194">
        <v>1</v>
      </c>
      <c r="H53" s="194">
        <v>1</v>
      </c>
      <c r="I53" s="194">
        <v>0.3</v>
      </c>
      <c r="J53" s="194">
        <f>ROUND(((G53-0.075*2)/(F53/1000))+1,0)</f>
        <v>5</v>
      </c>
      <c r="K53" s="194">
        <v>1</v>
      </c>
      <c r="L53" s="194">
        <f>I53-0.075*2</f>
        <v>0.15</v>
      </c>
      <c r="M53" s="194">
        <f>H53-0.075*2</f>
        <v>0.85</v>
      </c>
      <c r="N53" s="194">
        <f t="shared" si="273"/>
        <v>0.15</v>
      </c>
      <c r="O53" s="194"/>
      <c r="P53" s="194"/>
      <c r="Q53" s="194">
        <f t="shared" si="274"/>
        <v>1.1499999999999999</v>
      </c>
      <c r="R53" s="194">
        <f t="shared" si="275"/>
        <v>5.75</v>
      </c>
      <c r="S53" s="194">
        <f t="shared" ref="S53:S54" si="278">PI()*(E53/1000)^2*0.25*1*7850</f>
        <v>0.88781408390447547</v>
      </c>
      <c r="T53" s="194">
        <f>R53*S53</f>
        <v>5.1049309824507336</v>
      </c>
      <c r="Y53" s="178"/>
      <c r="Z53" s="204" t="s">
        <v>182</v>
      </c>
      <c r="AA53" s="198">
        <f>SUM(AQ17:AQ19)</f>
        <v>35.656586529790196</v>
      </c>
      <c r="AB53" s="198">
        <f>'Concrete Substructure'!F46</f>
        <v>6</v>
      </c>
      <c r="AC53" s="198">
        <f t="shared" si="272"/>
        <v>213.93951917874119</v>
      </c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BO53" s="204" t="s">
        <v>141</v>
      </c>
      <c r="BP53" s="198">
        <f>SUM(CG34:CG39)/BV34</f>
        <v>14.634654672548191</v>
      </c>
      <c r="BQ53" s="198">
        <f>'Concrete Substructure'!G38</f>
        <v>110.3</v>
      </c>
      <c r="BR53" s="198">
        <f t="shared" si="265"/>
        <v>1775.6226514202722</v>
      </c>
    </row>
    <row r="54" spans="2:70" x14ac:dyDescent="0.25">
      <c r="B54" s="281"/>
      <c r="C54" s="281"/>
      <c r="D54" s="191" t="s">
        <v>432</v>
      </c>
      <c r="E54" s="192">
        <v>12</v>
      </c>
      <c r="F54" s="193">
        <v>200</v>
      </c>
      <c r="G54" s="194">
        <v>1</v>
      </c>
      <c r="H54" s="194">
        <v>1</v>
      </c>
      <c r="I54" s="194">
        <v>0.3</v>
      </c>
      <c r="J54" s="194">
        <f>ROUND(((H54-0.075*2)/(F54/1000))+1,0)</f>
        <v>5</v>
      </c>
      <c r="K54" s="194">
        <v>1</v>
      </c>
      <c r="L54" s="194">
        <f>I54-0.075*2</f>
        <v>0.15</v>
      </c>
      <c r="M54" s="194">
        <f t="shared" ref="M54" si="279">G54-0.075*2</f>
        <v>0.85</v>
      </c>
      <c r="N54" s="194">
        <f>L54</f>
        <v>0.15</v>
      </c>
      <c r="O54" s="194"/>
      <c r="P54" s="194"/>
      <c r="Q54" s="194">
        <f t="shared" si="274"/>
        <v>1.1499999999999999</v>
      </c>
      <c r="R54" s="194">
        <f>J54*Q54*K54</f>
        <v>5.75</v>
      </c>
      <c r="S54" s="194">
        <f t="shared" si="278"/>
        <v>0.88781408390447547</v>
      </c>
      <c r="T54" s="194">
        <f>R54*S54</f>
        <v>5.1049309824507336</v>
      </c>
      <c r="Y54" s="178"/>
      <c r="Z54" s="204" t="s">
        <v>184</v>
      </c>
      <c r="AA54" s="198">
        <f>SUM(AQ20:AQ22)</f>
        <v>35.656586529790196</v>
      </c>
      <c r="AB54" s="198">
        <f>'Concrete Substructure'!F49</f>
        <v>8</v>
      </c>
      <c r="AC54" s="198">
        <f t="shared" si="272"/>
        <v>285.25269223832157</v>
      </c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BO54" s="204" t="s">
        <v>89</v>
      </c>
      <c r="BP54" s="198">
        <f>SUM(CG40:CG42)/BV40</f>
        <v>22.083304291922385</v>
      </c>
      <c r="BQ54" s="198">
        <f>'Concrete Substructure'!G29</f>
        <v>8.5</v>
      </c>
      <c r="BR54" s="198">
        <f t="shared" si="265"/>
        <v>206.47889512947432</v>
      </c>
    </row>
    <row r="55" spans="2:70" x14ac:dyDescent="0.25">
      <c r="B55" s="282" t="s">
        <v>149</v>
      </c>
      <c r="C55" s="282" t="s">
        <v>433</v>
      </c>
      <c r="D55" s="187" t="s">
        <v>429</v>
      </c>
      <c r="E55" s="188">
        <v>16</v>
      </c>
      <c r="F55" s="189">
        <v>200</v>
      </c>
      <c r="G55" s="190">
        <v>10.199999999999999</v>
      </c>
      <c r="H55" s="190">
        <v>5.45</v>
      </c>
      <c r="I55" s="190">
        <v>0.5</v>
      </c>
      <c r="J55" s="190">
        <f>ROUND(((G55-0.075*2)/(F55/1000))+1,0)</f>
        <v>51</v>
      </c>
      <c r="K55" s="190">
        <v>1</v>
      </c>
      <c r="L55" s="190">
        <f>I55-0.075*2</f>
        <v>0.35</v>
      </c>
      <c r="M55" s="190">
        <f>H55-0.075*2</f>
        <v>5.3</v>
      </c>
      <c r="N55" s="190">
        <f t="shared" ref="N55:N57" si="280">L55</f>
        <v>0.35</v>
      </c>
      <c r="O55" s="190"/>
      <c r="P55" s="190"/>
      <c r="Q55" s="190">
        <f t="shared" ref="Q55:Q57" si="281">SUM(L55:P55)</f>
        <v>5.9999999999999991</v>
      </c>
      <c r="R55" s="190">
        <f t="shared" ref="R55:R57" si="282">J55*Q55*K55</f>
        <v>305.99999999999994</v>
      </c>
      <c r="S55" s="190">
        <f t="shared" si="8"/>
        <v>1.5783361491635119</v>
      </c>
      <c r="T55" s="190">
        <f>R55*S55</f>
        <v>482.97086164403458</v>
      </c>
      <c r="U55" t="s">
        <v>434</v>
      </c>
      <c r="V55">
        <v>71.2</v>
      </c>
      <c r="Y55" s="178"/>
      <c r="Z55" s="204" t="s">
        <v>185</v>
      </c>
      <c r="AA55" s="198">
        <f>SUM(AQ23:AQ25)</f>
        <v>35.656586529790196</v>
      </c>
      <c r="AB55" s="198">
        <f>'Concrete Substructure'!F50</f>
        <v>2</v>
      </c>
      <c r="AC55" s="198">
        <f t="shared" si="272"/>
        <v>71.313173059580393</v>
      </c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BO55" s="212" t="s">
        <v>443</v>
      </c>
      <c r="BP55" s="210"/>
      <c r="BQ55" s="210"/>
      <c r="BR55" s="214">
        <f>SUM(BR46:BR54)</f>
        <v>7495.6543094620447</v>
      </c>
    </row>
    <row r="56" spans="2:70" x14ac:dyDescent="0.25">
      <c r="B56" s="282"/>
      <c r="C56" s="282"/>
      <c r="D56" s="187" t="s">
        <v>430</v>
      </c>
      <c r="E56" s="188">
        <v>16</v>
      </c>
      <c r="F56" s="189">
        <v>200</v>
      </c>
      <c r="G56" s="190">
        <v>10.199999999999999</v>
      </c>
      <c r="H56" s="190">
        <v>5.45</v>
      </c>
      <c r="I56" s="190">
        <v>0.5</v>
      </c>
      <c r="J56" s="190">
        <f>ROUND(((H56-0.075*2)/(F56/1000))+1,0)</f>
        <v>28</v>
      </c>
      <c r="K56" s="190">
        <v>1</v>
      </c>
      <c r="L56" s="190">
        <f t="shared" ref="L56" si="283">I56-0.075*2</f>
        <v>0.35</v>
      </c>
      <c r="M56" s="190">
        <f t="shared" ref="M56" si="284">G56-0.075*2</f>
        <v>10.049999999999999</v>
      </c>
      <c r="N56" s="190">
        <f t="shared" si="280"/>
        <v>0.35</v>
      </c>
      <c r="O56" s="190"/>
      <c r="P56" s="190"/>
      <c r="Q56" s="190">
        <f t="shared" si="281"/>
        <v>10.749999999999998</v>
      </c>
      <c r="R56" s="190">
        <f t="shared" si="282"/>
        <v>300.99999999999994</v>
      </c>
      <c r="S56" s="190">
        <f t="shared" si="8"/>
        <v>1.5783361491635119</v>
      </c>
      <c r="T56" s="190">
        <f t="shared" ref="T56" si="285">R56*S56</f>
        <v>475.07918089821703</v>
      </c>
      <c r="V56">
        <f>G55*H55</f>
        <v>55.589999999999996</v>
      </c>
      <c r="Y56" s="178"/>
      <c r="Z56" s="204" t="s">
        <v>183</v>
      </c>
      <c r="AA56" s="198">
        <f>SUM(AQ26:AQ28)</f>
        <v>35.163356483176599</v>
      </c>
      <c r="AB56" s="198">
        <v>2</v>
      </c>
      <c r="AC56" s="198">
        <f t="shared" si="272"/>
        <v>70.326712966353199</v>
      </c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</row>
    <row r="57" spans="2:70" x14ac:dyDescent="0.25">
      <c r="B57" s="282"/>
      <c r="C57" s="282"/>
      <c r="D57" s="187" t="s">
        <v>431</v>
      </c>
      <c r="E57" s="188">
        <v>16</v>
      </c>
      <c r="F57" s="189">
        <v>200</v>
      </c>
      <c r="G57" s="190">
        <v>10.199999999999999</v>
      </c>
      <c r="H57" s="190">
        <v>5.45</v>
      </c>
      <c r="I57" s="190">
        <v>0.5</v>
      </c>
      <c r="J57" s="190">
        <f>ROUND(((G57-0.075*2)/(F57/1000))+1,0)</f>
        <v>51</v>
      </c>
      <c r="K57" s="190">
        <v>1</v>
      </c>
      <c r="L57" s="190">
        <f>I57-0.075*2</f>
        <v>0.35</v>
      </c>
      <c r="M57" s="190">
        <f>H57-0.075*2</f>
        <v>5.3</v>
      </c>
      <c r="N57" s="190">
        <f t="shared" si="280"/>
        <v>0.35</v>
      </c>
      <c r="O57" s="190"/>
      <c r="P57" s="190"/>
      <c r="Q57" s="190">
        <f t="shared" si="281"/>
        <v>5.9999999999999991</v>
      </c>
      <c r="R57" s="190">
        <f t="shared" si="282"/>
        <v>305.99999999999994</v>
      </c>
      <c r="S57" s="190">
        <f t="shared" ref="S57" si="286">PI()*(E57/1000)^2*0.25*1*7850</f>
        <v>1.5783361491635119</v>
      </c>
      <c r="T57" s="190">
        <f>R57*S57</f>
        <v>482.97086164403458</v>
      </c>
      <c r="V57" s="207">
        <f>SUM(T55:T58)/V56</f>
        <v>34.468431104236437</v>
      </c>
      <c r="Y57" s="178"/>
      <c r="Z57" s="204" t="s">
        <v>187</v>
      </c>
      <c r="AA57" s="198">
        <f>SUM(AQ29:AQ32)</f>
        <v>159.39037225097539</v>
      </c>
      <c r="AB57" s="198">
        <f>'Concrete Substructure'!F54</f>
        <v>1</v>
      </c>
      <c r="AC57" s="198">
        <f t="shared" si="272"/>
        <v>159.39037225097539</v>
      </c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</row>
    <row r="58" spans="2:70" x14ac:dyDescent="0.25">
      <c r="B58" s="282"/>
      <c r="C58" s="282"/>
      <c r="D58" s="187" t="s">
        <v>432</v>
      </c>
      <c r="E58" s="188">
        <v>16</v>
      </c>
      <c r="F58" s="189">
        <v>200</v>
      </c>
      <c r="G58" s="190">
        <v>10.199999999999999</v>
      </c>
      <c r="H58" s="190">
        <v>5.45</v>
      </c>
      <c r="I58" s="190">
        <v>0.5</v>
      </c>
      <c r="J58" s="190">
        <f>ROUND(((H58-0.075*2)/(F58/1000))+1,0)</f>
        <v>28</v>
      </c>
      <c r="K58" s="190">
        <v>1</v>
      </c>
      <c r="L58" s="190">
        <f>I58-0.075*2</f>
        <v>0.35</v>
      </c>
      <c r="M58" s="190">
        <f t="shared" ref="M58" si="287">G58-0.075*2</f>
        <v>10.049999999999999</v>
      </c>
      <c r="N58" s="190">
        <f>L58</f>
        <v>0.35</v>
      </c>
      <c r="O58" s="190"/>
      <c r="P58" s="190"/>
      <c r="Q58" s="190">
        <f t="shared" ref="Q58" si="288">SUM(L58:P58)</f>
        <v>10.749999999999998</v>
      </c>
      <c r="R58" s="190">
        <f>J58*Q58*K58</f>
        <v>300.99999999999994</v>
      </c>
      <c r="S58" s="190">
        <f t="shared" ref="S58" si="289">PI()*(E58/1000)^2*0.25*1*7850</f>
        <v>1.5783361491635119</v>
      </c>
      <c r="T58" s="190">
        <f t="shared" ref="T58" si="290">R58*S58</f>
        <v>475.07918089821703</v>
      </c>
      <c r="V58" s="208">
        <f>V57*V55+T59</f>
        <v>2487.2973537540684</v>
      </c>
      <c r="W58" t="s">
        <v>435</v>
      </c>
      <c r="Y58" s="178"/>
      <c r="Z58" s="204" t="s">
        <v>186</v>
      </c>
      <c r="AA58" s="198">
        <f>SUM(AQ33:AQ36)</f>
        <v>159.39037225097539</v>
      </c>
      <c r="AB58" s="198">
        <f>'Concrete Substructure'!F53</f>
        <v>1</v>
      </c>
      <c r="AC58" s="198">
        <f t="shared" si="272"/>
        <v>159.39037225097539</v>
      </c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</row>
    <row r="59" spans="2:70" x14ac:dyDescent="0.25">
      <c r="B59" s="282"/>
      <c r="C59" s="282"/>
      <c r="D59" s="187" t="s">
        <v>571</v>
      </c>
      <c r="E59" s="188">
        <v>16</v>
      </c>
      <c r="F59" s="189">
        <v>200</v>
      </c>
      <c r="G59" s="190">
        <f>1.35*2</f>
        <v>2.7</v>
      </c>
      <c r="H59" s="190"/>
      <c r="I59" s="190"/>
      <c r="J59" s="190">
        <f>ROUND(((G59-0.075*2)/(F59/1000))+1,0)</f>
        <v>14</v>
      </c>
      <c r="K59" s="190">
        <v>1</v>
      </c>
      <c r="L59" s="190">
        <v>1.5</v>
      </c>
      <c r="M59" s="190"/>
      <c r="N59" s="190"/>
      <c r="O59" s="190"/>
      <c r="P59" s="190"/>
      <c r="Q59" s="190">
        <f t="shared" ref="Q59" si="291">SUM(L59:P59)</f>
        <v>1.5</v>
      </c>
      <c r="R59" s="190">
        <f>J59*Q59*K59</f>
        <v>21</v>
      </c>
      <c r="S59" s="190">
        <f t="shared" ref="S59" si="292">PI()*(E59/1000)^2*0.25*1*7850</f>
        <v>1.5783361491635119</v>
      </c>
      <c r="T59" s="190">
        <f t="shared" ref="T59" si="293">R59*S59</f>
        <v>33.145059132433751</v>
      </c>
      <c r="U59" t="s">
        <v>434</v>
      </c>
      <c r="V59">
        <v>51.9</v>
      </c>
      <c r="Y59" s="178"/>
      <c r="Z59" s="204" t="s">
        <v>82</v>
      </c>
      <c r="AA59" s="198">
        <f>SUM(AQ37:AQ39)</f>
        <v>35.656586529790196</v>
      </c>
      <c r="AB59" s="198">
        <f>'Concrete Substructure'!F52</f>
        <v>2</v>
      </c>
      <c r="AC59" s="198">
        <f t="shared" si="272"/>
        <v>71.313173059580393</v>
      </c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</row>
    <row r="60" spans="2:70" x14ac:dyDescent="0.25">
      <c r="B60" s="281" t="s">
        <v>150</v>
      </c>
      <c r="C60" s="281" t="s">
        <v>433</v>
      </c>
      <c r="D60" s="191" t="s">
        <v>429</v>
      </c>
      <c r="E60" s="192">
        <v>16</v>
      </c>
      <c r="F60" s="193">
        <v>150</v>
      </c>
      <c r="G60" s="194">
        <f>2.75+2.4+0.9+2.35</f>
        <v>8.4</v>
      </c>
      <c r="H60" s="194">
        <v>5.6</v>
      </c>
      <c r="I60" s="194">
        <v>0.6</v>
      </c>
      <c r="J60" s="194">
        <f>ROUND(((G60-0.075*2)/(F60/1000))+1,0)</f>
        <v>56</v>
      </c>
      <c r="K60" s="194">
        <v>1</v>
      </c>
      <c r="L60" s="194">
        <f>I60-0.075*2</f>
        <v>0.44999999999999996</v>
      </c>
      <c r="M60" s="194">
        <f>H60-0.075*2</f>
        <v>5.4499999999999993</v>
      </c>
      <c r="N60" s="194">
        <f t="shared" ref="N60:N62" si="294">L60</f>
        <v>0.44999999999999996</v>
      </c>
      <c r="O60" s="194"/>
      <c r="P60" s="194"/>
      <c r="Q60" s="194">
        <f t="shared" ref="Q60:Q63" si="295">SUM(L60:P60)</f>
        <v>6.35</v>
      </c>
      <c r="R60" s="194">
        <f t="shared" ref="R60:R61" si="296">J60*Q60*K60</f>
        <v>355.59999999999997</v>
      </c>
      <c r="S60" s="194">
        <f t="shared" si="8"/>
        <v>1.5783361491635119</v>
      </c>
      <c r="T60" s="194">
        <f t="shared" ref="T60:T69" si="297">R60*S60</f>
        <v>561.25633464254474</v>
      </c>
      <c r="V60">
        <f>G60*H60</f>
        <v>47.04</v>
      </c>
      <c r="Y60" s="178"/>
      <c r="Z60" s="204" t="s">
        <v>81</v>
      </c>
      <c r="AA60" s="198">
        <f>SUM(AQ40:AQ41)</f>
        <v>19.766292764049243</v>
      </c>
      <c r="AB60" s="198">
        <f>'Concrete Substructure'!F51</f>
        <v>2</v>
      </c>
      <c r="AC60" s="198">
        <f t="shared" si="272"/>
        <v>39.532585528098487</v>
      </c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</row>
    <row r="61" spans="2:70" x14ac:dyDescent="0.25">
      <c r="B61" s="281"/>
      <c r="C61" s="281"/>
      <c r="D61" s="191" t="s">
        <v>430</v>
      </c>
      <c r="E61" s="192">
        <v>16</v>
      </c>
      <c r="F61" s="193">
        <v>150</v>
      </c>
      <c r="G61" s="194">
        <f t="shared" ref="G61:G63" si="298">2.75+2.4+0.9+2.35</f>
        <v>8.4</v>
      </c>
      <c r="H61" s="194">
        <v>5.6</v>
      </c>
      <c r="I61" s="194">
        <v>0.6</v>
      </c>
      <c r="J61" s="194">
        <f>ROUND(((H61-0.075*2)/(F61/1000))+1,0)</f>
        <v>37</v>
      </c>
      <c r="K61" s="194">
        <v>1</v>
      </c>
      <c r="L61" s="194">
        <f t="shared" ref="L61" si="299">I61-0.075*2</f>
        <v>0.44999999999999996</v>
      </c>
      <c r="M61" s="194">
        <f t="shared" ref="M61" si="300">G61-0.075*2</f>
        <v>8.25</v>
      </c>
      <c r="N61" s="194">
        <f t="shared" si="294"/>
        <v>0.44999999999999996</v>
      </c>
      <c r="O61" s="194"/>
      <c r="P61" s="194"/>
      <c r="Q61" s="194">
        <f t="shared" si="295"/>
        <v>9.1499999999999986</v>
      </c>
      <c r="R61" s="194">
        <f t="shared" si="296"/>
        <v>338.54999999999995</v>
      </c>
      <c r="S61" s="194">
        <f t="shared" si="8"/>
        <v>1.5783361491635119</v>
      </c>
      <c r="T61" s="194">
        <f t="shared" si="297"/>
        <v>534.34570329930693</v>
      </c>
      <c r="V61" s="207">
        <f>SUM(T60:T63)/V60</f>
        <v>46.5817193002488</v>
      </c>
      <c r="Y61" s="178"/>
      <c r="Z61" s="204" t="s">
        <v>83</v>
      </c>
      <c r="AA61" s="198">
        <f>AQ42+AQ43</f>
        <v>13.473466537334321</v>
      </c>
      <c r="AB61" s="198">
        <f>'Concrete Substructure'!F47</f>
        <v>40</v>
      </c>
      <c r="AC61" s="198">
        <f t="shared" ref="AC61" si="301">AA61*AB61</f>
        <v>538.93866149337282</v>
      </c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</row>
    <row r="62" spans="2:70" x14ac:dyDescent="0.25">
      <c r="B62" s="281"/>
      <c r="C62" s="281"/>
      <c r="D62" s="191" t="s">
        <v>431</v>
      </c>
      <c r="E62" s="192">
        <v>16</v>
      </c>
      <c r="F62" s="193">
        <v>150</v>
      </c>
      <c r="G62" s="194">
        <f t="shared" si="298"/>
        <v>8.4</v>
      </c>
      <c r="H62" s="194">
        <v>5.6</v>
      </c>
      <c r="I62" s="194">
        <v>0.6</v>
      </c>
      <c r="J62" s="194">
        <f>ROUND(((G62-0.075*2)/(F62/1000))+1,0)</f>
        <v>56</v>
      </c>
      <c r="K62" s="194">
        <v>1</v>
      </c>
      <c r="L62" s="194">
        <f>I62-0.075*2</f>
        <v>0.44999999999999996</v>
      </c>
      <c r="M62" s="194">
        <f>H62-0.075*2</f>
        <v>5.4499999999999993</v>
      </c>
      <c r="N62" s="194">
        <f t="shared" si="294"/>
        <v>0.44999999999999996</v>
      </c>
      <c r="O62" s="194"/>
      <c r="P62" s="194"/>
      <c r="Q62" s="194">
        <f t="shared" si="295"/>
        <v>6.35</v>
      </c>
      <c r="R62" s="194">
        <f t="shared" ref="R62:R63" si="302">J62*Q62*K62</f>
        <v>355.59999999999997</v>
      </c>
      <c r="S62" s="194">
        <f t="shared" ref="S62:S63" si="303">PI()*(E62/1000)^2*0.25*1*7850</f>
        <v>1.5783361491635119</v>
      </c>
      <c r="T62" s="194">
        <f t="shared" si="297"/>
        <v>561.25633464254474</v>
      </c>
      <c r="V62" s="208">
        <f>V61*V59</f>
        <v>2417.5912316829126</v>
      </c>
      <c r="W62" t="s">
        <v>435</v>
      </c>
      <c r="Y62" s="178"/>
      <c r="Z62" s="212" t="s">
        <v>442</v>
      </c>
      <c r="AA62" s="210"/>
      <c r="AB62" s="210"/>
      <c r="AC62" s="214">
        <f>SUM(AC49:AC61)</f>
        <v>1884.4987496827123</v>
      </c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</row>
    <row r="63" spans="2:70" x14ac:dyDescent="0.25">
      <c r="B63" s="281"/>
      <c r="C63" s="281"/>
      <c r="D63" s="191" t="s">
        <v>432</v>
      </c>
      <c r="E63" s="192">
        <v>16</v>
      </c>
      <c r="F63" s="193">
        <v>150</v>
      </c>
      <c r="G63" s="194">
        <f t="shared" si="298"/>
        <v>8.4</v>
      </c>
      <c r="H63" s="194">
        <v>5.6</v>
      </c>
      <c r="I63" s="194">
        <v>0.6</v>
      </c>
      <c r="J63" s="194">
        <f>ROUND(((H63-0.075*2)/(F63/1000))+1,0)</f>
        <v>37</v>
      </c>
      <c r="K63" s="194">
        <v>1</v>
      </c>
      <c r="L63" s="194">
        <f>I63-0.075*2</f>
        <v>0.44999999999999996</v>
      </c>
      <c r="M63" s="194">
        <f t="shared" ref="M63" si="304">G63-0.075*2</f>
        <v>8.25</v>
      </c>
      <c r="N63" s="194">
        <f>L63</f>
        <v>0.44999999999999996</v>
      </c>
      <c r="O63" s="194"/>
      <c r="P63" s="194"/>
      <c r="Q63" s="194">
        <f t="shared" si="295"/>
        <v>9.1499999999999986</v>
      </c>
      <c r="R63" s="194">
        <f t="shared" si="302"/>
        <v>338.54999999999995</v>
      </c>
      <c r="S63" s="194">
        <f t="shared" si="303"/>
        <v>1.5783361491635119</v>
      </c>
      <c r="T63" s="194">
        <f t="shared" si="297"/>
        <v>534.34570329930693</v>
      </c>
      <c r="V63" s="246">
        <f>SUM(T64:T69)</f>
        <v>951.70710414280097</v>
      </c>
      <c r="Y63" s="178"/>
      <c r="Z63" s="212"/>
      <c r="AA63" s="210"/>
      <c r="AB63" s="210"/>
      <c r="AC63" s="214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</row>
    <row r="64" spans="2:70" x14ac:dyDescent="0.25">
      <c r="B64" s="281"/>
      <c r="C64" s="281"/>
      <c r="D64" s="191" t="s">
        <v>569</v>
      </c>
      <c r="E64" s="192">
        <v>20</v>
      </c>
      <c r="F64" s="193">
        <v>300</v>
      </c>
      <c r="G64" s="194">
        <v>2.4</v>
      </c>
      <c r="H64" s="194"/>
      <c r="I64" s="194"/>
      <c r="J64" s="194">
        <f t="shared" ref="J64:J69" si="305">ROUND(((G64-0.075*2)/(F64/1000))+1,0)</f>
        <v>9</v>
      </c>
      <c r="K64" s="194">
        <v>1</v>
      </c>
      <c r="L64" s="194">
        <v>2</v>
      </c>
      <c r="M64" s="194"/>
      <c r="N64" s="194"/>
      <c r="O64" s="194"/>
      <c r="P64" s="194"/>
      <c r="Q64" s="194">
        <f t="shared" ref="Q64" si="306">SUM(L64:P64)</f>
        <v>2</v>
      </c>
      <c r="R64" s="194">
        <f t="shared" ref="R64" si="307">J64*Q64*K64</f>
        <v>18</v>
      </c>
      <c r="S64" s="194">
        <f t="shared" ref="S64" si="308">PI()*(E64/1000)^2*0.25*1*7850</f>
        <v>2.4661502330679874</v>
      </c>
      <c r="T64" s="194">
        <f t="shared" si="297"/>
        <v>44.390704195223776</v>
      </c>
      <c r="V64" s="208">
        <f>V62+V63</f>
        <v>3369.2983358257134</v>
      </c>
      <c r="Y64" s="178"/>
      <c r="Z64" s="212"/>
      <c r="AA64" s="210"/>
      <c r="AB64" s="210"/>
      <c r="AC64" s="214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</row>
    <row r="65" spans="2:43" x14ac:dyDescent="0.25">
      <c r="B65" s="281"/>
      <c r="C65" s="281"/>
      <c r="D65" s="191" t="s">
        <v>569</v>
      </c>
      <c r="E65" s="192">
        <v>20</v>
      </c>
      <c r="F65" s="193">
        <v>150</v>
      </c>
      <c r="G65" s="194">
        <v>1.9</v>
      </c>
      <c r="H65" s="194"/>
      <c r="I65" s="194"/>
      <c r="J65" s="194">
        <f t="shared" si="305"/>
        <v>13</v>
      </c>
      <c r="K65" s="194">
        <v>1</v>
      </c>
      <c r="L65" s="194">
        <v>2</v>
      </c>
      <c r="M65" s="194"/>
      <c r="N65" s="194"/>
      <c r="O65" s="194"/>
      <c r="P65" s="194"/>
      <c r="Q65" s="194">
        <f t="shared" ref="Q65" si="309">SUM(L65:P65)</f>
        <v>2</v>
      </c>
      <c r="R65" s="194">
        <f t="shared" ref="R65" si="310">J65*Q65*K65</f>
        <v>26</v>
      </c>
      <c r="S65" s="194">
        <f t="shared" ref="S65" si="311">PI()*(E65/1000)^2*0.25*1*7850</f>
        <v>2.4661502330679874</v>
      </c>
      <c r="T65" s="194">
        <f t="shared" si="297"/>
        <v>64.119906059767672</v>
      </c>
      <c r="V65" s="209"/>
      <c r="Y65" s="178"/>
      <c r="Z65" s="212"/>
      <c r="AA65" s="210"/>
      <c r="AB65" s="210"/>
      <c r="AC65" s="214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</row>
    <row r="66" spans="2:43" x14ac:dyDescent="0.25">
      <c r="B66" s="281"/>
      <c r="C66" s="281"/>
      <c r="D66" s="191" t="s">
        <v>569</v>
      </c>
      <c r="E66" s="192">
        <v>16</v>
      </c>
      <c r="F66" s="193">
        <v>300</v>
      </c>
      <c r="G66" s="194">
        <v>1.4</v>
      </c>
      <c r="H66" s="194"/>
      <c r="I66" s="194"/>
      <c r="J66" s="194">
        <f t="shared" si="305"/>
        <v>5</v>
      </c>
      <c r="K66" s="194">
        <v>1</v>
      </c>
      <c r="L66" s="194">
        <v>2.5</v>
      </c>
      <c r="M66" s="194"/>
      <c r="N66" s="194"/>
      <c r="O66" s="194"/>
      <c r="P66" s="194"/>
      <c r="Q66" s="194">
        <f t="shared" ref="Q66" si="312">SUM(L66:P66)</f>
        <v>2.5</v>
      </c>
      <c r="R66" s="194">
        <f t="shared" ref="R66" si="313">J66*Q66*K66</f>
        <v>12.5</v>
      </c>
      <c r="S66" s="194">
        <f t="shared" ref="S66" si="314">PI()*(E66/1000)^2*0.25*1*7850</f>
        <v>1.5783361491635119</v>
      </c>
      <c r="T66" s="194">
        <f t="shared" si="297"/>
        <v>19.729201864543899</v>
      </c>
      <c r="V66" s="209"/>
      <c r="Y66" s="178"/>
      <c r="Z66" s="212"/>
      <c r="AA66" s="210"/>
      <c r="AB66" s="210"/>
      <c r="AC66" s="214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</row>
    <row r="67" spans="2:43" x14ac:dyDescent="0.25">
      <c r="B67" s="281"/>
      <c r="C67" s="281"/>
      <c r="D67" s="191" t="s">
        <v>570</v>
      </c>
      <c r="E67" s="192">
        <v>20</v>
      </c>
      <c r="F67" s="193">
        <v>150</v>
      </c>
      <c r="G67" s="194">
        <v>4.3</v>
      </c>
      <c r="H67" s="194"/>
      <c r="I67" s="194"/>
      <c r="J67" s="194">
        <f t="shared" si="305"/>
        <v>29</v>
      </c>
      <c r="K67" s="194">
        <v>1</v>
      </c>
      <c r="L67" s="194">
        <v>3.6</v>
      </c>
      <c r="M67" s="194"/>
      <c r="N67" s="194"/>
      <c r="O67" s="194"/>
      <c r="P67" s="194"/>
      <c r="Q67" s="194">
        <f t="shared" ref="Q67" si="315">SUM(L67:P67)</f>
        <v>3.6</v>
      </c>
      <c r="R67" s="194">
        <f t="shared" ref="R67" si="316">J67*Q67*K67</f>
        <v>104.4</v>
      </c>
      <c r="S67" s="194">
        <f t="shared" ref="S67" si="317">PI()*(E67/1000)^2*0.25*1*7850</f>
        <v>2.4661502330679874</v>
      </c>
      <c r="T67" s="194">
        <f t="shared" si="297"/>
        <v>257.4660843322979</v>
      </c>
      <c r="Y67" s="178"/>
      <c r="Z67" s="199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</row>
    <row r="68" spans="2:43" x14ac:dyDescent="0.25">
      <c r="B68" s="281"/>
      <c r="C68" s="281"/>
      <c r="D68" s="191" t="s">
        <v>571</v>
      </c>
      <c r="E68" s="192">
        <v>16</v>
      </c>
      <c r="F68" s="193">
        <v>150</v>
      </c>
      <c r="G68" s="194">
        <v>4.3499999999999996</v>
      </c>
      <c r="H68" s="194"/>
      <c r="I68" s="194"/>
      <c r="J68" s="194">
        <f t="shared" si="305"/>
        <v>29</v>
      </c>
      <c r="K68" s="194">
        <v>1</v>
      </c>
      <c r="L68" s="194">
        <v>1.8</v>
      </c>
      <c r="M68" s="194"/>
      <c r="N68" s="194"/>
      <c r="O68" s="194"/>
      <c r="P68" s="194"/>
      <c r="Q68" s="194">
        <f t="shared" ref="Q68" si="318">SUM(L68:P68)</f>
        <v>1.8</v>
      </c>
      <c r="R68" s="194">
        <f t="shared" ref="R68" si="319">J68*Q68*K68</f>
        <v>52.2</v>
      </c>
      <c r="S68" s="194">
        <f t="shared" ref="S68" si="320">PI()*(E68/1000)^2*0.25*1*7850</f>
        <v>1.5783361491635119</v>
      </c>
      <c r="T68" s="194">
        <f t="shared" si="297"/>
        <v>82.389146986335334</v>
      </c>
      <c r="Y68" s="178"/>
      <c r="Z68" s="199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</row>
    <row r="69" spans="2:43" x14ac:dyDescent="0.25">
      <c r="B69" s="281"/>
      <c r="C69" s="281"/>
      <c r="D69" s="191" t="s">
        <v>570</v>
      </c>
      <c r="E69" s="192">
        <v>20</v>
      </c>
      <c r="F69" s="193">
        <v>150</v>
      </c>
      <c r="G69" s="194">
        <v>5.6</v>
      </c>
      <c r="H69" s="194"/>
      <c r="I69" s="194"/>
      <c r="J69" s="194">
        <f t="shared" si="305"/>
        <v>37</v>
      </c>
      <c r="K69" s="194">
        <v>1</v>
      </c>
      <c r="L69" s="194">
        <v>5.3</v>
      </c>
      <c r="M69" s="194"/>
      <c r="N69" s="194"/>
      <c r="O69" s="194"/>
      <c r="P69" s="194"/>
      <c r="Q69" s="194">
        <f t="shared" ref="Q69" si="321">SUM(L69:P69)</f>
        <v>5.3</v>
      </c>
      <c r="R69" s="194">
        <f t="shared" ref="R69" si="322">J69*Q69*K69</f>
        <v>196.1</v>
      </c>
      <c r="S69" s="194">
        <f t="shared" ref="S69" si="323">PI()*(E69/1000)^2*0.25*1*7850</f>
        <v>2.4661502330679874</v>
      </c>
      <c r="T69" s="194">
        <f t="shared" si="297"/>
        <v>483.61206070463231</v>
      </c>
      <c r="Y69" s="178"/>
      <c r="Z69" s="199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</row>
    <row r="70" spans="2:43" x14ac:dyDescent="0.25">
      <c r="B70" s="195" t="s">
        <v>424</v>
      </c>
      <c r="C70" s="202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6">
        <f>SUM(T7:T42)+SUM(T47:T54)+V46+V58+V62</f>
        <v>6485.3361316620485</v>
      </c>
      <c r="Y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</row>
    <row r="71" spans="2:43" x14ac:dyDescent="0.25">
      <c r="B71" s="178"/>
      <c r="C71" s="199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Y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</row>
    <row r="72" spans="2:43" x14ac:dyDescent="0.25">
      <c r="B72" s="178"/>
      <c r="C72" s="283" t="s">
        <v>425</v>
      </c>
      <c r="D72" s="283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</row>
    <row r="73" spans="2:43" x14ac:dyDescent="0.25">
      <c r="B73" s="178"/>
      <c r="C73" s="203" t="s">
        <v>426</v>
      </c>
      <c r="D73" s="197" t="s">
        <v>427</v>
      </c>
      <c r="E73" s="197" t="s">
        <v>40</v>
      </c>
      <c r="F73" s="197" t="s">
        <v>415</v>
      </c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 spans="2:43" x14ac:dyDescent="0.25">
      <c r="B74" s="178"/>
      <c r="C74" s="204" t="s">
        <v>416</v>
      </c>
      <c r="D74" s="198">
        <f>SUM(T7:T10)</f>
        <v>32.893511808660811</v>
      </c>
      <c r="E74" s="198">
        <f>'Concrete Substructure'!F14</f>
        <v>4</v>
      </c>
      <c r="F74" s="198">
        <f>D74*E74</f>
        <v>131.57404723464325</v>
      </c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 spans="2:43" x14ac:dyDescent="0.25">
      <c r="B75" s="178"/>
      <c r="C75" s="204" t="s">
        <v>418</v>
      </c>
      <c r="D75" s="198">
        <f>SUM(T11:T14)</f>
        <v>41.949215464486471</v>
      </c>
      <c r="E75" s="198">
        <f>'Concrete Substructure'!F15</f>
        <v>2</v>
      </c>
      <c r="F75" s="198">
        <f t="shared" ref="F75:F87" si="324">D75*E75</f>
        <v>83.898430928972942</v>
      </c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</row>
    <row r="76" spans="2:43" x14ac:dyDescent="0.25">
      <c r="B76" s="178"/>
      <c r="C76" s="204" t="s">
        <v>419</v>
      </c>
      <c r="D76" s="198">
        <f>SUM(T15:T18)</f>
        <v>43.369717998733627</v>
      </c>
      <c r="E76" s="198">
        <f>'Concrete Substructure'!F16</f>
        <v>2</v>
      </c>
      <c r="F76" s="198">
        <f t="shared" si="324"/>
        <v>86.739435997467254</v>
      </c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</row>
    <row r="77" spans="2:43" x14ac:dyDescent="0.25">
      <c r="B77" s="178"/>
      <c r="C77" s="204" t="s">
        <v>420</v>
      </c>
      <c r="D77" s="198">
        <f>SUM(T19:T22)</f>
        <v>95.48440472392636</v>
      </c>
      <c r="E77" s="198">
        <f>'Concrete Substructure'!F17</f>
        <v>3</v>
      </c>
      <c r="F77" s="198">
        <f t="shared" si="324"/>
        <v>286.45321417177911</v>
      </c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</row>
    <row r="78" spans="2:43" x14ac:dyDescent="0.25">
      <c r="B78" s="178"/>
      <c r="C78" s="204" t="s">
        <v>421</v>
      </c>
      <c r="D78" s="198">
        <f>SUM(T23:T26)</f>
        <v>105.5167038720469</v>
      </c>
      <c r="E78" s="198">
        <f>'Concrete Substructure'!F18</f>
        <v>4</v>
      </c>
      <c r="F78" s="198">
        <f t="shared" si="324"/>
        <v>422.06681548818761</v>
      </c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2:43" x14ac:dyDescent="0.25">
      <c r="B79" s="178"/>
      <c r="C79" s="204" t="s">
        <v>422</v>
      </c>
      <c r="D79" s="198">
        <f>SUM(T27:T30)</f>
        <v>163.3725883398219</v>
      </c>
      <c r="E79" s="198">
        <f>'Concrete Substructure'!F19</f>
        <v>4</v>
      </c>
      <c r="F79" s="198">
        <f t="shared" si="324"/>
        <v>653.49035335928761</v>
      </c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</row>
    <row r="80" spans="2:43" x14ac:dyDescent="0.25">
      <c r="B80" s="178"/>
      <c r="C80" s="204" t="s">
        <v>423</v>
      </c>
      <c r="D80" s="198">
        <f>SUM(T31:T34)</f>
        <v>206.40197760639217</v>
      </c>
      <c r="E80" s="198">
        <v>4</v>
      </c>
      <c r="F80" s="198">
        <f t="shared" si="324"/>
        <v>825.60791042556866</v>
      </c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</row>
    <row r="81" spans="2:20" x14ac:dyDescent="0.25">
      <c r="B81" s="178"/>
      <c r="C81" s="204" t="s">
        <v>145</v>
      </c>
      <c r="D81" s="198">
        <f>SUM(T35:T38)</f>
        <v>98.769316834372887</v>
      </c>
      <c r="E81" s="198">
        <f>'Concrete Substructure'!F21</f>
        <v>1</v>
      </c>
      <c r="F81" s="198">
        <f t="shared" si="324"/>
        <v>98.769316834372887</v>
      </c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</row>
    <row r="82" spans="2:20" x14ac:dyDescent="0.25">
      <c r="B82" s="178"/>
      <c r="C82" s="204" t="s">
        <v>146</v>
      </c>
      <c r="D82" s="198">
        <f>SUM(T39:T42)</f>
        <v>166.86465706984617</v>
      </c>
      <c r="E82" s="198">
        <f>'Concrete Substructure'!F22</f>
        <v>2</v>
      </c>
      <c r="F82" s="198">
        <f t="shared" si="324"/>
        <v>333.72931413969235</v>
      </c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</row>
    <row r="83" spans="2:20" x14ac:dyDescent="0.25">
      <c r="B83" s="178"/>
      <c r="C83" s="204" t="s">
        <v>428</v>
      </c>
      <c r="D83" s="198">
        <f>SUM(T43:T46)</f>
        <v>633.53426567330132</v>
      </c>
      <c r="E83" s="198">
        <v>1</v>
      </c>
      <c r="F83" s="198">
        <f t="shared" si="324"/>
        <v>633.53426567330132</v>
      </c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</row>
    <row r="84" spans="2:20" x14ac:dyDescent="0.25">
      <c r="B84" s="178"/>
      <c r="C84" s="204" t="s">
        <v>65</v>
      </c>
      <c r="D84" s="198">
        <f>SUM(T47:T50)</f>
        <v>28.676394910114556</v>
      </c>
      <c r="E84" s="198">
        <f>'Concrete Substructure'!F24</f>
        <v>37</v>
      </c>
      <c r="F84" s="198">
        <f t="shared" si="324"/>
        <v>1061.0266116742387</v>
      </c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</row>
    <row r="85" spans="2:20" x14ac:dyDescent="0.25">
      <c r="B85" s="178"/>
      <c r="C85" s="204" t="s">
        <v>147</v>
      </c>
      <c r="D85" s="198">
        <f>SUM(T51:T54)</f>
        <v>24.503668715763517</v>
      </c>
      <c r="E85" s="198">
        <f>'Concrete Substructure'!F25</f>
        <v>3</v>
      </c>
      <c r="F85" s="198">
        <f t="shared" si="324"/>
        <v>73.511006147290544</v>
      </c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</row>
    <row r="86" spans="2:20" x14ac:dyDescent="0.25">
      <c r="B86" s="178"/>
      <c r="C86" s="204" t="s">
        <v>149</v>
      </c>
      <c r="D86" s="198">
        <f>V58</f>
        <v>2487.2973537540684</v>
      </c>
      <c r="E86" s="198">
        <v>1</v>
      </c>
      <c r="F86" s="198">
        <f>D86*E86</f>
        <v>2487.2973537540684</v>
      </c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</row>
    <row r="87" spans="2:20" x14ac:dyDescent="0.25">
      <c r="B87" s="178"/>
      <c r="C87" s="204" t="s">
        <v>150</v>
      </c>
      <c r="D87" s="198">
        <f>V64</f>
        <v>3369.2983358257134</v>
      </c>
      <c r="E87" s="198">
        <v>1</v>
      </c>
      <c r="F87" s="198">
        <f t="shared" si="324"/>
        <v>3369.2983358257134</v>
      </c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</row>
    <row r="88" spans="2:20" x14ac:dyDescent="0.25">
      <c r="B88" s="178"/>
      <c r="C88" s="212" t="s">
        <v>57</v>
      </c>
      <c r="D88" s="210"/>
      <c r="E88" s="210"/>
      <c r="F88" s="214">
        <f>SUM(F74:F85)</f>
        <v>4690.4007220748017</v>
      </c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 spans="2:20" x14ac:dyDescent="0.25">
      <c r="B89" s="178"/>
      <c r="C89" s="213" t="s">
        <v>251</v>
      </c>
      <c r="D89" s="211"/>
      <c r="E89" s="211"/>
      <c r="F89" s="215">
        <f>SUM(F86:F87)</f>
        <v>5856.5956895797817</v>
      </c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 spans="2:20" x14ac:dyDescent="0.25">
      <c r="B90" s="178"/>
      <c r="C90" s="199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 spans="2:20" x14ac:dyDescent="0.25">
      <c r="B91" s="178"/>
      <c r="C91" s="199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</row>
    <row r="92" spans="2:20" x14ac:dyDescent="0.25">
      <c r="B92" s="178"/>
      <c r="C92" s="199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</row>
  </sheetData>
  <mergeCells count="82">
    <mergeCell ref="C60:C69"/>
    <mergeCell ref="B60:B69"/>
    <mergeCell ref="C55:C59"/>
    <mergeCell ref="B55:B59"/>
    <mergeCell ref="CJ9:CK9"/>
    <mergeCell ref="BP34:BP39"/>
    <mergeCell ref="BO34:BO39"/>
    <mergeCell ref="BO40:BO42"/>
    <mergeCell ref="BP40:BP42"/>
    <mergeCell ref="BO44:BP44"/>
    <mergeCell ref="BP26:BP28"/>
    <mergeCell ref="BO30:BO32"/>
    <mergeCell ref="BP30:BP32"/>
    <mergeCell ref="BO22:BO24"/>
    <mergeCell ref="BP22:BP24"/>
    <mergeCell ref="BO26:BO28"/>
    <mergeCell ref="DE2:DF2"/>
    <mergeCell ref="DE16:DF16"/>
    <mergeCell ref="DY2:DZ2"/>
    <mergeCell ref="DY16:DZ16"/>
    <mergeCell ref="CJ2:CK2"/>
    <mergeCell ref="BO2:BP2"/>
    <mergeCell ref="BO14:BO16"/>
    <mergeCell ref="BP14:BP16"/>
    <mergeCell ref="BO18:BO20"/>
    <mergeCell ref="BP18:BP20"/>
    <mergeCell ref="AT3:AU3"/>
    <mergeCell ref="Z26:Z28"/>
    <mergeCell ref="Y26:Y28"/>
    <mergeCell ref="Z23:Z25"/>
    <mergeCell ref="Y23:Y25"/>
    <mergeCell ref="Z20:Z22"/>
    <mergeCell ref="Y20:Y22"/>
    <mergeCell ref="Z17:Z19"/>
    <mergeCell ref="AU25:AV25"/>
    <mergeCell ref="Y14:Y16"/>
    <mergeCell ref="Z11:Z13"/>
    <mergeCell ref="Y11:Y13"/>
    <mergeCell ref="Y17:Y19"/>
    <mergeCell ref="Z14:Z16"/>
    <mergeCell ref="Z47:AA47"/>
    <mergeCell ref="Z7:Z8"/>
    <mergeCell ref="Y7:Y8"/>
    <mergeCell ref="Z9:Z10"/>
    <mergeCell ref="Y9:Y10"/>
    <mergeCell ref="Z29:Z32"/>
    <mergeCell ref="Y29:Y32"/>
    <mergeCell ref="Y42:Y44"/>
    <mergeCell ref="Z42:Z44"/>
    <mergeCell ref="Y40:Y41"/>
    <mergeCell ref="Z40:Z41"/>
    <mergeCell ref="Z37:Z39"/>
    <mergeCell ref="Y37:Y39"/>
    <mergeCell ref="Z33:Z36"/>
    <mergeCell ref="Y33:Y36"/>
    <mergeCell ref="C72:D72"/>
    <mergeCell ref="Y3:Z3"/>
    <mergeCell ref="B3:C3"/>
    <mergeCell ref="C51:C54"/>
    <mergeCell ref="B51:B54"/>
    <mergeCell ref="B43:B46"/>
    <mergeCell ref="C43:C46"/>
    <mergeCell ref="C39:C42"/>
    <mergeCell ref="B39:B42"/>
    <mergeCell ref="C47:C50"/>
    <mergeCell ref="B47:B50"/>
    <mergeCell ref="C27:C30"/>
    <mergeCell ref="B27:B30"/>
    <mergeCell ref="C31:C34"/>
    <mergeCell ref="B7:B10"/>
    <mergeCell ref="C7:C10"/>
    <mergeCell ref="C11:C14"/>
    <mergeCell ref="B11:B14"/>
    <mergeCell ref="C35:C38"/>
    <mergeCell ref="B35:B38"/>
    <mergeCell ref="C23:C26"/>
    <mergeCell ref="B23:B26"/>
    <mergeCell ref="C15:C18"/>
    <mergeCell ref="B15:B18"/>
    <mergeCell ref="C19:C22"/>
    <mergeCell ref="B19:B22"/>
    <mergeCell ref="B31:B34"/>
  </mergeCells>
  <phoneticPr fontId="1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3538-BDB6-4417-AD87-0D0C632FE279}">
  <sheetPr>
    <tabColor rgb="FFFFFF00"/>
  </sheetPr>
  <dimension ref="B1:DA168"/>
  <sheetViews>
    <sheetView tabSelected="1" topLeftCell="CE1" zoomScale="85" zoomScaleNormal="85" workbookViewId="0">
      <selection activeCell="CR26" sqref="CR26"/>
    </sheetView>
  </sheetViews>
  <sheetFormatPr defaultRowHeight="15" x14ac:dyDescent="0.25"/>
  <cols>
    <col min="5" max="5" width="18.7109375" style="205" customWidth="1"/>
    <col min="6" max="6" width="27.5703125" customWidth="1"/>
    <col min="8" max="8" width="13" customWidth="1"/>
    <col min="18" max="18" width="11.140625" customWidth="1"/>
    <col min="19" max="19" width="12.7109375" customWidth="1"/>
    <col min="22" max="22" width="13.42578125" customWidth="1"/>
    <col min="26" max="26" width="18.7109375" style="205" customWidth="1"/>
    <col min="27" max="27" width="27.5703125" customWidth="1"/>
    <col min="29" max="29" width="13" customWidth="1"/>
    <col min="39" max="39" width="11.140625" customWidth="1"/>
    <col min="40" max="40" width="12.7109375" customWidth="1"/>
    <col min="43" max="43" width="13.42578125" customWidth="1"/>
    <col min="46" max="46" width="19.85546875" style="178" customWidth="1"/>
    <col min="47" max="47" width="24.5703125" style="178" customWidth="1"/>
    <col min="48" max="48" width="30.5703125" style="178" customWidth="1"/>
    <col min="49" max="49" width="12.42578125" style="178" customWidth="1"/>
    <col min="50" max="50" width="16" style="178" customWidth="1"/>
    <col min="51" max="54" width="9.140625" style="178"/>
    <col min="55" max="55" width="11.7109375" style="178" customWidth="1"/>
    <col min="56" max="56" width="9.28515625" style="178" bestFit="1" customWidth="1"/>
    <col min="57" max="60" width="9.140625" style="178"/>
    <col min="61" max="61" width="14.7109375" style="178" customWidth="1"/>
    <col min="62" max="62" width="15" style="178" customWidth="1"/>
    <col min="63" max="63" width="12.140625" style="178" customWidth="1"/>
    <col min="64" max="64" width="15.42578125" style="178" customWidth="1"/>
    <col min="67" max="67" width="19.85546875" style="178" customWidth="1"/>
    <col min="68" max="68" width="24.5703125" style="178" customWidth="1"/>
    <col min="69" max="69" width="30.5703125" style="178" customWidth="1"/>
    <col min="70" max="70" width="12.42578125" style="178" customWidth="1"/>
    <col min="71" max="71" width="16" style="178" customWidth="1"/>
    <col min="72" max="75" width="9.140625" style="178"/>
    <col min="76" max="76" width="11.7109375" style="178" customWidth="1"/>
    <col min="77" max="77" width="9.28515625" style="178" bestFit="1" customWidth="1"/>
    <col min="78" max="81" width="9.140625" style="178"/>
    <col min="82" max="82" width="14.7109375" style="178" customWidth="1"/>
    <col min="83" max="83" width="15" style="178" customWidth="1"/>
    <col min="84" max="84" width="12.140625" style="178" customWidth="1"/>
    <col min="85" max="85" width="15.42578125" style="178" customWidth="1"/>
    <col min="87" max="87" width="27.140625" style="178" customWidth="1"/>
    <col min="88" max="88" width="24.5703125" style="178" customWidth="1"/>
    <col min="89" max="89" width="30.5703125" style="178" customWidth="1"/>
    <col min="90" max="90" width="16.140625" style="178" customWidth="1"/>
    <col min="91" max="91" width="16" style="178" customWidth="1"/>
    <col min="92" max="95" width="9.140625" style="178"/>
    <col min="96" max="96" width="11.7109375" style="178" customWidth="1"/>
    <col min="97" max="97" width="9.28515625" style="178" bestFit="1" customWidth="1"/>
    <col min="98" max="101" width="9.140625" style="178"/>
    <col min="102" max="102" width="14.7109375" style="178" customWidth="1"/>
    <col min="103" max="103" width="15" style="178" customWidth="1"/>
    <col min="104" max="104" width="12.140625" style="178" customWidth="1"/>
    <col min="105" max="105" width="15.42578125" style="178" customWidth="1"/>
  </cols>
  <sheetData>
    <row r="1" spans="2:105" x14ac:dyDescent="0.25">
      <c r="AW1" s="179"/>
      <c r="BR1" s="179"/>
      <c r="CL1" s="179"/>
    </row>
    <row r="2" spans="2:105" ht="26.25" x14ac:dyDescent="0.4">
      <c r="B2" s="178"/>
      <c r="D2" s="178"/>
      <c r="E2" s="199"/>
      <c r="F2" s="178"/>
      <c r="G2" s="179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Y2" s="178"/>
      <c r="Z2" s="199"/>
      <c r="AA2" s="178"/>
      <c r="AB2" s="179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T2" s="284" t="s">
        <v>497</v>
      </c>
      <c r="AU2" s="284"/>
      <c r="AW2" s="179"/>
      <c r="BO2" s="284" t="s">
        <v>470</v>
      </c>
      <c r="BP2" s="284"/>
      <c r="BR2" s="179"/>
      <c r="CI2" s="284" t="s">
        <v>230</v>
      </c>
      <c r="CJ2" s="284"/>
      <c r="CL2" s="179"/>
    </row>
    <row r="3" spans="2:105" ht="27" thickBot="1" x14ac:dyDescent="0.45">
      <c r="B3" s="178"/>
      <c r="D3" s="284" t="s">
        <v>495</v>
      </c>
      <c r="E3" s="284"/>
      <c r="F3" s="178"/>
      <c r="G3" s="179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Y3" s="284" t="s">
        <v>316</v>
      </c>
      <c r="Z3" s="284"/>
      <c r="AA3" s="178"/>
      <c r="AB3" s="179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W3" s="179"/>
      <c r="AX3" s="221"/>
      <c r="BR3" s="179"/>
      <c r="BS3" s="221"/>
      <c r="CL3" s="179"/>
      <c r="CM3" s="221"/>
    </row>
    <row r="4" spans="2:105" ht="16.5" thickBot="1" x14ac:dyDescent="0.3">
      <c r="B4" s="178"/>
      <c r="D4" s="178"/>
      <c r="E4" s="199"/>
      <c r="F4" s="178"/>
      <c r="G4" s="179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Y4" s="178"/>
      <c r="Z4" s="199"/>
      <c r="AA4" s="178"/>
      <c r="AB4" s="179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T4" s="180" t="s">
        <v>396</v>
      </c>
      <c r="AU4" s="181"/>
      <c r="AX4" s="182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O4" s="180" t="s">
        <v>396</v>
      </c>
      <c r="BP4" s="181"/>
      <c r="BS4" s="182"/>
      <c r="BT4" s="179"/>
      <c r="BU4" s="179"/>
      <c r="BV4" s="179"/>
      <c r="BW4" s="179"/>
      <c r="BX4" s="179"/>
      <c r="BY4" s="179"/>
      <c r="BZ4" s="179"/>
      <c r="CA4" s="179"/>
      <c r="CB4" s="179"/>
      <c r="CC4" s="179"/>
      <c r="CD4" s="179"/>
      <c r="CE4" s="179"/>
      <c r="CI4" s="180" t="s">
        <v>396</v>
      </c>
      <c r="CJ4" s="181" t="s">
        <v>477</v>
      </c>
      <c r="CM4" s="182"/>
      <c r="CN4" s="179"/>
      <c r="CO4" s="179"/>
      <c r="CP4" s="179"/>
      <c r="CQ4" s="179"/>
      <c r="CR4" s="179"/>
      <c r="CS4" s="179"/>
      <c r="CT4" s="179"/>
      <c r="CU4" s="179"/>
      <c r="CV4" s="179"/>
      <c r="CW4" s="179"/>
      <c r="CX4" s="179"/>
      <c r="CY4" s="179"/>
    </row>
    <row r="5" spans="2:105" ht="16.5" thickBot="1" x14ac:dyDescent="0.3">
      <c r="B5" s="178"/>
      <c r="D5" s="180" t="s">
        <v>396</v>
      </c>
      <c r="E5" s="200"/>
      <c r="F5" s="178"/>
      <c r="G5" s="178"/>
      <c r="H5" s="182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8"/>
      <c r="V5" s="178"/>
      <c r="Y5" s="180" t="s">
        <v>396</v>
      </c>
      <c r="Z5" s="200"/>
      <c r="AA5" s="178"/>
      <c r="AB5" s="178"/>
      <c r="AC5" s="182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8"/>
      <c r="AQ5" s="178"/>
      <c r="AT5" s="183" t="s">
        <v>397</v>
      </c>
      <c r="AU5" s="183" t="s">
        <v>398</v>
      </c>
      <c r="AV5" s="183" t="s">
        <v>399</v>
      </c>
      <c r="AW5" s="183" t="s">
        <v>400</v>
      </c>
      <c r="AX5" s="183" t="s">
        <v>401</v>
      </c>
      <c r="AY5" s="184" t="s">
        <v>169</v>
      </c>
      <c r="AZ5" s="184" t="s">
        <v>403</v>
      </c>
      <c r="BA5" s="184" t="s">
        <v>402</v>
      </c>
      <c r="BB5" s="184" t="s">
        <v>405</v>
      </c>
      <c r="BC5" s="184" t="s">
        <v>406</v>
      </c>
      <c r="BD5" s="184" t="s">
        <v>407</v>
      </c>
      <c r="BE5" s="184" t="s">
        <v>408</v>
      </c>
      <c r="BF5" s="184" t="s">
        <v>409</v>
      </c>
      <c r="BG5" s="184" t="s">
        <v>410</v>
      </c>
      <c r="BH5" s="184" t="s">
        <v>411</v>
      </c>
      <c r="BI5" s="184" t="s">
        <v>412</v>
      </c>
      <c r="BJ5" s="185" t="s">
        <v>413</v>
      </c>
      <c r="BK5" s="183" t="s">
        <v>414</v>
      </c>
      <c r="BL5" s="186" t="s">
        <v>415</v>
      </c>
      <c r="BO5" s="183" t="s">
        <v>397</v>
      </c>
      <c r="BP5" s="183" t="s">
        <v>398</v>
      </c>
      <c r="BQ5" s="183" t="s">
        <v>399</v>
      </c>
      <c r="BR5" s="183" t="s">
        <v>400</v>
      </c>
      <c r="BS5" s="183" t="s">
        <v>401</v>
      </c>
      <c r="BT5" s="184" t="s">
        <v>468</v>
      </c>
      <c r="BU5" s="184" t="s">
        <v>403</v>
      </c>
      <c r="BV5" s="184" t="s">
        <v>402</v>
      </c>
      <c r="BW5" s="184" t="s">
        <v>405</v>
      </c>
      <c r="BX5" s="184" t="s">
        <v>406</v>
      </c>
      <c r="BY5" s="184" t="s">
        <v>407</v>
      </c>
      <c r="BZ5" s="184" t="s">
        <v>408</v>
      </c>
      <c r="CA5" s="184" t="s">
        <v>409</v>
      </c>
      <c r="CB5" s="184" t="s">
        <v>410</v>
      </c>
      <c r="CC5" s="184" t="s">
        <v>411</v>
      </c>
      <c r="CD5" s="184" t="s">
        <v>412</v>
      </c>
      <c r="CE5" s="185" t="s">
        <v>413</v>
      </c>
      <c r="CF5" s="183" t="s">
        <v>414</v>
      </c>
      <c r="CG5" s="186" t="s">
        <v>415</v>
      </c>
      <c r="CI5" s="183" t="s">
        <v>397</v>
      </c>
      <c r="CJ5" s="183" t="s">
        <v>398</v>
      </c>
      <c r="CK5" s="183" t="s">
        <v>399</v>
      </c>
      <c r="CL5" s="183" t="s">
        <v>400</v>
      </c>
      <c r="CM5" s="183" t="s">
        <v>401</v>
      </c>
      <c r="CN5" s="184" t="s">
        <v>468</v>
      </c>
      <c r="CO5" s="184" t="s">
        <v>403</v>
      </c>
      <c r="CP5" s="184" t="s">
        <v>402</v>
      </c>
      <c r="CQ5" s="184" t="s">
        <v>405</v>
      </c>
      <c r="CR5" s="184" t="s">
        <v>406</v>
      </c>
      <c r="CS5" s="184" t="s">
        <v>407</v>
      </c>
      <c r="CT5" s="184" t="s">
        <v>408</v>
      </c>
      <c r="CU5" s="184" t="s">
        <v>409</v>
      </c>
      <c r="CV5" s="184" t="s">
        <v>410</v>
      </c>
      <c r="CW5" s="184" t="s">
        <v>411</v>
      </c>
      <c r="CX5" s="184" t="s">
        <v>412</v>
      </c>
      <c r="CY5" s="185" t="s">
        <v>413</v>
      </c>
      <c r="CZ5" s="183" t="s">
        <v>414</v>
      </c>
      <c r="DA5" s="186" t="s">
        <v>415</v>
      </c>
    </row>
    <row r="6" spans="2:105" x14ac:dyDescent="0.25">
      <c r="B6" s="178"/>
      <c r="D6" s="183" t="s">
        <v>397</v>
      </c>
      <c r="E6" s="201" t="s">
        <v>398</v>
      </c>
      <c r="F6" s="183" t="s">
        <v>399</v>
      </c>
      <c r="G6" s="183" t="s">
        <v>400</v>
      </c>
      <c r="H6" s="183" t="s">
        <v>401</v>
      </c>
      <c r="I6" s="184" t="s">
        <v>402</v>
      </c>
      <c r="J6" s="184" t="s">
        <v>403</v>
      </c>
      <c r="K6" s="184" t="s">
        <v>441</v>
      </c>
      <c r="L6" s="184" t="s">
        <v>405</v>
      </c>
      <c r="M6" s="184" t="s">
        <v>406</v>
      </c>
      <c r="N6" s="184" t="s">
        <v>407</v>
      </c>
      <c r="O6" s="184" t="s">
        <v>408</v>
      </c>
      <c r="P6" s="184" t="s">
        <v>409</v>
      </c>
      <c r="Q6" s="184" t="s">
        <v>410</v>
      </c>
      <c r="R6" s="184" t="s">
        <v>411</v>
      </c>
      <c r="S6" s="184" t="s">
        <v>412</v>
      </c>
      <c r="T6" s="185" t="s">
        <v>413</v>
      </c>
      <c r="U6" s="183" t="s">
        <v>414</v>
      </c>
      <c r="V6" s="186" t="s">
        <v>415</v>
      </c>
      <c r="Y6" s="183" t="s">
        <v>397</v>
      </c>
      <c r="Z6" s="201" t="s">
        <v>398</v>
      </c>
      <c r="AA6" s="183" t="s">
        <v>399</v>
      </c>
      <c r="AB6" s="183" t="s">
        <v>400</v>
      </c>
      <c r="AC6" s="183" t="s">
        <v>401</v>
      </c>
      <c r="AD6" s="184" t="s">
        <v>402</v>
      </c>
      <c r="AE6" s="184" t="s">
        <v>403</v>
      </c>
      <c r="AF6" s="184" t="s">
        <v>441</v>
      </c>
      <c r="AG6" s="184" t="s">
        <v>405</v>
      </c>
      <c r="AH6" s="184" t="s">
        <v>406</v>
      </c>
      <c r="AI6" s="184" t="s">
        <v>407</v>
      </c>
      <c r="AJ6" s="184" t="s">
        <v>408</v>
      </c>
      <c r="AK6" s="184" t="s">
        <v>409</v>
      </c>
      <c r="AL6" s="184" t="s">
        <v>410</v>
      </c>
      <c r="AM6" s="184" t="s">
        <v>411</v>
      </c>
      <c r="AN6" s="184" t="s">
        <v>412</v>
      </c>
      <c r="AO6" s="185" t="s">
        <v>413</v>
      </c>
      <c r="AP6" s="183" t="s">
        <v>414</v>
      </c>
      <c r="AQ6" s="186" t="s">
        <v>415</v>
      </c>
      <c r="AT6" s="206" t="s">
        <v>455</v>
      </c>
      <c r="AU6" s="206" t="s">
        <v>253</v>
      </c>
      <c r="AV6" s="187" t="s">
        <v>451</v>
      </c>
      <c r="AW6" s="188">
        <v>16</v>
      </c>
      <c r="AX6" s="222">
        <v>0</v>
      </c>
      <c r="AY6" s="190">
        <v>0.4</v>
      </c>
      <c r="AZ6" s="190">
        <v>0.25</v>
      </c>
      <c r="BA6" s="190">
        <v>4.9000000000000004</v>
      </c>
      <c r="BB6" s="190">
        <v>4</v>
      </c>
      <c r="BC6" s="190">
        <v>1</v>
      </c>
      <c r="BD6" s="190">
        <f>BA6</f>
        <v>4.9000000000000004</v>
      </c>
      <c r="BE6" s="190"/>
      <c r="BF6" s="190"/>
      <c r="BG6" s="190"/>
      <c r="BH6" s="190"/>
      <c r="BI6" s="190">
        <f>SUM(BD6:BH6)</f>
        <v>4.9000000000000004</v>
      </c>
      <c r="BJ6" s="190">
        <f t="shared" ref="BJ6" si="0">BB6*BI6*BC6</f>
        <v>19.600000000000001</v>
      </c>
      <c r="BK6" s="190">
        <f t="shared" ref="BK6:BK42" si="1">PI()*(AW6/1000)^2*0.25*1*7850</f>
        <v>1.5783361491635119</v>
      </c>
      <c r="BL6" s="190">
        <f>BJ6*BK6</f>
        <v>30.935388523604836</v>
      </c>
      <c r="BO6" s="206"/>
      <c r="BP6" s="206" t="s">
        <v>109</v>
      </c>
      <c r="BQ6" s="187" t="s">
        <v>469</v>
      </c>
      <c r="BR6" s="188">
        <v>20</v>
      </c>
      <c r="BS6" s="189">
        <v>150</v>
      </c>
      <c r="BT6" s="190">
        <f>K7</f>
        <v>4.5</v>
      </c>
      <c r="BU6" s="190">
        <v>0.25</v>
      </c>
      <c r="BV6" s="190">
        <v>2.35</v>
      </c>
      <c r="BW6" s="190">
        <v>16</v>
      </c>
      <c r="BX6" s="190">
        <v>2</v>
      </c>
      <c r="BY6" s="190">
        <f>BT6</f>
        <v>4.5</v>
      </c>
      <c r="BZ6" s="190">
        <v>0.8</v>
      </c>
      <c r="CA6" s="190"/>
      <c r="CB6" s="190"/>
      <c r="CC6" s="190"/>
      <c r="CD6" s="190">
        <f t="shared" ref="CD6:CD14" si="2">SUM(BY6:CC6)</f>
        <v>5.3</v>
      </c>
      <c r="CE6" s="190">
        <f t="shared" ref="CE6:CE14" si="3">BW6*CD6*BX6</f>
        <v>169.6</v>
      </c>
      <c r="CF6" s="190">
        <f t="shared" ref="CF6:CF14" si="4">PI()*(BR6/1000)^2*0.25*1*7850</f>
        <v>2.4661502330679874</v>
      </c>
      <c r="CG6" s="190">
        <f>CE6*CF6</f>
        <v>418.25907952833063</v>
      </c>
      <c r="CI6" s="206"/>
      <c r="CJ6" s="206" t="s">
        <v>381</v>
      </c>
      <c r="CK6" s="187" t="s">
        <v>489</v>
      </c>
      <c r="CL6" s="188">
        <v>12</v>
      </c>
      <c r="CM6" s="189">
        <v>200</v>
      </c>
      <c r="CN6" s="190"/>
      <c r="CO6" s="190">
        <v>7</v>
      </c>
      <c r="CP6" s="190">
        <v>9.5</v>
      </c>
      <c r="CQ6" s="190">
        <f>ROUND((CO6/(CM6/1000))+1,0)</f>
        <v>36</v>
      </c>
      <c r="CR6" s="190">
        <v>1</v>
      </c>
      <c r="CS6" s="190">
        <v>0.6</v>
      </c>
      <c r="CT6" s="190">
        <f>CP7</f>
        <v>9.5</v>
      </c>
      <c r="CU6" s="190">
        <v>0.2</v>
      </c>
      <c r="CV6" s="190"/>
      <c r="CW6" s="190"/>
      <c r="CX6" s="190">
        <f>SUM(CS6:CW6)</f>
        <v>10.299999999999999</v>
      </c>
      <c r="CY6" s="190">
        <f>CQ6*CX6*CR6</f>
        <v>370.79999999999995</v>
      </c>
      <c r="CZ6" s="190">
        <f t="shared" ref="CZ6:CZ7" si="5">PI()*(CL6/1000)^2*0.25*1*7850</f>
        <v>0.88781408390447547</v>
      </c>
      <c r="DA6" s="190">
        <f>CY6*CZ6</f>
        <v>329.20146231177944</v>
      </c>
    </row>
    <row r="7" spans="2:105" x14ac:dyDescent="0.25">
      <c r="B7" s="178"/>
      <c r="D7" s="282" t="s">
        <v>181</v>
      </c>
      <c r="E7" s="282" t="s">
        <v>109</v>
      </c>
      <c r="F7" s="187" t="s">
        <v>437</v>
      </c>
      <c r="G7" s="188">
        <v>16</v>
      </c>
      <c r="H7" s="189" t="s">
        <v>440</v>
      </c>
      <c r="I7" s="190">
        <v>0.4</v>
      </c>
      <c r="J7" s="190">
        <v>0.25</v>
      </c>
      <c r="K7" s="190">
        <v>4.5</v>
      </c>
      <c r="L7" s="190">
        <v>6</v>
      </c>
      <c r="M7" s="190">
        <v>1</v>
      </c>
      <c r="N7" s="190">
        <f>K7</f>
        <v>4.5</v>
      </c>
      <c r="O7" s="190">
        <v>0.6</v>
      </c>
      <c r="P7" s="190"/>
      <c r="Q7" s="190"/>
      <c r="R7" s="190"/>
      <c r="S7" s="190">
        <f t="shared" ref="S7:S12" si="6">SUM(N7:R7)</f>
        <v>5.0999999999999996</v>
      </c>
      <c r="T7" s="190">
        <f>L7*S7*M7</f>
        <v>30.599999999999998</v>
      </c>
      <c r="U7" s="190">
        <f t="shared" ref="U7:U44" si="7">PI()*(G7/1000)^2*0.25*1*7850</f>
        <v>1.5783361491635119</v>
      </c>
      <c r="V7" s="190">
        <f>T7*U7</f>
        <v>48.29708616440346</v>
      </c>
      <c r="Y7" s="206" t="s">
        <v>195</v>
      </c>
      <c r="Z7" s="206" t="s">
        <v>109</v>
      </c>
      <c r="AA7" s="187" t="s">
        <v>444</v>
      </c>
      <c r="AB7" s="188">
        <v>20</v>
      </c>
      <c r="AC7" s="189" t="s">
        <v>440</v>
      </c>
      <c r="AD7" s="190"/>
      <c r="AE7" s="190"/>
      <c r="AF7" s="190">
        <f>K7</f>
        <v>4.5</v>
      </c>
      <c r="AG7" s="190">
        <v>12</v>
      </c>
      <c r="AH7" s="190">
        <v>2</v>
      </c>
      <c r="AI7" s="190">
        <f>AF7</f>
        <v>4.5</v>
      </c>
      <c r="AJ7" s="190">
        <f>16*(AB7/1000)</f>
        <v>0.32</v>
      </c>
      <c r="AK7" s="190"/>
      <c r="AL7" s="190"/>
      <c r="AM7" s="190"/>
      <c r="AN7" s="190">
        <f>SUM(AI7:AM7)</f>
        <v>4.82</v>
      </c>
      <c r="AO7" s="190">
        <f>AG7*AN7*AH7</f>
        <v>115.68</v>
      </c>
      <c r="AP7" s="190">
        <f t="shared" ref="AP7:AP22" si="8">PI()*(AB7/1000)^2*0.25*1*7850</f>
        <v>2.4661502330679874</v>
      </c>
      <c r="AQ7" s="190">
        <f>AO7*AP7</f>
        <v>285.28425896130483</v>
      </c>
      <c r="AT7" s="206"/>
      <c r="AU7" s="206"/>
      <c r="AV7" s="187" t="s">
        <v>452</v>
      </c>
      <c r="AW7" s="188">
        <v>16</v>
      </c>
      <c r="AX7" s="222">
        <v>0</v>
      </c>
      <c r="AY7" s="190">
        <v>0.4</v>
      </c>
      <c r="AZ7" s="190">
        <v>0.25</v>
      </c>
      <c r="BA7" s="190">
        <v>4.9000000000000004</v>
      </c>
      <c r="BB7" s="190">
        <v>6</v>
      </c>
      <c r="BC7" s="190">
        <v>1</v>
      </c>
      <c r="BD7" s="190">
        <f>BA7</f>
        <v>4.9000000000000004</v>
      </c>
      <c r="BE7" s="190"/>
      <c r="BF7" s="190"/>
      <c r="BG7" s="190"/>
      <c r="BH7" s="190"/>
      <c r="BI7" s="190">
        <f t="shared" ref="BI7" si="9">SUM(BD7:BH7)</f>
        <v>4.9000000000000004</v>
      </c>
      <c r="BJ7" s="190">
        <f>BB7*BI7*BC7</f>
        <v>29.400000000000002</v>
      </c>
      <c r="BK7" s="190">
        <f t="shared" si="1"/>
        <v>1.5783361491635119</v>
      </c>
      <c r="BL7" s="190">
        <f t="shared" ref="BL7:BL9" si="10">BJ7*BK7</f>
        <v>46.403082785407257</v>
      </c>
      <c r="BO7" s="206"/>
      <c r="BP7" s="206"/>
      <c r="BQ7" s="187" t="s">
        <v>469</v>
      </c>
      <c r="BR7" s="188">
        <v>20</v>
      </c>
      <c r="BS7" s="189">
        <v>150</v>
      </c>
      <c r="BT7" s="190">
        <f>BT6</f>
        <v>4.5</v>
      </c>
      <c r="BU7" s="190"/>
      <c r="BV7" s="190">
        <v>37.200000000000003</v>
      </c>
      <c r="BW7" s="190">
        <v>24</v>
      </c>
      <c r="BX7" s="190">
        <v>2</v>
      </c>
      <c r="BY7" s="190">
        <f t="shared" ref="BY7:BY8" si="11">BT7</f>
        <v>4.5</v>
      </c>
      <c r="BZ7" s="190">
        <f t="shared" ref="BZ7:BZ9" si="12">BZ6</f>
        <v>0.8</v>
      </c>
      <c r="CA7" s="190"/>
      <c r="CB7" s="190"/>
      <c r="CC7" s="190"/>
      <c r="CD7" s="190">
        <f t="shared" si="2"/>
        <v>5.3</v>
      </c>
      <c r="CE7" s="190">
        <f t="shared" si="3"/>
        <v>254.39999999999998</v>
      </c>
      <c r="CF7" s="190">
        <f t="shared" si="4"/>
        <v>2.4661502330679874</v>
      </c>
      <c r="CG7" s="190">
        <f t="shared" ref="CG7:CG9" si="13">CE7*CF7</f>
        <v>627.38861929249595</v>
      </c>
      <c r="CI7" s="206"/>
      <c r="CJ7" s="206"/>
      <c r="CK7" s="187" t="s">
        <v>490</v>
      </c>
      <c r="CL7" s="188">
        <v>12</v>
      </c>
      <c r="CM7" s="189">
        <v>200</v>
      </c>
      <c r="CN7" s="190"/>
      <c r="CO7" s="190">
        <v>7</v>
      </c>
      <c r="CP7" s="190">
        <v>9.5</v>
      </c>
      <c r="CQ7" s="190">
        <f>ROUND((CP7/(CM7/1000))+1,0)</f>
        <v>49</v>
      </c>
      <c r="CR7" s="190">
        <v>1</v>
      </c>
      <c r="CS7" s="190">
        <f>CS6</f>
        <v>0.6</v>
      </c>
      <c r="CT7" s="190">
        <f>CO6</f>
        <v>7</v>
      </c>
      <c r="CU7" s="190">
        <f>CU6</f>
        <v>0.2</v>
      </c>
      <c r="CV7" s="190"/>
      <c r="CW7" s="190"/>
      <c r="CX7" s="190">
        <f>SUM(CS7:CW7)</f>
        <v>7.8</v>
      </c>
      <c r="CY7" s="190">
        <f>CQ7*CX7*CR7</f>
        <v>382.2</v>
      </c>
      <c r="CZ7" s="190">
        <f t="shared" si="5"/>
        <v>0.88781408390447547</v>
      </c>
      <c r="DA7" s="190">
        <f>CY7*CZ7</f>
        <v>339.3225428682905</v>
      </c>
    </row>
    <row r="8" spans="2:105" x14ac:dyDescent="0.25">
      <c r="B8" s="178"/>
      <c r="D8" s="282"/>
      <c r="E8" s="282"/>
      <c r="F8" s="187" t="s">
        <v>438</v>
      </c>
      <c r="G8" s="188">
        <v>10</v>
      </c>
      <c r="H8" s="189">
        <v>200</v>
      </c>
      <c r="I8" s="190">
        <v>0.4</v>
      </c>
      <c r="J8" s="190">
        <v>0.25</v>
      </c>
      <c r="K8" s="190">
        <v>4.5</v>
      </c>
      <c r="L8" s="190">
        <f>ROUND((K8/(H8/1000))+1,0)</f>
        <v>24</v>
      </c>
      <c r="M8" s="190">
        <v>1</v>
      </c>
      <c r="N8" s="190">
        <f>I8-0.04*2</f>
        <v>0.32</v>
      </c>
      <c r="O8" s="190">
        <f>J8-0.04*2</f>
        <v>0.16999999999999998</v>
      </c>
      <c r="P8" s="190">
        <f t="shared" ref="P8" si="14">N8</f>
        <v>0.32</v>
      </c>
      <c r="Q8" s="190">
        <f>O8</f>
        <v>0.16999999999999998</v>
      </c>
      <c r="R8" s="190">
        <f>10*(G8/1000)</f>
        <v>0.1</v>
      </c>
      <c r="S8" s="190">
        <f t="shared" si="6"/>
        <v>1.08</v>
      </c>
      <c r="T8" s="190">
        <f>L8*S8*M8</f>
        <v>25.92</v>
      </c>
      <c r="U8" s="190">
        <f t="shared" si="7"/>
        <v>0.61653755826699685</v>
      </c>
      <c r="V8" s="190">
        <f t="shared" ref="V8" si="15">T8*U8</f>
        <v>15.980653510280559</v>
      </c>
      <c r="Y8" s="206"/>
      <c r="Z8" s="206"/>
      <c r="AA8" s="187" t="s">
        <v>445</v>
      </c>
      <c r="AB8" s="188">
        <v>16</v>
      </c>
      <c r="AC8" s="189">
        <v>200</v>
      </c>
      <c r="AD8" s="190"/>
      <c r="AE8" s="190"/>
      <c r="AF8" s="190">
        <f>AF7</f>
        <v>4.5</v>
      </c>
      <c r="AG8" s="190">
        <v>14</v>
      </c>
      <c r="AH8" s="190">
        <v>1</v>
      </c>
      <c r="AI8" s="190">
        <f>AF8</f>
        <v>4.5</v>
      </c>
      <c r="AJ8" s="190">
        <f>16*(AB8/1000)</f>
        <v>0.25600000000000001</v>
      </c>
      <c r="AK8" s="190"/>
      <c r="AL8" s="190"/>
      <c r="AM8" s="190"/>
      <c r="AN8" s="190">
        <f>SUM(AI8:AM8)</f>
        <v>4.7560000000000002</v>
      </c>
      <c r="AO8" s="190">
        <f>AG8*AN8*AH8</f>
        <v>66.584000000000003</v>
      </c>
      <c r="AP8" s="190">
        <f t="shared" si="8"/>
        <v>1.5783361491635119</v>
      </c>
      <c r="AQ8" s="190">
        <f t="shared" ref="AQ8:AQ12" si="16">AO8*AP8</f>
        <v>105.09193415590329</v>
      </c>
      <c r="AT8" s="206"/>
      <c r="AU8" s="206"/>
      <c r="AV8" s="187" t="s">
        <v>456</v>
      </c>
      <c r="AW8" s="188">
        <v>10</v>
      </c>
      <c r="AX8" s="189">
        <v>200</v>
      </c>
      <c r="AY8" s="190">
        <v>0.4</v>
      </c>
      <c r="AZ8" s="190">
        <v>0.25</v>
      </c>
      <c r="BA8" s="190">
        <v>4.9000000000000004</v>
      </c>
      <c r="BB8" s="190">
        <f>ROUND((BA8/(AX8/1000))+1,0)</f>
        <v>26</v>
      </c>
      <c r="BC8" s="190">
        <v>1</v>
      </c>
      <c r="BD8" s="190">
        <f>AY8-0.04*2</f>
        <v>0.32</v>
      </c>
      <c r="BE8" s="190">
        <f>AZ8-0.04*2</f>
        <v>0.16999999999999998</v>
      </c>
      <c r="BF8" s="190">
        <f>BD8</f>
        <v>0.32</v>
      </c>
      <c r="BG8" s="190">
        <f>BE8</f>
        <v>0.16999999999999998</v>
      </c>
      <c r="BH8" s="190">
        <f>(10*AW8)/1000</f>
        <v>0.1</v>
      </c>
      <c r="BI8" s="190">
        <f>SUM(BD8:BH8)</f>
        <v>1.08</v>
      </c>
      <c r="BJ8" s="190">
        <f>BB8*BI8*BC8</f>
        <v>28.080000000000002</v>
      </c>
      <c r="BK8" s="190">
        <f t="shared" si="1"/>
        <v>0.61653755826699685</v>
      </c>
      <c r="BL8" s="190">
        <f t="shared" si="10"/>
        <v>17.312374636137275</v>
      </c>
      <c r="BO8" s="206"/>
      <c r="BP8" s="206"/>
      <c r="BQ8" s="187" t="s">
        <v>469</v>
      </c>
      <c r="BR8" s="188">
        <v>12</v>
      </c>
      <c r="BS8" s="189">
        <v>200</v>
      </c>
      <c r="BT8" s="190">
        <f t="shared" ref="BT8:BT14" si="17">BT7</f>
        <v>4.5</v>
      </c>
      <c r="BU8" s="190"/>
      <c r="BV8" s="190">
        <v>37.200000000000003</v>
      </c>
      <c r="BW8" s="190">
        <v>16</v>
      </c>
      <c r="BX8" s="190">
        <v>1</v>
      </c>
      <c r="BY8" s="190">
        <f t="shared" si="11"/>
        <v>4.5</v>
      </c>
      <c r="BZ8" s="190">
        <f t="shared" si="12"/>
        <v>0.8</v>
      </c>
      <c r="CA8" s="190"/>
      <c r="CB8" s="190"/>
      <c r="CC8" s="190"/>
      <c r="CD8" s="190">
        <f t="shared" si="2"/>
        <v>5.3</v>
      </c>
      <c r="CE8" s="190">
        <f t="shared" si="3"/>
        <v>84.8</v>
      </c>
      <c r="CF8" s="190">
        <f t="shared" si="4"/>
        <v>0.88781408390447547</v>
      </c>
      <c r="CG8" s="190">
        <f t="shared" si="13"/>
        <v>75.286634315099519</v>
      </c>
      <c r="CI8" s="206"/>
      <c r="CJ8" s="206"/>
      <c r="CK8" s="187" t="s">
        <v>491</v>
      </c>
      <c r="CL8" s="188">
        <v>12</v>
      </c>
      <c r="CM8" s="189">
        <v>200</v>
      </c>
      <c r="CN8" s="190"/>
      <c r="CO8" s="190">
        <v>7</v>
      </c>
      <c r="CP8" s="190">
        <v>9.5</v>
      </c>
      <c r="CQ8" s="190">
        <f>ROUND((CO8/(CM8/1000))+1,0)</f>
        <v>36</v>
      </c>
      <c r="CR8" s="190">
        <v>1</v>
      </c>
      <c r="CS8" s="190">
        <f t="shared" ref="CS8:CS9" si="18">CS7</f>
        <v>0.6</v>
      </c>
      <c r="CT8" s="190">
        <f>CP9</f>
        <v>9.5</v>
      </c>
      <c r="CU8" s="190">
        <f t="shared" ref="CU8:CU9" si="19">CU7</f>
        <v>0.2</v>
      </c>
      <c r="CV8" s="190"/>
      <c r="CW8" s="190"/>
      <c r="CX8" s="190">
        <f>SUM(CS8:CW8)</f>
        <v>10.299999999999999</v>
      </c>
      <c r="CY8" s="190">
        <f>CQ8*CX8*CR8</f>
        <v>370.79999999999995</v>
      </c>
      <c r="CZ8" s="190">
        <f t="shared" ref="CZ8:CZ9" si="20">PI()*(CL8/1000)^2*0.25*1*7850</f>
        <v>0.88781408390447547</v>
      </c>
      <c r="DA8" s="190">
        <f>CY8*CZ8</f>
        <v>329.20146231177944</v>
      </c>
    </row>
    <row r="9" spans="2:105" x14ac:dyDescent="0.25">
      <c r="B9" s="178"/>
      <c r="D9" s="281" t="s">
        <v>190</v>
      </c>
      <c r="E9" s="281" t="s">
        <v>109</v>
      </c>
      <c r="F9" s="191" t="s">
        <v>437</v>
      </c>
      <c r="G9" s="192">
        <v>16</v>
      </c>
      <c r="H9" s="193" t="s">
        <v>440</v>
      </c>
      <c r="I9" s="194">
        <v>0.4</v>
      </c>
      <c r="J9" s="194">
        <v>0.25</v>
      </c>
      <c r="K9" s="194">
        <v>4.5</v>
      </c>
      <c r="L9" s="194">
        <v>6</v>
      </c>
      <c r="M9" s="194">
        <v>1</v>
      </c>
      <c r="N9" s="194">
        <f>K9</f>
        <v>4.5</v>
      </c>
      <c r="O9" s="194">
        <v>0.6</v>
      </c>
      <c r="P9" s="194"/>
      <c r="Q9" s="194"/>
      <c r="R9" s="194"/>
      <c r="S9" s="194">
        <f t="shared" si="6"/>
        <v>5.0999999999999996</v>
      </c>
      <c r="T9" s="194">
        <f t="shared" ref="T9:T10" si="21">L9*S9*M9</f>
        <v>30.599999999999998</v>
      </c>
      <c r="U9" s="194">
        <f t="shared" si="7"/>
        <v>1.5783361491635119</v>
      </c>
      <c r="V9" s="194">
        <f>T9*U9</f>
        <v>48.29708616440346</v>
      </c>
      <c r="Y9" s="206"/>
      <c r="Z9" s="206"/>
      <c r="AA9" s="187" t="s">
        <v>446</v>
      </c>
      <c r="AB9" s="188">
        <v>10</v>
      </c>
      <c r="AC9" s="189">
        <v>200</v>
      </c>
      <c r="AD9" s="190">
        <v>2.5</v>
      </c>
      <c r="AE9" s="190">
        <v>0.3</v>
      </c>
      <c r="AF9" s="190">
        <f t="shared" ref="AF9:AF12" si="22">AF8</f>
        <v>4.5</v>
      </c>
      <c r="AG9" s="190">
        <f>ROUND((AF9/(AC9/1000))+1,0)</f>
        <v>24</v>
      </c>
      <c r="AH9" s="190">
        <v>1</v>
      </c>
      <c r="AI9" s="190">
        <f>AD9-0.04*2</f>
        <v>2.42</v>
      </c>
      <c r="AJ9" s="190">
        <f>AE9-0.04*2</f>
        <v>0.21999999999999997</v>
      </c>
      <c r="AK9" s="190">
        <f t="shared" ref="AK9:AK10" si="23">AI9</f>
        <v>2.42</v>
      </c>
      <c r="AL9" s="190">
        <f>AJ9</f>
        <v>0.21999999999999997</v>
      </c>
      <c r="AM9" s="190">
        <f>10*(AB9/1000)</f>
        <v>0.1</v>
      </c>
      <c r="AN9" s="190">
        <f t="shared" ref="AN9:AN12" si="24">SUM(AI9:AM9)</f>
        <v>5.379999999999999</v>
      </c>
      <c r="AO9" s="190">
        <f t="shared" ref="AO9:AO12" si="25">AG9*AN9*AH9</f>
        <v>129.11999999999998</v>
      </c>
      <c r="AP9" s="190">
        <f t="shared" si="8"/>
        <v>0.61653755826699685</v>
      </c>
      <c r="AQ9" s="190">
        <f t="shared" si="16"/>
        <v>79.607329523434615</v>
      </c>
      <c r="AT9" s="206"/>
      <c r="AU9" s="206"/>
      <c r="AV9" s="187" t="s">
        <v>453</v>
      </c>
      <c r="AW9" s="188">
        <v>12</v>
      </c>
      <c r="AX9" s="222">
        <v>0</v>
      </c>
      <c r="AY9" s="190">
        <v>0.4</v>
      </c>
      <c r="AZ9" s="190">
        <v>0.25</v>
      </c>
      <c r="BA9" s="190">
        <v>4.9000000000000004</v>
      </c>
      <c r="BB9" s="190">
        <v>2</v>
      </c>
      <c r="BC9" s="190">
        <v>1</v>
      </c>
      <c r="BD9" s="190">
        <f>BA9</f>
        <v>4.9000000000000004</v>
      </c>
      <c r="BE9" s="190"/>
      <c r="BF9" s="190"/>
      <c r="BG9" s="190"/>
      <c r="BH9" s="190"/>
      <c r="BI9" s="190">
        <f t="shared" ref="BI9" si="26">SUM(BD9:BH9)</f>
        <v>4.9000000000000004</v>
      </c>
      <c r="BJ9" s="190">
        <f>BB9*BI9*BC9</f>
        <v>9.8000000000000007</v>
      </c>
      <c r="BK9" s="190">
        <f t="shared" si="1"/>
        <v>0.88781408390447547</v>
      </c>
      <c r="BL9" s="190">
        <f t="shared" si="10"/>
        <v>8.7005780222638602</v>
      </c>
      <c r="BO9" s="206"/>
      <c r="BP9" s="206"/>
      <c r="BQ9" s="187" t="s">
        <v>469</v>
      </c>
      <c r="BR9" s="188">
        <v>16</v>
      </c>
      <c r="BS9" s="189">
        <v>150</v>
      </c>
      <c r="BT9" s="190">
        <f t="shared" si="17"/>
        <v>4.5</v>
      </c>
      <c r="BU9" s="190"/>
      <c r="BV9" s="190">
        <v>37.200000000000003</v>
      </c>
      <c r="BW9" s="190">
        <v>16</v>
      </c>
      <c r="BX9" s="190">
        <v>2</v>
      </c>
      <c r="BY9" s="190">
        <f>BT9</f>
        <v>4.5</v>
      </c>
      <c r="BZ9" s="190">
        <f t="shared" si="12"/>
        <v>0.8</v>
      </c>
      <c r="CA9" s="190"/>
      <c r="CB9" s="190"/>
      <c r="CC9" s="190"/>
      <c r="CD9" s="190">
        <f t="shared" si="2"/>
        <v>5.3</v>
      </c>
      <c r="CE9" s="190">
        <f t="shared" si="3"/>
        <v>169.6</v>
      </c>
      <c r="CF9" s="190">
        <f t="shared" si="4"/>
        <v>1.5783361491635119</v>
      </c>
      <c r="CG9" s="190">
        <f t="shared" si="13"/>
        <v>267.68581089813159</v>
      </c>
      <c r="CI9" s="206"/>
      <c r="CJ9" s="206"/>
      <c r="CK9" s="187" t="s">
        <v>492</v>
      </c>
      <c r="CL9" s="188">
        <v>12</v>
      </c>
      <c r="CM9" s="189">
        <v>200</v>
      </c>
      <c r="CN9" s="190"/>
      <c r="CO9" s="190">
        <v>7</v>
      </c>
      <c r="CP9" s="190">
        <v>9.5</v>
      </c>
      <c r="CQ9" s="190">
        <f>ROUND((CP9/(CM9/1000))+1,0)</f>
        <v>49</v>
      </c>
      <c r="CR9" s="190">
        <v>1</v>
      </c>
      <c r="CS9" s="190">
        <f t="shared" si="18"/>
        <v>0.6</v>
      </c>
      <c r="CT9" s="190">
        <f>CO8</f>
        <v>7</v>
      </c>
      <c r="CU9" s="190">
        <f t="shared" si="19"/>
        <v>0.2</v>
      </c>
      <c r="CV9" s="190"/>
      <c r="CW9" s="190"/>
      <c r="CX9" s="190">
        <f>SUM(CS9:CW9)</f>
        <v>7.8</v>
      </c>
      <c r="CY9" s="190">
        <f>CQ9*CX9*CR9</f>
        <v>382.2</v>
      </c>
      <c r="CZ9" s="190">
        <f t="shared" si="20"/>
        <v>0.88781408390447547</v>
      </c>
      <c r="DA9" s="190">
        <f>CY9*CZ9</f>
        <v>339.3225428682905</v>
      </c>
    </row>
    <row r="10" spans="2:105" x14ac:dyDescent="0.25">
      <c r="B10" s="178"/>
      <c r="D10" s="281"/>
      <c r="E10" s="281"/>
      <c r="F10" s="191" t="s">
        <v>438</v>
      </c>
      <c r="G10" s="192">
        <v>10</v>
      </c>
      <c r="H10" s="193">
        <v>200</v>
      </c>
      <c r="I10" s="194">
        <v>0.4</v>
      </c>
      <c r="J10" s="194">
        <v>0.25</v>
      </c>
      <c r="K10" s="194">
        <v>4.5</v>
      </c>
      <c r="L10" s="194">
        <f>ROUND((K10/(H10/1000))+1,0)</f>
        <v>24</v>
      </c>
      <c r="M10" s="194">
        <v>1</v>
      </c>
      <c r="N10" s="194">
        <f>I10-0.04*2</f>
        <v>0.32</v>
      </c>
      <c r="O10" s="194">
        <f>J10-0.04*2</f>
        <v>0.16999999999999998</v>
      </c>
      <c r="P10" s="194">
        <f t="shared" ref="P10" si="27">N10</f>
        <v>0.32</v>
      </c>
      <c r="Q10" s="194">
        <f>O10</f>
        <v>0.16999999999999998</v>
      </c>
      <c r="R10" s="194">
        <f>10*(G10/1000)</f>
        <v>0.1</v>
      </c>
      <c r="S10" s="194">
        <f t="shared" si="6"/>
        <v>1.08</v>
      </c>
      <c r="T10" s="194">
        <f t="shared" si="21"/>
        <v>25.92</v>
      </c>
      <c r="U10" s="194">
        <f t="shared" si="7"/>
        <v>0.61653755826699685</v>
      </c>
      <c r="V10" s="194">
        <f t="shared" ref="V10" si="28">T10*U10</f>
        <v>15.980653510280559</v>
      </c>
      <c r="Y10" s="206"/>
      <c r="Z10" s="206"/>
      <c r="AA10" s="187" t="s">
        <v>446</v>
      </c>
      <c r="AB10" s="188">
        <v>10</v>
      </c>
      <c r="AC10" s="189">
        <v>200</v>
      </c>
      <c r="AD10" s="190">
        <v>0.55000000000000004</v>
      </c>
      <c r="AE10" s="190">
        <v>0.3</v>
      </c>
      <c r="AF10" s="190">
        <f t="shared" si="22"/>
        <v>4.5</v>
      </c>
      <c r="AG10" s="190">
        <f t="shared" ref="AG10:AG12" si="29">ROUND((AF10/(AC10/1000))+1,0)</f>
        <v>24</v>
      </c>
      <c r="AH10" s="190">
        <v>2</v>
      </c>
      <c r="AI10" s="190">
        <f>AD10-0.04</f>
        <v>0.51</v>
      </c>
      <c r="AJ10" s="190">
        <f>AE10-0.04*2</f>
        <v>0.21999999999999997</v>
      </c>
      <c r="AK10" s="190">
        <f t="shared" si="23"/>
        <v>0.51</v>
      </c>
      <c r="AL10" s="190">
        <f>AJ10</f>
        <v>0.21999999999999997</v>
      </c>
      <c r="AM10" s="190">
        <f>10*(AB10/1000)</f>
        <v>0.1</v>
      </c>
      <c r="AN10" s="190">
        <f t="shared" si="24"/>
        <v>1.56</v>
      </c>
      <c r="AO10" s="190">
        <f t="shared" si="25"/>
        <v>74.88</v>
      </c>
      <c r="AP10" s="190">
        <f t="shared" si="8"/>
        <v>0.61653755826699685</v>
      </c>
      <c r="AQ10" s="190">
        <f t="shared" si="16"/>
        <v>46.166332363032723</v>
      </c>
      <c r="AT10" s="216" t="s">
        <v>457</v>
      </c>
      <c r="AU10" s="216" t="s">
        <v>253</v>
      </c>
      <c r="AV10" s="217" t="s">
        <v>451</v>
      </c>
      <c r="AW10" s="218">
        <v>16</v>
      </c>
      <c r="AX10" s="223">
        <v>0</v>
      </c>
      <c r="AY10" s="220">
        <v>0.3</v>
      </c>
      <c r="AZ10" s="220">
        <v>0.82</v>
      </c>
      <c r="BA10" s="220">
        <v>3.55</v>
      </c>
      <c r="BB10" s="220">
        <v>4</v>
      </c>
      <c r="BC10" s="220">
        <v>1</v>
      </c>
      <c r="BD10" s="220">
        <f>BA10</f>
        <v>3.55</v>
      </c>
      <c r="BE10" s="220"/>
      <c r="BF10" s="220"/>
      <c r="BG10" s="220"/>
      <c r="BH10" s="220"/>
      <c r="BI10" s="220">
        <f>SUM(BD10:BH10)</f>
        <v>3.55</v>
      </c>
      <c r="BJ10" s="220">
        <f t="shared" ref="BJ10" si="30">BB10*BI10*BC10</f>
        <v>14.2</v>
      </c>
      <c r="BK10" s="220">
        <f t="shared" si="1"/>
        <v>1.5783361491635119</v>
      </c>
      <c r="BL10" s="220">
        <f>BJ10*BK10</f>
        <v>22.412373318121869</v>
      </c>
      <c r="BO10" s="206"/>
      <c r="BP10" s="206"/>
      <c r="BQ10" s="187" t="s">
        <v>471</v>
      </c>
      <c r="BR10" s="188">
        <v>12</v>
      </c>
      <c r="BS10" s="189">
        <v>150</v>
      </c>
      <c r="BT10" s="190">
        <f t="shared" si="17"/>
        <v>4.5</v>
      </c>
      <c r="BU10" s="190">
        <v>0.25</v>
      </c>
      <c r="BV10" s="190">
        <v>2.35</v>
      </c>
      <c r="BW10" s="190">
        <f>ROUND((BT10/(BS10/1000))+1,0)</f>
        <v>31</v>
      </c>
      <c r="BX10" s="190">
        <v>1</v>
      </c>
      <c r="BY10" s="190">
        <f>BV10-0.05*2</f>
        <v>2.25</v>
      </c>
      <c r="BZ10" s="190">
        <f>BU10-0.05*2</f>
        <v>0.15</v>
      </c>
      <c r="CA10" s="190">
        <f t="shared" ref="CA10:CB13" si="31">BY10</f>
        <v>2.25</v>
      </c>
      <c r="CB10" s="190">
        <f t="shared" si="31"/>
        <v>0.15</v>
      </c>
      <c r="CC10" s="190"/>
      <c r="CD10" s="190">
        <f t="shared" si="2"/>
        <v>4.8000000000000007</v>
      </c>
      <c r="CE10" s="190">
        <f t="shared" si="3"/>
        <v>148.80000000000001</v>
      </c>
      <c r="CF10" s="190">
        <f t="shared" si="4"/>
        <v>0.88781408390447547</v>
      </c>
      <c r="CG10" s="190">
        <f>CE10*CF10</f>
        <v>132.10673568498595</v>
      </c>
      <c r="CI10" s="206"/>
      <c r="CJ10" s="206"/>
      <c r="CK10" s="187"/>
      <c r="CL10" s="188"/>
      <c r="CM10" s="189"/>
      <c r="CN10" s="190"/>
      <c r="CO10" s="190"/>
      <c r="CP10" s="190"/>
      <c r="CQ10" s="190"/>
      <c r="CR10" s="190"/>
      <c r="CS10" s="190"/>
      <c r="CT10" s="190"/>
      <c r="CU10" s="190"/>
      <c r="CV10" s="190"/>
      <c r="CW10" s="190"/>
      <c r="CX10" s="190"/>
      <c r="CY10" s="190"/>
      <c r="CZ10" s="190"/>
      <c r="DA10" s="190"/>
    </row>
    <row r="11" spans="2:105" x14ac:dyDescent="0.25">
      <c r="B11" s="178"/>
      <c r="D11" s="282" t="s">
        <v>188</v>
      </c>
      <c r="E11" s="282" t="s">
        <v>109</v>
      </c>
      <c r="F11" s="187" t="s">
        <v>437</v>
      </c>
      <c r="G11" s="188">
        <v>25</v>
      </c>
      <c r="H11" s="189" t="s">
        <v>440</v>
      </c>
      <c r="I11" s="190">
        <v>0.8</v>
      </c>
      <c r="J11" s="190">
        <v>0.25</v>
      </c>
      <c r="K11" s="190">
        <v>4.5</v>
      </c>
      <c r="L11" s="190">
        <v>10</v>
      </c>
      <c r="M11" s="190">
        <v>1</v>
      </c>
      <c r="N11" s="190">
        <f>K11</f>
        <v>4.5</v>
      </c>
      <c r="O11" s="190">
        <v>0.6</v>
      </c>
      <c r="P11" s="190"/>
      <c r="Q11" s="190"/>
      <c r="R11" s="190"/>
      <c r="S11" s="190">
        <f t="shared" si="6"/>
        <v>5.0999999999999996</v>
      </c>
      <c r="T11" s="190">
        <f>L11*S11*M11</f>
        <v>51</v>
      </c>
      <c r="U11" s="190">
        <f t="shared" si="7"/>
        <v>3.8533597391687309</v>
      </c>
      <c r="V11" s="190">
        <f>T11*U11</f>
        <v>196.52134669760528</v>
      </c>
      <c r="Y11" s="206"/>
      <c r="Z11" s="206"/>
      <c r="AA11" s="187" t="s">
        <v>447</v>
      </c>
      <c r="AB11" s="188">
        <v>10</v>
      </c>
      <c r="AC11" s="189">
        <v>200</v>
      </c>
      <c r="AD11" s="190">
        <v>0.55000000000000004</v>
      </c>
      <c r="AE11" s="190">
        <v>0.3</v>
      </c>
      <c r="AF11" s="190">
        <f t="shared" si="22"/>
        <v>4.5</v>
      </c>
      <c r="AG11" s="190">
        <f t="shared" si="29"/>
        <v>24</v>
      </c>
      <c r="AH11" s="190">
        <v>2</v>
      </c>
      <c r="AI11" s="190">
        <v>0.1</v>
      </c>
      <c r="AJ11" s="190">
        <f>AE11-0.04*2</f>
        <v>0.21999999999999997</v>
      </c>
      <c r="AK11" s="190">
        <v>0.1</v>
      </c>
      <c r="AL11" s="190"/>
      <c r="AM11" s="190"/>
      <c r="AN11" s="190">
        <f t="shared" si="24"/>
        <v>0.41999999999999993</v>
      </c>
      <c r="AO11" s="190">
        <f t="shared" si="25"/>
        <v>20.159999999999997</v>
      </c>
      <c r="AP11" s="190">
        <f t="shared" si="8"/>
        <v>0.61653755826699685</v>
      </c>
      <c r="AQ11" s="190">
        <f t="shared" si="16"/>
        <v>12.429397174662654</v>
      </c>
      <c r="AT11" s="216"/>
      <c r="AU11" s="216"/>
      <c r="AV11" s="217" t="s">
        <v>452</v>
      </c>
      <c r="AW11" s="218">
        <v>16</v>
      </c>
      <c r="AX11" s="223">
        <v>0</v>
      </c>
      <c r="AY11" s="220">
        <f>AY10</f>
        <v>0.3</v>
      </c>
      <c r="AZ11" s="220">
        <f>AZ10</f>
        <v>0.82</v>
      </c>
      <c r="BA11" s="220">
        <v>3.55</v>
      </c>
      <c r="BB11" s="220">
        <v>6</v>
      </c>
      <c r="BC11" s="220">
        <v>1</v>
      </c>
      <c r="BD11" s="220">
        <f>BA11</f>
        <v>3.55</v>
      </c>
      <c r="BE11" s="220"/>
      <c r="BF11" s="220"/>
      <c r="BG11" s="220"/>
      <c r="BH11" s="220"/>
      <c r="BI11" s="220">
        <f t="shared" ref="BI11" si="32">SUM(BD11:BH11)</f>
        <v>3.55</v>
      </c>
      <c r="BJ11" s="220">
        <f>BB11*BI11*BC11</f>
        <v>21.299999999999997</v>
      </c>
      <c r="BK11" s="220">
        <f t="shared" si="1"/>
        <v>1.5783361491635119</v>
      </c>
      <c r="BL11" s="220">
        <f t="shared" ref="BL11:BL13" si="33">BJ11*BK11</f>
        <v>33.618559977182798</v>
      </c>
      <c r="BO11" s="206"/>
      <c r="BP11" s="206"/>
      <c r="BQ11" s="187" t="s">
        <v>471</v>
      </c>
      <c r="BR11" s="188">
        <v>12</v>
      </c>
      <c r="BS11" s="189">
        <v>150</v>
      </c>
      <c r="BT11" s="190">
        <f t="shared" si="17"/>
        <v>4.5</v>
      </c>
      <c r="BU11" s="190">
        <v>0.25</v>
      </c>
      <c r="BV11" s="190">
        <v>2.125</v>
      </c>
      <c r="BW11" s="190">
        <f>ROUND((BT11/(BS11/1000))+1,0)</f>
        <v>31</v>
      </c>
      <c r="BX11" s="190">
        <v>2</v>
      </c>
      <c r="BY11" s="190">
        <f>BV11-0.05*2</f>
        <v>2.0249999999999999</v>
      </c>
      <c r="BZ11" s="190">
        <f>BU11-0.05*2</f>
        <v>0.15</v>
      </c>
      <c r="CA11" s="190">
        <f t="shared" si="31"/>
        <v>2.0249999999999999</v>
      </c>
      <c r="CB11" s="190">
        <f t="shared" si="31"/>
        <v>0.15</v>
      </c>
      <c r="CC11" s="190"/>
      <c r="CD11" s="190">
        <f t="shared" si="2"/>
        <v>4.3499999999999996</v>
      </c>
      <c r="CE11" s="190">
        <f t="shared" si="3"/>
        <v>269.7</v>
      </c>
      <c r="CF11" s="190">
        <f t="shared" si="4"/>
        <v>0.88781408390447547</v>
      </c>
      <c r="CG11" s="190">
        <f t="shared" ref="CG11:CG14" si="34">CE11*CF11</f>
        <v>239.44345842903704</v>
      </c>
      <c r="CI11" s="206"/>
      <c r="CJ11" s="206"/>
      <c r="CK11" s="187"/>
      <c r="CL11" s="188"/>
      <c r="CM11" s="189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</row>
    <row r="12" spans="2:105" x14ac:dyDescent="0.25">
      <c r="B12" s="178"/>
      <c r="D12" s="282"/>
      <c r="E12" s="282"/>
      <c r="F12" s="187" t="s">
        <v>438</v>
      </c>
      <c r="G12" s="188">
        <v>10</v>
      </c>
      <c r="H12" s="189">
        <v>200</v>
      </c>
      <c r="I12" s="190">
        <v>0.8</v>
      </c>
      <c r="J12" s="190">
        <v>0.25</v>
      </c>
      <c r="K12" s="190">
        <v>4.5</v>
      </c>
      <c r="L12" s="190">
        <f>ROUND((K12/(H12/1000))+1,0)</f>
        <v>24</v>
      </c>
      <c r="M12" s="190">
        <v>1</v>
      </c>
      <c r="N12" s="190">
        <f>I12-0.04*2</f>
        <v>0.72000000000000008</v>
      </c>
      <c r="O12" s="190">
        <f>J12-0.04*2</f>
        <v>0.16999999999999998</v>
      </c>
      <c r="P12" s="190">
        <f t="shared" ref="P12" si="35">N12</f>
        <v>0.72000000000000008</v>
      </c>
      <c r="Q12" s="190">
        <f>O12</f>
        <v>0.16999999999999998</v>
      </c>
      <c r="R12" s="190">
        <f>10*(G12/1000)</f>
        <v>0.1</v>
      </c>
      <c r="S12" s="190">
        <f t="shared" si="6"/>
        <v>1.8800000000000003</v>
      </c>
      <c r="T12" s="190">
        <f>L12*S12*M12</f>
        <v>45.120000000000005</v>
      </c>
      <c r="U12" s="190">
        <f t="shared" si="7"/>
        <v>0.61653755826699685</v>
      </c>
      <c r="V12" s="190">
        <f t="shared" ref="V12:V13" si="36">T12*U12</f>
        <v>27.818174629006901</v>
      </c>
      <c r="Y12" s="206"/>
      <c r="Z12" s="206"/>
      <c r="AA12" s="187" t="s">
        <v>448</v>
      </c>
      <c r="AB12" s="188">
        <v>10</v>
      </c>
      <c r="AC12" s="189">
        <v>200</v>
      </c>
      <c r="AD12" s="190">
        <v>0.55000000000000004</v>
      </c>
      <c r="AE12" s="190">
        <v>0.3</v>
      </c>
      <c r="AF12" s="190">
        <f t="shared" si="22"/>
        <v>4.5</v>
      </c>
      <c r="AG12" s="190">
        <f t="shared" si="29"/>
        <v>24</v>
      </c>
      <c r="AH12" s="190">
        <v>3</v>
      </c>
      <c r="AI12" s="190">
        <v>0.1</v>
      </c>
      <c r="AJ12" s="190">
        <f t="shared" ref="AJ12" si="37">AE12-0.04*2</f>
        <v>0.21999999999999997</v>
      </c>
      <c r="AK12" s="190">
        <v>0.1</v>
      </c>
      <c r="AL12" s="190"/>
      <c r="AM12" s="190"/>
      <c r="AN12" s="190">
        <f t="shared" si="24"/>
        <v>0.41999999999999993</v>
      </c>
      <c r="AO12" s="190">
        <f t="shared" si="25"/>
        <v>30.239999999999995</v>
      </c>
      <c r="AP12" s="190">
        <f t="shared" si="8"/>
        <v>0.61653755826699685</v>
      </c>
      <c r="AQ12" s="190">
        <f t="shared" si="16"/>
        <v>18.644095761993981</v>
      </c>
      <c r="AT12" s="216"/>
      <c r="AU12" s="216"/>
      <c r="AV12" s="217" t="s">
        <v>456</v>
      </c>
      <c r="AW12" s="218">
        <v>10</v>
      </c>
      <c r="AX12" s="219">
        <v>250</v>
      </c>
      <c r="AY12" s="220">
        <f>AY11</f>
        <v>0.3</v>
      </c>
      <c r="AZ12" s="220">
        <f>AZ11</f>
        <v>0.82</v>
      </c>
      <c r="BA12" s="220">
        <v>3.55</v>
      </c>
      <c r="BB12" s="220">
        <f>ROUND((BA12/(AX12/1000))+1,0)</f>
        <v>15</v>
      </c>
      <c r="BC12" s="220">
        <v>1</v>
      </c>
      <c r="BD12" s="220">
        <f>AY12-0.04*2</f>
        <v>0.21999999999999997</v>
      </c>
      <c r="BE12" s="220">
        <f>AZ12-0.04*2</f>
        <v>0.74</v>
      </c>
      <c r="BF12" s="220">
        <f>BD12</f>
        <v>0.21999999999999997</v>
      </c>
      <c r="BG12" s="220">
        <f>BE12</f>
        <v>0.74</v>
      </c>
      <c r="BH12" s="220">
        <f>(10*AW12)/1000</f>
        <v>0.1</v>
      </c>
      <c r="BI12" s="220">
        <f>SUM(BD12:BH12)</f>
        <v>2.02</v>
      </c>
      <c r="BJ12" s="220">
        <f>BB12*BI12*BC12</f>
        <v>30.3</v>
      </c>
      <c r="BK12" s="220">
        <f t="shared" si="1"/>
        <v>0.61653755826699685</v>
      </c>
      <c r="BL12" s="220">
        <f t="shared" si="33"/>
        <v>18.681088015490005</v>
      </c>
      <c r="BO12" s="206"/>
      <c r="BP12" s="206"/>
      <c r="BQ12" s="187" t="s">
        <v>472</v>
      </c>
      <c r="BR12" s="188">
        <v>12</v>
      </c>
      <c r="BS12" s="189">
        <v>150</v>
      </c>
      <c r="BT12" s="190">
        <f t="shared" si="17"/>
        <v>4.5</v>
      </c>
      <c r="BU12" s="190">
        <v>0.25</v>
      </c>
      <c r="BV12" s="190">
        <v>2.125</v>
      </c>
      <c r="BW12" s="190">
        <f>ROUND((BT12/(BS12/1000))+1,0)</f>
        <v>31</v>
      </c>
      <c r="BX12" s="190">
        <v>4</v>
      </c>
      <c r="BY12" s="190">
        <v>0.67</v>
      </c>
      <c r="BZ12" s="190">
        <f>BU12-0.05*2</f>
        <v>0.15</v>
      </c>
      <c r="CA12" s="190">
        <f t="shared" si="31"/>
        <v>0.67</v>
      </c>
      <c r="CB12" s="190">
        <f t="shared" si="31"/>
        <v>0.15</v>
      </c>
      <c r="CC12" s="190"/>
      <c r="CD12" s="190">
        <f t="shared" si="2"/>
        <v>1.6400000000000001</v>
      </c>
      <c r="CE12" s="190">
        <f t="shared" si="3"/>
        <v>203.36</v>
      </c>
      <c r="CF12" s="190">
        <f t="shared" si="4"/>
        <v>0.88781408390447547</v>
      </c>
      <c r="CG12" s="190">
        <f t="shared" si="34"/>
        <v>180.54587210281414</v>
      </c>
      <c r="CI12" s="206"/>
      <c r="CJ12" s="206"/>
      <c r="CK12" s="187"/>
      <c r="CL12" s="188"/>
      <c r="CM12" s="189"/>
      <c r="CN12" s="190"/>
      <c r="CO12" s="190"/>
      <c r="CP12" s="190"/>
      <c r="CQ12" s="190"/>
      <c r="CR12" s="190"/>
      <c r="CS12" s="190"/>
      <c r="CT12" s="190"/>
      <c r="CU12" s="190"/>
      <c r="CV12" s="190"/>
      <c r="CW12" s="190"/>
      <c r="CX12" s="190"/>
      <c r="CY12" s="190"/>
      <c r="CZ12" s="190"/>
      <c r="DA12" s="190"/>
    </row>
    <row r="13" spans="2:105" x14ac:dyDescent="0.25">
      <c r="B13" s="178"/>
      <c r="D13" s="282"/>
      <c r="E13" s="282"/>
      <c r="F13" s="187" t="s">
        <v>438</v>
      </c>
      <c r="G13" s="188">
        <v>10</v>
      </c>
      <c r="H13" s="189">
        <v>200</v>
      </c>
      <c r="I13" s="190">
        <v>0.8</v>
      </c>
      <c r="J13" s="190">
        <v>0.25</v>
      </c>
      <c r="K13" s="190">
        <v>4.5</v>
      </c>
      <c r="L13" s="190">
        <f>ROUND((K13/(H13/1000))+1,0)</f>
        <v>24</v>
      </c>
      <c r="M13" s="190">
        <v>1</v>
      </c>
      <c r="N13" s="190">
        <f>10*(G13/1000)</f>
        <v>0.1</v>
      </c>
      <c r="O13" s="190">
        <f>J13-0.04*2</f>
        <v>0.16999999999999998</v>
      </c>
      <c r="P13" s="190">
        <f>N13</f>
        <v>0.1</v>
      </c>
      <c r="Q13" s="190"/>
      <c r="R13" s="190"/>
      <c r="S13" s="190">
        <f t="shared" ref="S13" si="38">SUM(N13:R13)</f>
        <v>0.37</v>
      </c>
      <c r="T13" s="190">
        <f t="shared" ref="T13:T16" si="39">L13*S13*M13</f>
        <v>8.879999999999999</v>
      </c>
      <c r="U13" s="190">
        <f t="shared" si="7"/>
        <v>0.61653755826699685</v>
      </c>
      <c r="V13" s="190">
        <f t="shared" si="36"/>
        <v>5.4748535174109314</v>
      </c>
      <c r="Y13" s="216" t="s">
        <v>196</v>
      </c>
      <c r="Z13" s="216" t="s">
        <v>109</v>
      </c>
      <c r="AA13" s="217" t="s">
        <v>444</v>
      </c>
      <c r="AB13" s="218">
        <v>16</v>
      </c>
      <c r="AC13" s="219" t="s">
        <v>440</v>
      </c>
      <c r="AD13" s="220"/>
      <c r="AE13" s="220"/>
      <c r="AF13" s="220">
        <v>4.5</v>
      </c>
      <c r="AG13" s="220">
        <v>4</v>
      </c>
      <c r="AH13" s="220">
        <v>2</v>
      </c>
      <c r="AI13" s="220">
        <f>AF13</f>
        <v>4.5</v>
      </c>
      <c r="AJ13" s="220">
        <f>16*(AB13/1000)</f>
        <v>0.25600000000000001</v>
      </c>
      <c r="AK13" s="220"/>
      <c r="AL13" s="220"/>
      <c r="AM13" s="220"/>
      <c r="AN13" s="220">
        <f>SUM(AI13:AM13)</f>
        <v>4.7560000000000002</v>
      </c>
      <c r="AO13" s="220">
        <f>AG13*AN13*AH13</f>
        <v>38.048000000000002</v>
      </c>
      <c r="AP13" s="220">
        <f t="shared" si="8"/>
        <v>1.5783361491635119</v>
      </c>
      <c r="AQ13" s="220">
        <f>AO13*AP13</f>
        <v>60.052533803373308</v>
      </c>
      <c r="AT13" s="216"/>
      <c r="AU13" s="216"/>
      <c r="AV13" s="217" t="s">
        <v>453</v>
      </c>
      <c r="AW13" s="218">
        <v>12</v>
      </c>
      <c r="AX13" s="219">
        <f>AX11</f>
        <v>0</v>
      </c>
      <c r="AY13" s="220">
        <v>0.4</v>
      </c>
      <c r="AZ13" s="220">
        <v>0.25</v>
      </c>
      <c r="BA13" s="220">
        <f>BA12</f>
        <v>3.55</v>
      </c>
      <c r="BB13" s="220">
        <v>2</v>
      </c>
      <c r="BC13" s="220">
        <v>1</v>
      </c>
      <c r="BD13" s="220">
        <f>BA13</f>
        <v>3.55</v>
      </c>
      <c r="BE13" s="220"/>
      <c r="BF13" s="220"/>
      <c r="BG13" s="220"/>
      <c r="BH13" s="220"/>
      <c r="BI13" s="220">
        <f t="shared" ref="BI13" si="40">SUM(BD13:BH13)</f>
        <v>3.55</v>
      </c>
      <c r="BJ13" s="220">
        <f>BB13*BI13*BC13</f>
        <v>7.1</v>
      </c>
      <c r="BK13" s="220">
        <f t="shared" si="1"/>
        <v>0.88781408390447547</v>
      </c>
      <c r="BL13" s="220">
        <f t="shared" si="33"/>
        <v>6.3034799957217755</v>
      </c>
      <c r="BO13" s="206"/>
      <c r="BP13" s="206"/>
      <c r="BQ13" s="187" t="s">
        <v>473</v>
      </c>
      <c r="BR13" s="188">
        <v>12</v>
      </c>
      <c r="BS13" s="189">
        <v>150</v>
      </c>
      <c r="BT13" s="190">
        <f t="shared" si="17"/>
        <v>4.5</v>
      </c>
      <c r="BU13" s="190">
        <v>0.25</v>
      </c>
      <c r="BV13" s="190">
        <v>2.125</v>
      </c>
      <c r="BW13" s="190">
        <f>ROUND((BT13/(BS13/1000))+1,0)</f>
        <v>31</v>
      </c>
      <c r="BX13" s="190">
        <v>2</v>
      </c>
      <c r="BY13" s="190">
        <v>0.5</v>
      </c>
      <c r="BZ13" s="190">
        <f>BU13-0.05*2</f>
        <v>0.15</v>
      </c>
      <c r="CA13" s="190">
        <f t="shared" si="31"/>
        <v>0.5</v>
      </c>
      <c r="CB13" s="190">
        <f t="shared" si="31"/>
        <v>0.15</v>
      </c>
      <c r="CC13" s="190"/>
      <c r="CD13" s="190">
        <f t="shared" si="2"/>
        <v>1.2999999999999998</v>
      </c>
      <c r="CE13" s="190">
        <f t="shared" si="3"/>
        <v>80.599999999999994</v>
      </c>
      <c r="CF13" s="190">
        <f t="shared" si="4"/>
        <v>0.88781408390447547</v>
      </c>
      <c r="CG13" s="190">
        <f t="shared" si="34"/>
        <v>71.55781516270072</v>
      </c>
      <c r="CI13" s="206"/>
      <c r="CJ13" s="206"/>
      <c r="CK13" s="187"/>
      <c r="CL13" s="188"/>
      <c r="CM13" s="189"/>
      <c r="CN13" s="190"/>
      <c r="CO13" s="190"/>
      <c r="CP13" s="190"/>
      <c r="CQ13" s="190"/>
      <c r="CR13" s="190"/>
      <c r="CS13" s="190"/>
      <c r="CT13" s="190"/>
      <c r="CU13" s="190"/>
      <c r="CV13" s="190"/>
      <c r="CW13" s="190"/>
      <c r="CX13" s="190"/>
      <c r="CY13" s="190"/>
      <c r="CZ13" s="190"/>
      <c r="DA13" s="190"/>
    </row>
    <row r="14" spans="2:105" x14ac:dyDescent="0.25">
      <c r="B14" s="178"/>
      <c r="D14" s="281" t="s">
        <v>189</v>
      </c>
      <c r="E14" s="281" t="s">
        <v>109</v>
      </c>
      <c r="F14" s="191" t="s">
        <v>437</v>
      </c>
      <c r="G14" s="192">
        <v>16</v>
      </c>
      <c r="H14" s="193" t="s">
        <v>440</v>
      </c>
      <c r="I14" s="194">
        <v>0.8</v>
      </c>
      <c r="J14" s="194">
        <v>0.25</v>
      </c>
      <c r="K14" s="194">
        <v>4.5</v>
      </c>
      <c r="L14" s="194">
        <v>12</v>
      </c>
      <c r="M14" s="194">
        <v>1</v>
      </c>
      <c r="N14" s="194">
        <f>K14</f>
        <v>4.5</v>
      </c>
      <c r="O14" s="194"/>
      <c r="P14" s="194"/>
      <c r="Q14" s="194"/>
      <c r="R14" s="194"/>
      <c r="S14" s="194">
        <f>SUM(N14:R14)</f>
        <v>4.5</v>
      </c>
      <c r="T14" s="194">
        <f t="shared" si="39"/>
        <v>54</v>
      </c>
      <c r="U14" s="194">
        <f t="shared" si="7"/>
        <v>1.5783361491635119</v>
      </c>
      <c r="V14" s="194">
        <f>T14*U14</f>
        <v>85.230152054829645</v>
      </c>
      <c r="Y14" s="216"/>
      <c r="Z14" s="216"/>
      <c r="AA14" s="217" t="s">
        <v>445</v>
      </c>
      <c r="AB14" s="218">
        <v>12</v>
      </c>
      <c r="AC14" s="219" t="s">
        <v>440</v>
      </c>
      <c r="AD14" s="220"/>
      <c r="AE14" s="220"/>
      <c r="AF14" s="220">
        <v>4.5</v>
      </c>
      <c r="AG14" s="220">
        <v>10</v>
      </c>
      <c r="AH14" s="220">
        <v>1</v>
      </c>
      <c r="AI14" s="220">
        <f>AF14</f>
        <v>4.5</v>
      </c>
      <c r="AJ14" s="220">
        <f>16*(AB14/1000)</f>
        <v>0.192</v>
      </c>
      <c r="AK14" s="220"/>
      <c r="AL14" s="220"/>
      <c r="AM14" s="220"/>
      <c r="AN14" s="220">
        <f>SUM(AI14:AM14)</f>
        <v>4.6920000000000002</v>
      </c>
      <c r="AO14" s="220">
        <f>AG14*AN14*AH14</f>
        <v>46.92</v>
      </c>
      <c r="AP14" s="220">
        <f t="shared" si="8"/>
        <v>0.88781408390447547</v>
      </c>
      <c r="AQ14" s="220">
        <f t="shared" ref="AQ14:AQ17" si="41">AO14*AP14</f>
        <v>41.656236816797993</v>
      </c>
      <c r="AT14" s="282" t="s">
        <v>458</v>
      </c>
      <c r="AU14" s="282" t="s">
        <v>253</v>
      </c>
      <c r="AV14" s="187" t="s">
        <v>451</v>
      </c>
      <c r="AW14" s="188">
        <v>16</v>
      </c>
      <c r="AX14" s="222">
        <v>0</v>
      </c>
      <c r="AY14" s="190">
        <v>0.25</v>
      </c>
      <c r="AZ14" s="190">
        <v>0.82</v>
      </c>
      <c r="BA14" s="190">
        <v>2.93</v>
      </c>
      <c r="BB14" s="190">
        <v>2</v>
      </c>
      <c r="BC14" s="190">
        <v>1</v>
      </c>
      <c r="BD14" s="190">
        <f>BA14</f>
        <v>2.93</v>
      </c>
      <c r="BE14" s="190"/>
      <c r="BF14" s="190"/>
      <c r="BG14" s="190"/>
      <c r="BH14" s="190"/>
      <c r="BI14" s="190">
        <f>SUM(BD14:BH14)</f>
        <v>2.93</v>
      </c>
      <c r="BJ14" s="190">
        <f t="shared" ref="BJ14" si="42">BB14*BI14*BC14</f>
        <v>5.86</v>
      </c>
      <c r="BK14" s="190">
        <f t="shared" si="1"/>
        <v>1.5783361491635119</v>
      </c>
      <c r="BL14" s="190">
        <f>BJ14*BK14</f>
        <v>9.2490498340981802</v>
      </c>
      <c r="BO14" s="206"/>
      <c r="BP14" s="206"/>
      <c r="BQ14" s="187" t="s">
        <v>474</v>
      </c>
      <c r="BR14" s="188">
        <v>8</v>
      </c>
      <c r="BS14" s="189">
        <v>200</v>
      </c>
      <c r="BT14" s="190">
        <f t="shared" si="17"/>
        <v>4.5</v>
      </c>
      <c r="BU14" s="190">
        <v>0.25</v>
      </c>
      <c r="BV14" s="190">
        <v>2.125</v>
      </c>
      <c r="BW14" s="190">
        <f>ROUND((BT14/(BS14/1000))+1,0)</f>
        <v>24</v>
      </c>
      <c r="BX14" s="190">
        <v>14</v>
      </c>
      <c r="BY14" s="190">
        <v>0.17</v>
      </c>
      <c r="BZ14" s="190">
        <f>0.1</f>
        <v>0.1</v>
      </c>
      <c r="CA14" s="190"/>
      <c r="CB14" s="190">
        <f>BZ14</f>
        <v>0.1</v>
      </c>
      <c r="CC14" s="190"/>
      <c r="CD14" s="190">
        <f t="shared" si="2"/>
        <v>0.37</v>
      </c>
      <c r="CE14" s="190">
        <f t="shared" si="3"/>
        <v>124.32</v>
      </c>
      <c r="CF14" s="190">
        <f t="shared" si="4"/>
        <v>0.39458403729087799</v>
      </c>
      <c r="CG14" s="190">
        <f t="shared" si="34"/>
        <v>49.054687516001948</v>
      </c>
      <c r="CI14" s="206"/>
      <c r="CJ14" s="206"/>
      <c r="CK14" s="187"/>
      <c r="CL14" s="188"/>
      <c r="CM14" s="189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</row>
    <row r="15" spans="2:105" x14ac:dyDescent="0.25">
      <c r="B15" s="178"/>
      <c r="D15" s="281"/>
      <c r="E15" s="281"/>
      <c r="F15" s="191" t="s">
        <v>438</v>
      </c>
      <c r="G15" s="192">
        <v>10</v>
      </c>
      <c r="H15" s="193">
        <v>200</v>
      </c>
      <c r="I15" s="194">
        <v>0.8</v>
      </c>
      <c r="J15" s="194">
        <v>0.25</v>
      </c>
      <c r="K15" s="194">
        <v>4.5</v>
      </c>
      <c r="L15" s="194">
        <f t="shared" ref="L15:L41" si="43">ROUND((K15/(H15/1000))+1,0)</f>
        <v>24</v>
      </c>
      <c r="M15" s="194">
        <v>1</v>
      </c>
      <c r="N15" s="194">
        <f>I15-0.04*2</f>
        <v>0.72000000000000008</v>
      </c>
      <c r="O15" s="194">
        <f>J15-0.04*2</f>
        <v>0.16999999999999998</v>
      </c>
      <c r="P15" s="194">
        <f t="shared" ref="P15:P16" si="44">N15</f>
        <v>0.72000000000000008</v>
      </c>
      <c r="Q15" s="194">
        <f>O15</f>
        <v>0.16999999999999998</v>
      </c>
      <c r="R15" s="194">
        <f>10*(G15/1000)</f>
        <v>0.1</v>
      </c>
      <c r="S15" s="194">
        <f>SUM(N15:R15)</f>
        <v>1.8800000000000003</v>
      </c>
      <c r="T15" s="194">
        <f t="shared" si="39"/>
        <v>45.120000000000005</v>
      </c>
      <c r="U15" s="194">
        <f t="shared" si="7"/>
        <v>0.61653755826699685</v>
      </c>
      <c r="V15" s="194">
        <f t="shared" ref="V15:V16" si="45">T15*U15</f>
        <v>27.818174629006901</v>
      </c>
      <c r="Y15" s="216"/>
      <c r="Z15" s="216"/>
      <c r="AA15" s="217" t="s">
        <v>446</v>
      </c>
      <c r="AB15" s="218">
        <v>10</v>
      </c>
      <c r="AC15" s="219">
        <v>200</v>
      </c>
      <c r="AD15" s="220"/>
      <c r="AE15" s="220"/>
      <c r="AF15" s="220">
        <v>4.5</v>
      </c>
      <c r="AG15" s="220">
        <f t="shared" ref="AG15:AG17" si="46">ROUND((AF15/(AC15/1000))+1,0)</f>
        <v>24</v>
      </c>
      <c r="AH15" s="220">
        <v>2</v>
      </c>
      <c r="AI15" s="194">
        <v>0.17</v>
      </c>
      <c r="AJ15" s="194">
        <v>0.17</v>
      </c>
      <c r="AK15" s="194">
        <f>AI15</f>
        <v>0.17</v>
      </c>
      <c r="AL15" s="194">
        <f>AJ15</f>
        <v>0.17</v>
      </c>
      <c r="AM15" s="194">
        <f>10*(AB15/1000)</f>
        <v>0.1</v>
      </c>
      <c r="AN15" s="220">
        <f t="shared" ref="AN15:AN17" si="47">SUM(AI15:AM15)</f>
        <v>0.78</v>
      </c>
      <c r="AO15" s="220">
        <f t="shared" ref="AO15:AO17" si="48">AG15*AN15*AH15</f>
        <v>37.44</v>
      </c>
      <c r="AP15" s="220">
        <f t="shared" si="8"/>
        <v>0.61653755826699685</v>
      </c>
      <c r="AQ15" s="220">
        <f t="shared" si="41"/>
        <v>23.083166181516361</v>
      </c>
      <c r="AT15" s="282"/>
      <c r="AU15" s="282"/>
      <c r="AV15" s="187" t="s">
        <v>452</v>
      </c>
      <c r="AW15" s="188">
        <v>16</v>
      </c>
      <c r="AX15" s="222">
        <v>0</v>
      </c>
      <c r="AY15" s="190">
        <v>0.25</v>
      </c>
      <c r="AZ15" s="190">
        <v>0.82</v>
      </c>
      <c r="BA15" s="190">
        <v>2.93</v>
      </c>
      <c r="BB15" s="190">
        <v>6</v>
      </c>
      <c r="BC15" s="190">
        <v>1</v>
      </c>
      <c r="BD15" s="190">
        <f>BA15</f>
        <v>2.93</v>
      </c>
      <c r="BE15" s="190"/>
      <c r="BF15" s="190"/>
      <c r="BG15" s="190"/>
      <c r="BH15" s="190"/>
      <c r="BI15" s="190">
        <f t="shared" ref="BI15" si="49">SUM(BD15:BH15)</f>
        <v>2.93</v>
      </c>
      <c r="BJ15" s="190">
        <f>BB15*BI15*BC15</f>
        <v>17.580000000000002</v>
      </c>
      <c r="BK15" s="190">
        <f t="shared" si="1"/>
        <v>1.5783361491635119</v>
      </c>
      <c r="BL15" s="190">
        <f t="shared" ref="BL15:BL17" si="50">BJ15*BK15</f>
        <v>27.747149502294544</v>
      </c>
      <c r="BO15" s="216"/>
      <c r="BP15" s="216" t="s">
        <v>498</v>
      </c>
      <c r="BQ15" s="217" t="s">
        <v>469</v>
      </c>
      <c r="BR15" s="218">
        <v>16</v>
      </c>
      <c r="BS15" s="219">
        <v>150</v>
      </c>
      <c r="BT15" s="220">
        <f>K49</f>
        <v>4.0999999999999996</v>
      </c>
      <c r="BU15" s="220">
        <v>0.25</v>
      </c>
      <c r="BV15" s="220">
        <v>2.35</v>
      </c>
      <c r="BW15" s="220">
        <v>4</v>
      </c>
      <c r="BX15" s="220">
        <v>4</v>
      </c>
      <c r="BY15" s="220">
        <f>BT15</f>
        <v>4.0999999999999996</v>
      </c>
      <c r="BZ15" s="220">
        <v>0.8</v>
      </c>
      <c r="CA15" s="220"/>
      <c r="CB15" s="220"/>
      <c r="CC15" s="220"/>
      <c r="CD15" s="220">
        <f t="shared" ref="CD15:CD23" si="51">SUM(BY15:CC15)</f>
        <v>4.8999999999999995</v>
      </c>
      <c r="CE15" s="220">
        <f t="shared" ref="CE15:CE23" si="52">BW15*CD15*BX15</f>
        <v>78.399999999999991</v>
      </c>
      <c r="CF15" s="220">
        <f t="shared" ref="CF15:CF23" si="53">PI()*(BR15/1000)^2*0.25*1*7850</f>
        <v>1.5783361491635119</v>
      </c>
      <c r="CG15" s="220">
        <f>CE15*CF15</f>
        <v>123.74155409441933</v>
      </c>
    </row>
    <row r="16" spans="2:105" x14ac:dyDescent="0.25">
      <c r="B16" s="178"/>
      <c r="D16" s="281"/>
      <c r="E16" s="281"/>
      <c r="F16" s="191" t="s">
        <v>438</v>
      </c>
      <c r="G16" s="192">
        <v>10</v>
      </c>
      <c r="H16" s="193">
        <v>200</v>
      </c>
      <c r="I16" s="194">
        <v>0.8</v>
      </c>
      <c r="J16" s="194">
        <v>0.25</v>
      </c>
      <c r="K16" s="194">
        <v>4.5</v>
      </c>
      <c r="L16" s="194">
        <f t="shared" si="43"/>
        <v>24</v>
      </c>
      <c r="M16" s="194">
        <v>1</v>
      </c>
      <c r="N16" s="194">
        <f>Q16</f>
        <v>0.16999999999999998</v>
      </c>
      <c r="O16" s="194">
        <f>J16-0.04*2</f>
        <v>0.16999999999999998</v>
      </c>
      <c r="P16" s="194">
        <f t="shared" si="44"/>
        <v>0.16999999999999998</v>
      </c>
      <c r="Q16" s="194">
        <f>O16</f>
        <v>0.16999999999999998</v>
      </c>
      <c r="R16" s="194">
        <f>10*(G16/1000)</f>
        <v>0.1</v>
      </c>
      <c r="S16" s="194">
        <f t="shared" ref="S16" si="54">SUM(N16:R16)</f>
        <v>0.77999999999999992</v>
      </c>
      <c r="T16" s="194">
        <f t="shared" si="39"/>
        <v>18.72</v>
      </c>
      <c r="U16" s="194">
        <f t="shared" si="7"/>
        <v>0.61653755826699685</v>
      </c>
      <c r="V16" s="194">
        <f t="shared" si="45"/>
        <v>11.541583090758181</v>
      </c>
      <c r="Y16" s="216"/>
      <c r="Z16" s="216"/>
      <c r="AA16" s="217" t="s">
        <v>446</v>
      </c>
      <c r="AB16" s="218">
        <v>10</v>
      </c>
      <c r="AC16" s="219">
        <v>200</v>
      </c>
      <c r="AD16" s="220">
        <v>1.3</v>
      </c>
      <c r="AE16" s="220">
        <v>0.25</v>
      </c>
      <c r="AF16" s="220">
        <v>4.5</v>
      </c>
      <c r="AG16" s="220">
        <f t="shared" si="46"/>
        <v>24</v>
      </c>
      <c r="AH16" s="220">
        <v>1</v>
      </c>
      <c r="AI16" s="220">
        <f>AD16-0.04*2</f>
        <v>1.22</v>
      </c>
      <c r="AJ16" s="220">
        <f>AE16-0.04*2</f>
        <v>0.16999999999999998</v>
      </c>
      <c r="AK16" s="220">
        <f t="shared" ref="AK16" si="55">AI16</f>
        <v>1.22</v>
      </c>
      <c r="AL16" s="220">
        <f>AJ16</f>
        <v>0.16999999999999998</v>
      </c>
      <c r="AM16" s="220">
        <f>10*(AB16/1000)</f>
        <v>0.1</v>
      </c>
      <c r="AN16" s="220">
        <f t="shared" si="47"/>
        <v>2.88</v>
      </c>
      <c r="AO16" s="220">
        <f t="shared" si="48"/>
        <v>69.12</v>
      </c>
      <c r="AP16" s="220">
        <f t="shared" si="8"/>
        <v>0.61653755826699685</v>
      </c>
      <c r="AQ16" s="220">
        <f t="shared" si="41"/>
        <v>42.615076027414823</v>
      </c>
      <c r="AT16" s="282"/>
      <c r="AU16" s="282"/>
      <c r="AV16" s="187" t="s">
        <v>456</v>
      </c>
      <c r="AW16" s="188">
        <v>10</v>
      </c>
      <c r="AX16" s="189">
        <v>150</v>
      </c>
      <c r="AY16" s="190">
        <v>0.25</v>
      </c>
      <c r="AZ16" s="190">
        <v>0.82</v>
      </c>
      <c r="BA16" s="190">
        <v>2.93</v>
      </c>
      <c r="BB16" s="190">
        <f>ROUND((BA16/(AX16/1000))+1,0)</f>
        <v>21</v>
      </c>
      <c r="BC16" s="190">
        <v>1</v>
      </c>
      <c r="BD16" s="190">
        <f>AY16-0.04*2</f>
        <v>0.16999999999999998</v>
      </c>
      <c r="BE16" s="190">
        <f>AZ16-0.04*2</f>
        <v>0.74</v>
      </c>
      <c r="BF16" s="190">
        <f>BD16</f>
        <v>0.16999999999999998</v>
      </c>
      <c r="BG16" s="190">
        <f>BE16</f>
        <v>0.74</v>
      </c>
      <c r="BH16" s="190">
        <f>(10*AW16)/1000</f>
        <v>0.1</v>
      </c>
      <c r="BI16" s="190">
        <f>SUM(BD16:BH16)</f>
        <v>1.92</v>
      </c>
      <c r="BJ16" s="190">
        <f>BB16*BI16*BC16</f>
        <v>40.32</v>
      </c>
      <c r="BK16" s="190">
        <f t="shared" si="1"/>
        <v>0.61653755826699685</v>
      </c>
      <c r="BL16" s="190">
        <f t="shared" si="50"/>
        <v>24.858794349325315</v>
      </c>
      <c r="BO16" s="216"/>
      <c r="BP16" s="216"/>
      <c r="BQ16" s="217" t="s">
        <v>469</v>
      </c>
      <c r="BR16" s="218">
        <v>12</v>
      </c>
      <c r="BS16" s="219">
        <v>150</v>
      </c>
      <c r="BT16" s="220">
        <f>BT15</f>
        <v>4.0999999999999996</v>
      </c>
      <c r="BU16" s="220"/>
      <c r="BV16" s="220">
        <v>37.200000000000003</v>
      </c>
      <c r="BW16" s="220">
        <v>60</v>
      </c>
      <c r="BX16" s="220">
        <v>1</v>
      </c>
      <c r="BY16" s="220">
        <f t="shared" ref="BY16:BY17" si="56">BT16</f>
        <v>4.0999999999999996</v>
      </c>
      <c r="BZ16" s="220">
        <f t="shared" ref="BZ16:BZ18" si="57">BZ15</f>
        <v>0.8</v>
      </c>
      <c r="CA16" s="220"/>
      <c r="CB16" s="220"/>
      <c r="CC16" s="220"/>
      <c r="CD16" s="220">
        <f t="shared" si="51"/>
        <v>4.8999999999999995</v>
      </c>
      <c r="CE16" s="220">
        <f t="shared" si="52"/>
        <v>293.99999999999994</v>
      </c>
      <c r="CF16" s="220">
        <f t="shared" si="53"/>
        <v>0.88781408390447547</v>
      </c>
      <c r="CG16" s="220">
        <f t="shared" ref="CG16:CG18" si="58">CE16*CF16</f>
        <v>261.01734066791573</v>
      </c>
      <c r="CI16" s="283" t="s">
        <v>425</v>
      </c>
      <c r="CJ16" s="283"/>
    </row>
    <row r="17" spans="2:94" x14ac:dyDescent="0.25">
      <c r="B17" s="178"/>
      <c r="D17" s="282" t="s">
        <v>182</v>
      </c>
      <c r="E17" s="282" t="s">
        <v>109</v>
      </c>
      <c r="F17" s="187" t="s">
        <v>437</v>
      </c>
      <c r="G17" s="188">
        <v>16</v>
      </c>
      <c r="H17" s="189" t="s">
        <v>440</v>
      </c>
      <c r="I17" s="190">
        <v>0.6</v>
      </c>
      <c r="J17" s="190">
        <v>0.25</v>
      </c>
      <c r="K17" s="190">
        <v>4.5</v>
      </c>
      <c r="L17" s="190">
        <v>10</v>
      </c>
      <c r="M17" s="190">
        <v>1</v>
      </c>
      <c r="N17" s="190">
        <f>K17</f>
        <v>4.5</v>
      </c>
      <c r="O17" s="190">
        <v>0.6</v>
      </c>
      <c r="P17" s="190"/>
      <c r="Q17" s="190"/>
      <c r="R17" s="190"/>
      <c r="S17" s="190">
        <f>SUM(N17:R17)</f>
        <v>5.0999999999999996</v>
      </c>
      <c r="T17" s="190">
        <f>L17*S17*M17</f>
        <v>51</v>
      </c>
      <c r="U17" s="190">
        <f t="shared" si="7"/>
        <v>1.5783361491635119</v>
      </c>
      <c r="V17" s="190">
        <f>T17*U17</f>
        <v>80.495143607339116</v>
      </c>
      <c r="Y17" s="216"/>
      <c r="Z17" s="216"/>
      <c r="AA17" s="217" t="s">
        <v>448</v>
      </c>
      <c r="AB17" s="218">
        <v>10</v>
      </c>
      <c r="AC17" s="219">
        <v>200</v>
      </c>
      <c r="AD17" s="220">
        <v>0.55000000000000004</v>
      </c>
      <c r="AE17" s="220">
        <v>0.3</v>
      </c>
      <c r="AF17" s="220">
        <v>4.5</v>
      </c>
      <c r="AG17" s="220">
        <f t="shared" si="46"/>
        <v>24</v>
      </c>
      <c r="AH17" s="220">
        <v>2</v>
      </c>
      <c r="AI17" s="220">
        <v>0.1</v>
      </c>
      <c r="AJ17" s="220">
        <f>AE17-0.04*2</f>
        <v>0.21999999999999997</v>
      </c>
      <c r="AK17" s="220">
        <v>0.1</v>
      </c>
      <c r="AL17" s="220"/>
      <c r="AM17" s="220"/>
      <c r="AN17" s="220">
        <f t="shared" si="47"/>
        <v>0.41999999999999993</v>
      </c>
      <c r="AO17" s="220">
        <f t="shared" si="48"/>
        <v>20.159999999999997</v>
      </c>
      <c r="AP17" s="220">
        <f t="shared" si="8"/>
        <v>0.61653755826699685</v>
      </c>
      <c r="AQ17" s="220">
        <f t="shared" si="41"/>
        <v>12.429397174662654</v>
      </c>
      <c r="AT17" s="206"/>
      <c r="AU17" s="206"/>
      <c r="AV17" s="187" t="s">
        <v>453</v>
      </c>
      <c r="AW17" s="188">
        <v>12</v>
      </c>
      <c r="AX17" s="222">
        <v>0</v>
      </c>
      <c r="AY17" s="190">
        <v>0.4</v>
      </c>
      <c r="AZ17" s="190">
        <v>0.25</v>
      </c>
      <c r="BA17" s="190">
        <f>BA16</f>
        <v>2.93</v>
      </c>
      <c r="BB17" s="190">
        <v>2</v>
      </c>
      <c r="BC17" s="190">
        <v>1</v>
      </c>
      <c r="BD17" s="190">
        <f t="shared" ref="BD17" si="59">BA17</f>
        <v>2.93</v>
      </c>
      <c r="BE17" s="190"/>
      <c r="BF17" s="190"/>
      <c r="BG17" s="190"/>
      <c r="BH17" s="190"/>
      <c r="BI17" s="190">
        <f t="shared" ref="BI17" si="60">SUM(BD17:BH17)</f>
        <v>2.93</v>
      </c>
      <c r="BJ17" s="190">
        <f t="shared" ref="BJ17:BJ18" si="61">BB17*BI17*BC17</f>
        <v>5.86</v>
      </c>
      <c r="BK17" s="190">
        <f t="shared" si="1"/>
        <v>0.88781408390447547</v>
      </c>
      <c r="BL17" s="190">
        <f t="shared" si="50"/>
        <v>5.2025905316802268</v>
      </c>
      <c r="BO17" s="216"/>
      <c r="BP17" s="216"/>
      <c r="BQ17" s="217" t="s">
        <v>469</v>
      </c>
      <c r="BR17" s="218">
        <v>12</v>
      </c>
      <c r="BS17" s="219">
        <v>200</v>
      </c>
      <c r="BT17" s="220">
        <f t="shared" ref="BT17:BT23" si="62">BT16</f>
        <v>4.0999999999999996</v>
      </c>
      <c r="BU17" s="220"/>
      <c r="BV17" s="220">
        <v>37.200000000000003</v>
      </c>
      <c r="BW17" s="220">
        <v>0</v>
      </c>
      <c r="BX17" s="220">
        <v>1</v>
      </c>
      <c r="BY17" s="220">
        <f t="shared" si="56"/>
        <v>4.0999999999999996</v>
      </c>
      <c r="BZ17" s="220">
        <f t="shared" si="57"/>
        <v>0.8</v>
      </c>
      <c r="CA17" s="220"/>
      <c r="CB17" s="220"/>
      <c r="CC17" s="220"/>
      <c r="CD17" s="220">
        <f t="shared" si="51"/>
        <v>4.8999999999999995</v>
      </c>
      <c r="CE17" s="220">
        <f t="shared" si="52"/>
        <v>0</v>
      </c>
      <c r="CF17" s="220">
        <f t="shared" si="53"/>
        <v>0.88781408390447547</v>
      </c>
      <c r="CG17" s="220">
        <f t="shared" si="58"/>
        <v>0</v>
      </c>
      <c r="CI17" s="203" t="s">
        <v>230</v>
      </c>
      <c r="CJ17" s="197" t="s">
        <v>427</v>
      </c>
      <c r="CK17" s="197" t="s">
        <v>44</v>
      </c>
      <c r="CL17" s="197" t="s">
        <v>415</v>
      </c>
      <c r="CP17" s="178">
        <f>7*9.5</f>
        <v>66.5</v>
      </c>
    </row>
    <row r="18" spans="2:94" x14ac:dyDescent="0.25">
      <c r="B18" s="178"/>
      <c r="D18" s="282"/>
      <c r="E18" s="282"/>
      <c r="F18" s="187" t="s">
        <v>438</v>
      </c>
      <c r="G18" s="188">
        <v>10</v>
      </c>
      <c r="H18" s="189">
        <v>200</v>
      </c>
      <c r="I18" s="190">
        <v>0.6</v>
      </c>
      <c r="J18" s="190">
        <v>0.25</v>
      </c>
      <c r="K18" s="190">
        <v>4.5</v>
      </c>
      <c r="L18" s="190">
        <f t="shared" si="43"/>
        <v>24</v>
      </c>
      <c r="M18" s="190">
        <v>1</v>
      </c>
      <c r="N18" s="190">
        <f>I18-0.04*2</f>
        <v>0.52</v>
      </c>
      <c r="O18" s="190">
        <f>J18-0.04*2</f>
        <v>0.16999999999999998</v>
      </c>
      <c r="P18" s="190">
        <f t="shared" ref="P18:P19" si="63">N18</f>
        <v>0.52</v>
      </c>
      <c r="Q18" s="190">
        <f>O18</f>
        <v>0.16999999999999998</v>
      </c>
      <c r="R18" s="190">
        <f>10*(G18/1000)</f>
        <v>0.1</v>
      </c>
      <c r="S18" s="190">
        <f>SUM(N18:R18)</f>
        <v>1.48</v>
      </c>
      <c r="T18" s="190">
        <f>L18*S18*M18</f>
        <v>35.519999999999996</v>
      </c>
      <c r="U18" s="190">
        <f t="shared" si="7"/>
        <v>0.61653755826699685</v>
      </c>
      <c r="V18" s="190">
        <f t="shared" ref="V18:V19" si="64">T18*U18</f>
        <v>21.899414069643726</v>
      </c>
      <c r="Y18" s="206" t="s">
        <v>197</v>
      </c>
      <c r="Z18" s="206" t="s">
        <v>109</v>
      </c>
      <c r="AA18" s="187" t="s">
        <v>444</v>
      </c>
      <c r="AB18" s="188">
        <v>16</v>
      </c>
      <c r="AC18" s="189" t="s">
        <v>440</v>
      </c>
      <c r="AD18" s="190"/>
      <c r="AE18" s="190"/>
      <c r="AF18" s="190">
        <v>4.5</v>
      </c>
      <c r="AG18" s="190">
        <v>8</v>
      </c>
      <c r="AH18" s="190">
        <v>2</v>
      </c>
      <c r="AI18" s="190">
        <f>AF18</f>
        <v>4.5</v>
      </c>
      <c r="AJ18" s="190">
        <f>16*(AB18/1000)</f>
        <v>0.25600000000000001</v>
      </c>
      <c r="AK18" s="190"/>
      <c r="AL18" s="190"/>
      <c r="AM18" s="190"/>
      <c r="AN18" s="190">
        <f>SUM(AI18:AM18)</f>
        <v>4.7560000000000002</v>
      </c>
      <c r="AO18" s="190">
        <f>AG18*AN18*AH18</f>
        <v>76.096000000000004</v>
      </c>
      <c r="AP18" s="190">
        <f t="shared" si="8"/>
        <v>1.5783361491635119</v>
      </c>
      <c r="AQ18" s="190">
        <f>AO18*AP18</f>
        <v>120.10506760674662</v>
      </c>
      <c r="AT18" s="285" t="s">
        <v>459</v>
      </c>
      <c r="AU18" s="285" t="s">
        <v>253</v>
      </c>
      <c r="AV18" s="217" t="s">
        <v>451</v>
      </c>
      <c r="AW18" s="218">
        <v>16</v>
      </c>
      <c r="AX18" s="223">
        <v>0</v>
      </c>
      <c r="AY18" s="220">
        <v>0.3</v>
      </c>
      <c r="AZ18" s="220">
        <v>0.6</v>
      </c>
      <c r="BA18" s="220">
        <v>4.95</v>
      </c>
      <c r="BB18" s="220">
        <v>2</v>
      </c>
      <c r="BC18" s="220">
        <v>1</v>
      </c>
      <c r="BD18" s="220">
        <f>BA18</f>
        <v>4.95</v>
      </c>
      <c r="BE18" s="220"/>
      <c r="BF18" s="220"/>
      <c r="BG18" s="220"/>
      <c r="BH18" s="220"/>
      <c r="BI18" s="220">
        <f>SUM(BD18:BH18)</f>
        <v>4.95</v>
      </c>
      <c r="BJ18" s="220">
        <f t="shared" si="61"/>
        <v>9.9</v>
      </c>
      <c r="BK18" s="220">
        <f t="shared" si="1"/>
        <v>1.5783361491635119</v>
      </c>
      <c r="BL18" s="220">
        <f>BJ18*BK18</f>
        <v>15.625527876718769</v>
      </c>
      <c r="BO18" s="216"/>
      <c r="BP18" s="216"/>
      <c r="BQ18" s="217" t="s">
        <v>469</v>
      </c>
      <c r="BR18" s="218">
        <v>16</v>
      </c>
      <c r="BS18" s="219">
        <v>150</v>
      </c>
      <c r="BT18" s="220">
        <f t="shared" si="62"/>
        <v>4.0999999999999996</v>
      </c>
      <c r="BU18" s="220"/>
      <c r="BV18" s="220">
        <v>37.200000000000003</v>
      </c>
      <c r="BW18" s="220">
        <v>0</v>
      </c>
      <c r="BX18" s="220">
        <v>2</v>
      </c>
      <c r="BY18" s="220">
        <f>BT18</f>
        <v>4.0999999999999996</v>
      </c>
      <c r="BZ18" s="220">
        <f t="shared" si="57"/>
        <v>0.8</v>
      </c>
      <c r="CA18" s="220"/>
      <c r="CB18" s="220"/>
      <c r="CC18" s="220"/>
      <c r="CD18" s="220">
        <f t="shared" si="51"/>
        <v>4.8999999999999995</v>
      </c>
      <c r="CE18" s="220">
        <f t="shared" si="52"/>
        <v>0</v>
      </c>
      <c r="CF18" s="220">
        <f t="shared" si="53"/>
        <v>1.5783361491635119</v>
      </c>
      <c r="CG18" s="220">
        <f t="shared" si="58"/>
        <v>0</v>
      </c>
      <c r="CI18" s="204" t="s">
        <v>494</v>
      </c>
      <c r="CJ18" s="198">
        <f>SUM(DA6:DA9)/58.73</f>
        <v>22.766014138602756</v>
      </c>
      <c r="CK18" s="198">
        <f>562.6+34.3</f>
        <v>596.9</v>
      </c>
      <c r="CL18" s="198">
        <f>CJ18*CK18</f>
        <v>13589.033839331985</v>
      </c>
    </row>
    <row r="19" spans="2:94" x14ac:dyDescent="0.25">
      <c r="B19" s="178"/>
      <c r="D19" s="282"/>
      <c r="E19" s="282"/>
      <c r="F19" s="187" t="s">
        <v>438</v>
      </c>
      <c r="G19" s="188">
        <v>10</v>
      </c>
      <c r="H19" s="189">
        <v>200</v>
      </c>
      <c r="I19" s="190">
        <v>0.6</v>
      </c>
      <c r="J19" s="190">
        <v>0.25</v>
      </c>
      <c r="K19" s="190">
        <v>4.5</v>
      </c>
      <c r="L19" s="190">
        <f t="shared" si="43"/>
        <v>24</v>
      </c>
      <c r="M19" s="190">
        <v>1</v>
      </c>
      <c r="N19" s="190">
        <f t="shared" ref="N19" si="65">10*(G19/1000)</f>
        <v>0.1</v>
      </c>
      <c r="O19" s="190">
        <f t="shared" ref="O19" si="66">J19-0.04*2</f>
        <v>0.16999999999999998</v>
      </c>
      <c r="P19" s="190">
        <f t="shared" si="63"/>
        <v>0.1</v>
      </c>
      <c r="Q19" s="190"/>
      <c r="R19" s="190"/>
      <c r="S19" s="190">
        <f t="shared" ref="S19" si="67">SUM(N19:R19)</f>
        <v>0.37</v>
      </c>
      <c r="T19" s="190">
        <f t="shared" ref="T19:T22" si="68">L19*S19*M19</f>
        <v>8.879999999999999</v>
      </c>
      <c r="U19" s="190">
        <f t="shared" si="7"/>
        <v>0.61653755826699685</v>
      </c>
      <c r="V19" s="190">
        <f t="shared" si="64"/>
        <v>5.4748535174109314</v>
      </c>
      <c r="Y19" s="206"/>
      <c r="Z19" s="206"/>
      <c r="AA19" s="187" t="s">
        <v>445</v>
      </c>
      <c r="AB19" s="188">
        <v>12</v>
      </c>
      <c r="AC19" s="189" t="s">
        <v>440</v>
      </c>
      <c r="AD19" s="190"/>
      <c r="AE19" s="190"/>
      <c r="AF19" s="190">
        <v>4.5</v>
      </c>
      <c r="AG19" s="190">
        <v>10</v>
      </c>
      <c r="AH19" s="190">
        <v>1</v>
      </c>
      <c r="AI19" s="190">
        <f>AF19</f>
        <v>4.5</v>
      </c>
      <c r="AJ19" s="190">
        <f>16*(AB19/1000)</f>
        <v>0.192</v>
      </c>
      <c r="AK19" s="190"/>
      <c r="AL19" s="190"/>
      <c r="AM19" s="190"/>
      <c r="AN19" s="190">
        <f>SUM(AI19:AM19)</f>
        <v>4.6920000000000002</v>
      </c>
      <c r="AO19" s="190">
        <f>AG19*AN19*AH19</f>
        <v>46.92</v>
      </c>
      <c r="AP19" s="190">
        <f t="shared" si="8"/>
        <v>0.88781408390447547</v>
      </c>
      <c r="AQ19" s="190">
        <f t="shared" ref="AQ19:AQ22" si="69">AO19*AP19</f>
        <v>41.656236816797993</v>
      </c>
      <c r="AT19" s="285"/>
      <c r="AU19" s="285"/>
      <c r="AV19" s="217" t="s">
        <v>452</v>
      </c>
      <c r="AW19" s="218">
        <v>16</v>
      </c>
      <c r="AX19" s="223">
        <v>0</v>
      </c>
      <c r="AY19" s="220">
        <f>AY18</f>
        <v>0.3</v>
      </c>
      <c r="AZ19" s="220">
        <f>AZ18</f>
        <v>0.6</v>
      </c>
      <c r="BA19" s="220">
        <v>4.95</v>
      </c>
      <c r="BB19" s="220">
        <v>6</v>
      </c>
      <c r="BC19" s="220">
        <v>1</v>
      </c>
      <c r="BD19" s="220">
        <f>BA19</f>
        <v>4.95</v>
      </c>
      <c r="BE19" s="220"/>
      <c r="BF19" s="220"/>
      <c r="BG19" s="220"/>
      <c r="BH19" s="220"/>
      <c r="BI19" s="220">
        <f t="shared" ref="BI19" si="70">SUM(BD19:BH19)</f>
        <v>4.95</v>
      </c>
      <c r="BJ19" s="220">
        <f>BB19*BI19*BC19</f>
        <v>29.700000000000003</v>
      </c>
      <c r="BK19" s="220">
        <f t="shared" si="1"/>
        <v>1.5783361491635119</v>
      </c>
      <c r="BL19" s="220">
        <f t="shared" ref="BL19:BL21" si="71">BJ19*BK19</f>
        <v>46.876583630156311</v>
      </c>
      <c r="BO19" s="216"/>
      <c r="BP19" s="216"/>
      <c r="BQ19" s="217" t="s">
        <v>471</v>
      </c>
      <c r="BR19" s="218">
        <v>10</v>
      </c>
      <c r="BS19" s="219">
        <v>150</v>
      </c>
      <c r="BT19" s="220">
        <f t="shared" si="62"/>
        <v>4.0999999999999996</v>
      </c>
      <c r="BU19" s="220">
        <v>0.25</v>
      </c>
      <c r="BV19" s="220">
        <v>2.35</v>
      </c>
      <c r="BW19" s="220">
        <f>ROUND((BT19/(BS19/1000))+1,0)</f>
        <v>28</v>
      </c>
      <c r="BX19" s="220">
        <v>1</v>
      </c>
      <c r="BY19" s="220">
        <f>BV19-0.05*2</f>
        <v>2.25</v>
      </c>
      <c r="BZ19" s="220">
        <f>BU19-0.05*2</f>
        <v>0.15</v>
      </c>
      <c r="CA19" s="220">
        <f t="shared" ref="CA19:CA22" si="72">BY19</f>
        <v>2.25</v>
      </c>
      <c r="CB19" s="220">
        <f t="shared" ref="CB19:CB22" si="73">BZ19</f>
        <v>0.15</v>
      </c>
      <c r="CC19" s="220"/>
      <c r="CD19" s="220">
        <f t="shared" si="51"/>
        <v>4.8000000000000007</v>
      </c>
      <c r="CE19" s="220">
        <f t="shared" si="52"/>
        <v>134.40000000000003</v>
      </c>
      <c r="CF19" s="220">
        <f t="shared" si="53"/>
        <v>0.61653755826699685</v>
      </c>
      <c r="CG19" s="220">
        <f>CE19*CF19</f>
        <v>82.862647831084402</v>
      </c>
      <c r="CI19" s="204" t="s">
        <v>493</v>
      </c>
      <c r="CJ19" s="198">
        <f>CJ18</f>
        <v>22.766014138602756</v>
      </c>
      <c r="CK19" s="198">
        <f>181.1+145+199</f>
        <v>525.1</v>
      </c>
      <c r="CL19" s="198">
        <f>CJ19*CK19</f>
        <v>11954.434024180307</v>
      </c>
    </row>
    <row r="20" spans="2:94" s="178" customFormat="1" x14ac:dyDescent="0.25">
      <c r="C20"/>
      <c r="D20" s="281" t="s">
        <v>184</v>
      </c>
      <c r="E20" s="281" t="s">
        <v>109</v>
      </c>
      <c r="F20" s="191" t="s">
        <v>437</v>
      </c>
      <c r="G20" s="192">
        <v>16</v>
      </c>
      <c r="H20" s="193" t="s">
        <v>440</v>
      </c>
      <c r="I20" s="194">
        <v>0.6</v>
      </c>
      <c r="J20" s="194">
        <v>0.25</v>
      </c>
      <c r="K20" s="194">
        <v>4.5</v>
      </c>
      <c r="L20" s="194">
        <v>10</v>
      </c>
      <c r="M20" s="194">
        <v>1</v>
      </c>
      <c r="N20" s="194">
        <f>K20</f>
        <v>4.5</v>
      </c>
      <c r="O20" s="194">
        <v>0.6</v>
      </c>
      <c r="P20" s="194"/>
      <c r="Q20" s="194"/>
      <c r="R20" s="194"/>
      <c r="S20" s="194">
        <f>SUM(N20:R20)</f>
        <v>5.0999999999999996</v>
      </c>
      <c r="T20" s="194">
        <f t="shared" si="68"/>
        <v>51</v>
      </c>
      <c r="U20" s="194">
        <f t="shared" si="7"/>
        <v>1.5783361491635119</v>
      </c>
      <c r="V20" s="194">
        <f>T20*U20</f>
        <v>80.495143607339116</v>
      </c>
      <c r="W20"/>
      <c r="X20"/>
      <c r="Y20" s="206"/>
      <c r="Z20" s="206"/>
      <c r="AA20" s="187" t="s">
        <v>446</v>
      </c>
      <c r="AB20" s="188">
        <v>10</v>
      </c>
      <c r="AC20" s="189">
        <v>200</v>
      </c>
      <c r="AD20" s="190">
        <v>1.3</v>
      </c>
      <c r="AE20" s="190">
        <v>0.25</v>
      </c>
      <c r="AF20" s="190">
        <v>4.5</v>
      </c>
      <c r="AG20" s="190">
        <f t="shared" ref="AG20:AG22" si="74">ROUND((AF20/(AC20/1000))+1,0)</f>
        <v>24</v>
      </c>
      <c r="AH20" s="190">
        <v>1</v>
      </c>
      <c r="AI20" s="190">
        <f>AD20-0.04*2</f>
        <v>1.22</v>
      </c>
      <c r="AJ20" s="190">
        <f>AE20-0.04*2</f>
        <v>0.16999999999999998</v>
      </c>
      <c r="AK20" s="190">
        <f t="shared" ref="AK20" si="75">AI20</f>
        <v>1.22</v>
      </c>
      <c r="AL20" s="190">
        <f>AJ20</f>
        <v>0.16999999999999998</v>
      </c>
      <c r="AM20" s="190">
        <f>10*(AB20/1000)</f>
        <v>0.1</v>
      </c>
      <c r="AN20" s="190">
        <f t="shared" ref="AN20:AN22" si="76">SUM(AI20:AM20)</f>
        <v>2.88</v>
      </c>
      <c r="AO20" s="190">
        <f t="shared" ref="AO20:AO22" si="77">AG20*AN20*AH20</f>
        <v>69.12</v>
      </c>
      <c r="AP20" s="190">
        <f t="shared" si="8"/>
        <v>0.61653755826699685</v>
      </c>
      <c r="AQ20" s="190">
        <f t="shared" si="69"/>
        <v>42.615076027414823</v>
      </c>
      <c r="AR20"/>
      <c r="AS20"/>
      <c r="AT20" s="285"/>
      <c r="AU20" s="285"/>
      <c r="AV20" s="217" t="s">
        <v>456</v>
      </c>
      <c r="AW20" s="218">
        <v>10</v>
      </c>
      <c r="AX20" s="219">
        <v>250</v>
      </c>
      <c r="AY20" s="220">
        <f>AY19</f>
        <v>0.3</v>
      </c>
      <c r="AZ20" s="220">
        <f>AZ19</f>
        <v>0.6</v>
      </c>
      <c r="BA20" s="220">
        <v>4.95</v>
      </c>
      <c r="BB20" s="220">
        <f>ROUND((BA20/(AX20/1000))+1,0)</f>
        <v>21</v>
      </c>
      <c r="BC20" s="220">
        <v>1</v>
      </c>
      <c r="BD20" s="220">
        <f>AY20-0.04*2</f>
        <v>0.21999999999999997</v>
      </c>
      <c r="BE20" s="220">
        <f>AZ20-0.04*2</f>
        <v>0.52</v>
      </c>
      <c r="BF20" s="220">
        <f>BD20</f>
        <v>0.21999999999999997</v>
      </c>
      <c r="BG20" s="220">
        <f>BE20</f>
        <v>0.52</v>
      </c>
      <c r="BH20" s="220">
        <f>(10*AW20)/1000</f>
        <v>0.1</v>
      </c>
      <c r="BI20" s="220">
        <f>SUM(BD20:BH20)</f>
        <v>1.58</v>
      </c>
      <c r="BJ20" s="220">
        <f>BB20*BI20*BC20</f>
        <v>33.18</v>
      </c>
      <c r="BK20" s="220">
        <f t="shared" si="1"/>
        <v>0.61653755826699685</v>
      </c>
      <c r="BL20" s="220">
        <f t="shared" si="71"/>
        <v>20.456716183298955</v>
      </c>
      <c r="BM20"/>
      <c r="BN20"/>
      <c r="BO20" s="216"/>
      <c r="BP20" s="216"/>
      <c r="BQ20" s="217" t="s">
        <v>471</v>
      </c>
      <c r="BR20" s="218">
        <v>10</v>
      </c>
      <c r="BS20" s="219">
        <v>150</v>
      </c>
      <c r="BT20" s="220">
        <f t="shared" si="62"/>
        <v>4.0999999999999996</v>
      </c>
      <c r="BU20" s="220">
        <v>0.25</v>
      </c>
      <c r="BV20" s="220">
        <v>2.125</v>
      </c>
      <c r="BW20" s="220">
        <f>ROUND((BT20/(BS20/1000))+1,0)</f>
        <v>28</v>
      </c>
      <c r="BX20" s="220">
        <v>2</v>
      </c>
      <c r="BY20" s="220">
        <f>BV20-0.05*2</f>
        <v>2.0249999999999999</v>
      </c>
      <c r="BZ20" s="220">
        <f>BU20-0.05*2</f>
        <v>0.15</v>
      </c>
      <c r="CA20" s="220">
        <f t="shared" si="72"/>
        <v>2.0249999999999999</v>
      </c>
      <c r="CB20" s="220">
        <f t="shared" si="73"/>
        <v>0.15</v>
      </c>
      <c r="CC20" s="220"/>
      <c r="CD20" s="220">
        <f t="shared" si="51"/>
        <v>4.3499999999999996</v>
      </c>
      <c r="CE20" s="220">
        <f t="shared" si="52"/>
        <v>243.59999999999997</v>
      </c>
      <c r="CF20" s="220">
        <f t="shared" si="53"/>
        <v>0.61653755826699685</v>
      </c>
      <c r="CG20" s="220">
        <f t="shared" ref="CG20:CG23" si="78">CE20*CF20</f>
        <v>150.1885491938404</v>
      </c>
      <c r="CH20"/>
      <c r="CI20" s="204" t="s">
        <v>579</v>
      </c>
      <c r="CJ20" s="198">
        <f>CJ19</f>
        <v>22.766014138602756</v>
      </c>
      <c r="CK20" s="198">
        <v>126.7</v>
      </c>
      <c r="CL20" s="198">
        <f>CJ20*CK20</f>
        <v>2884.4539913609692</v>
      </c>
    </row>
    <row r="21" spans="2:94" s="178" customFormat="1" x14ac:dyDescent="0.25">
      <c r="C21"/>
      <c r="D21" s="281"/>
      <c r="E21" s="281"/>
      <c r="F21" s="191" t="s">
        <v>438</v>
      </c>
      <c r="G21" s="192">
        <v>10</v>
      </c>
      <c r="H21" s="193">
        <v>200</v>
      </c>
      <c r="I21" s="194">
        <v>0.6</v>
      </c>
      <c r="J21" s="194">
        <v>0.25</v>
      </c>
      <c r="K21" s="194">
        <v>4.5</v>
      </c>
      <c r="L21" s="194">
        <f t="shared" si="43"/>
        <v>24</v>
      </c>
      <c r="M21" s="194">
        <v>1</v>
      </c>
      <c r="N21" s="194">
        <f>I21-0.04*2</f>
        <v>0.52</v>
      </c>
      <c r="O21" s="194">
        <f>J21-0.04*2</f>
        <v>0.16999999999999998</v>
      </c>
      <c r="P21" s="194">
        <f t="shared" ref="P21:P22" si="79">N21</f>
        <v>0.52</v>
      </c>
      <c r="Q21" s="194">
        <f>O21</f>
        <v>0.16999999999999998</v>
      </c>
      <c r="R21" s="194">
        <f>10*(G21/1000)</f>
        <v>0.1</v>
      </c>
      <c r="S21" s="194">
        <f>SUM(N21:R21)</f>
        <v>1.48</v>
      </c>
      <c r="T21" s="194">
        <f t="shared" si="68"/>
        <v>35.519999999999996</v>
      </c>
      <c r="U21" s="194">
        <f t="shared" si="7"/>
        <v>0.61653755826699685</v>
      </c>
      <c r="V21" s="194">
        <f t="shared" ref="V21:V22" si="80">T21*U21</f>
        <v>21.899414069643726</v>
      </c>
      <c r="W21"/>
      <c r="X21"/>
      <c r="Y21" s="206"/>
      <c r="Z21" s="206"/>
      <c r="AA21" s="187" t="s">
        <v>446</v>
      </c>
      <c r="AB21" s="188">
        <v>10</v>
      </c>
      <c r="AC21" s="189">
        <v>200</v>
      </c>
      <c r="AD21" s="190">
        <v>0.25</v>
      </c>
      <c r="AE21" s="190">
        <v>0.25</v>
      </c>
      <c r="AF21" s="190">
        <v>4.5</v>
      </c>
      <c r="AG21" s="190">
        <f t="shared" si="74"/>
        <v>24</v>
      </c>
      <c r="AH21" s="190">
        <v>2</v>
      </c>
      <c r="AI21" s="190">
        <f>AD21-0.04</f>
        <v>0.21</v>
      </c>
      <c r="AJ21" s="190">
        <f>AE21-0.04*2</f>
        <v>0.16999999999999998</v>
      </c>
      <c r="AK21" s="190">
        <f>AI21</f>
        <v>0.21</v>
      </c>
      <c r="AL21" s="190">
        <f>AJ21</f>
        <v>0.16999999999999998</v>
      </c>
      <c r="AM21" s="190">
        <f>10*(AB21/1000)</f>
        <v>0.1</v>
      </c>
      <c r="AN21" s="190">
        <f t="shared" si="76"/>
        <v>0.86</v>
      </c>
      <c r="AO21" s="190">
        <f t="shared" si="77"/>
        <v>41.28</v>
      </c>
      <c r="AP21" s="190">
        <f t="shared" si="8"/>
        <v>0.61653755826699685</v>
      </c>
      <c r="AQ21" s="190">
        <f t="shared" si="69"/>
        <v>25.450670405261629</v>
      </c>
      <c r="AR21"/>
      <c r="AS21"/>
      <c r="AT21" s="216"/>
      <c r="AU21" s="216"/>
      <c r="AV21" s="217" t="s">
        <v>453</v>
      </c>
      <c r="AW21" s="218">
        <v>12</v>
      </c>
      <c r="AX21" s="219">
        <f t="shared" ref="AX21" si="81">AX19</f>
        <v>0</v>
      </c>
      <c r="AY21" s="220">
        <v>0.4</v>
      </c>
      <c r="AZ21" s="220">
        <v>0.25</v>
      </c>
      <c r="BA21" s="220">
        <f t="shared" ref="BA21" si="82">BA20</f>
        <v>4.95</v>
      </c>
      <c r="BB21" s="220">
        <v>2</v>
      </c>
      <c r="BC21" s="220">
        <v>1</v>
      </c>
      <c r="BD21" s="220">
        <f t="shared" ref="BD21" si="83">BA21</f>
        <v>4.95</v>
      </c>
      <c r="BE21" s="220"/>
      <c r="BF21" s="220"/>
      <c r="BG21" s="220"/>
      <c r="BH21" s="220"/>
      <c r="BI21" s="220">
        <f t="shared" ref="BI21" si="84">SUM(BD21:BH21)</f>
        <v>4.95</v>
      </c>
      <c r="BJ21" s="220">
        <f t="shared" ref="BJ21:BJ22" si="85">BB21*BI21*BC21</f>
        <v>9.9</v>
      </c>
      <c r="BK21" s="220">
        <f t="shared" si="1"/>
        <v>0.88781408390447547</v>
      </c>
      <c r="BL21" s="220">
        <f t="shared" si="71"/>
        <v>8.7893594306543079</v>
      </c>
      <c r="BM21"/>
      <c r="BN21"/>
      <c r="BO21" s="216"/>
      <c r="BP21" s="216"/>
      <c r="BQ21" s="217" t="s">
        <v>472</v>
      </c>
      <c r="BR21" s="218">
        <v>12</v>
      </c>
      <c r="BS21" s="219">
        <v>150</v>
      </c>
      <c r="BT21" s="220">
        <f t="shared" si="62"/>
        <v>4.0999999999999996</v>
      </c>
      <c r="BU21" s="220">
        <v>0.25</v>
      </c>
      <c r="BV21" s="220">
        <v>2.125</v>
      </c>
      <c r="BW21" s="220">
        <v>0</v>
      </c>
      <c r="BX21" s="220">
        <v>4</v>
      </c>
      <c r="BY21" s="220">
        <v>0.67</v>
      </c>
      <c r="BZ21" s="220">
        <f>BU21-0.05*2</f>
        <v>0.15</v>
      </c>
      <c r="CA21" s="220">
        <f t="shared" si="72"/>
        <v>0.67</v>
      </c>
      <c r="CB21" s="220">
        <f t="shared" si="73"/>
        <v>0.15</v>
      </c>
      <c r="CC21" s="220"/>
      <c r="CD21" s="220">
        <f t="shared" si="51"/>
        <v>1.6400000000000001</v>
      </c>
      <c r="CE21" s="220">
        <f t="shared" si="52"/>
        <v>0</v>
      </c>
      <c r="CF21" s="220">
        <f t="shared" si="53"/>
        <v>0.88781408390447547</v>
      </c>
      <c r="CG21" s="220">
        <f t="shared" si="78"/>
        <v>0</v>
      </c>
      <c r="CH21"/>
      <c r="CI21" s="212" t="s">
        <v>443</v>
      </c>
      <c r="CJ21" s="210"/>
      <c r="CK21" s="210"/>
      <c r="CL21" s="214">
        <f>SUM(CL18:CL19)</f>
        <v>25543.467863512291</v>
      </c>
    </row>
    <row r="22" spans="2:94" s="178" customFormat="1" x14ac:dyDescent="0.25">
      <c r="C22"/>
      <c r="D22" s="281"/>
      <c r="E22" s="281"/>
      <c r="F22" s="191" t="s">
        <v>438</v>
      </c>
      <c r="G22" s="192">
        <v>10</v>
      </c>
      <c r="H22" s="193">
        <v>200</v>
      </c>
      <c r="I22" s="194">
        <v>0.6</v>
      </c>
      <c r="J22" s="194">
        <v>0.25</v>
      </c>
      <c r="K22" s="194">
        <v>4.5</v>
      </c>
      <c r="L22" s="194">
        <f t="shared" si="43"/>
        <v>24</v>
      </c>
      <c r="M22" s="194">
        <v>1</v>
      </c>
      <c r="N22" s="194">
        <f t="shared" ref="N22" si="86">10*(G22/1000)</f>
        <v>0.1</v>
      </c>
      <c r="O22" s="194">
        <f t="shared" ref="O22" si="87">J22-0.04*2</f>
        <v>0.16999999999999998</v>
      </c>
      <c r="P22" s="194">
        <f t="shared" si="79"/>
        <v>0.1</v>
      </c>
      <c r="Q22" s="194"/>
      <c r="R22" s="194"/>
      <c r="S22" s="194">
        <f t="shared" ref="S22" si="88">SUM(N22:R22)</f>
        <v>0.37</v>
      </c>
      <c r="T22" s="194">
        <f t="shared" si="68"/>
        <v>8.879999999999999</v>
      </c>
      <c r="U22" s="194">
        <f t="shared" si="7"/>
        <v>0.61653755826699685</v>
      </c>
      <c r="V22" s="194">
        <f t="shared" si="80"/>
        <v>5.4748535174109314</v>
      </c>
      <c r="W22"/>
      <c r="X22"/>
      <c r="Y22" s="206"/>
      <c r="Z22" s="206"/>
      <c r="AA22" s="187" t="s">
        <v>448</v>
      </c>
      <c r="AB22" s="188">
        <v>10</v>
      </c>
      <c r="AC22" s="189">
        <v>200</v>
      </c>
      <c r="AD22" s="190">
        <v>0.55000000000000004</v>
      </c>
      <c r="AE22" s="190">
        <v>0.3</v>
      </c>
      <c r="AF22" s="190">
        <v>4.5</v>
      </c>
      <c r="AG22" s="190">
        <f t="shared" si="74"/>
        <v>24</v>
      </c>
      <c r="AH22" s="190">
        <v>2</v>
      </c>
      <c r="AI22" s="190">
        <v>0.1</v>
      </c>
      <c r="AJ22" s="190">
        <f t="shared" ref="AJ22" si="89">AE22-0.04*2</f>
        <v>0.21999999999999997</v>
      </c>
      <c r="AK22" s="190">
        <v>0.1</v>
      </c>
      <c r="AL22" s="190"/>
      <c r="AM22" s="190"/>
      <c r="AN22" s="190">
        <f t="shared" si="76"/>
        <v>0.41999999999999993</v>
      </c>
      <c r="AO22" s="190">
        <f t="shared" si="77"/>
        <v>20.159999999999997</v>
      </c>
      <c r="AP22" s="190">
        <f t="shared" si="8"/>
        <v>0.61653755826699685</v>
      </c>
      <c r="AQ22" s="190">
        <f t="shared" si="69"/>
        <v>12.429397174662654</v>
      </c>
      <c r="AR22"/>
      <c r="AS22"/>
      <c r="AT22" s="282" t="s">
        <v>460</v>
      </c>
      <c r="AU22" s="282" t="s">
        <v>253</v>
      </c>
      <c r="AV22" s="187" t="s">
        <v>451</v>
      </c>
      <c r="AW22" s="188">
        <v>16</v>
      </c>
      <c r="AX22" s="222">
        <v>0</v>
      </c>
      <c r="AY22" s="190">
        <v>0.25</v>
      </c>
      <c r="AZ22" s="190">
        <v>0.6</v>
      </c>
      <c r="BA22" s="190">
        <v>2.93</v>
      </c>
      <c r="BB22" s="190">
        <v>2</v>
      </c>
      <c r="BC22" s="190">
        <v>1</v>
      </c>
      <c r="BD22" s="190">
        <f>BA22</f>
        <v>2.93</v>
      </c>
      <c r="BE22" s="190"/>
      <c r="BF22" s="190"/>
      <c r="BG22" s="190"/>
      <c r="BH22" s="190"/>
      <c r="BI22" s="190">
        <f>SUM(BD22:BH22)</f>
        <v>2.93</v>
      </c>
      <c r="BJ22" s="190">
        <f t="shared" si="85"/>
        <v>5.86</v>
      </c>
      <c r="BK22" s="190">
        <f t="shared" si="1"/>
        <v>1.5783361491635119</v>
      </c>
      <c r="BL22" s="190">
        <f>BJ22*BK22</f>
        <v>9.2490498340981802</v>
      </c>
      <c r="BM22"/>
      <c r="BN22"/>
      <c r="BO22" s="216"/>
      <c r="BP22" s="216"/>
      <c r="BQ22" s="217" t="s">
        <v>473</v>
      </c>
      <c r="BR22" s="218">
        <v>12</v>
      </c>
      <c r="BS22" s="219">
        <v>150</v>
      </c>
      <c r="BT22" s="220">
        <f t="shared" si="62"/>
        <v>4.0999999999999996</v>
      </c>
      <c r="BU22" s="220">
        <v>0.25</v>
      </c>
      <c r="BV22" s="220">
        <v>2.125</v>
      </c>
      <c r="BW22" s="220">
        <v>0</v>
      </c>
      <c r="BX22" s="220">
        <v>2</v>
      </c>
      <c r="BY22" s="220">
        <v>0.5</v>
      </c>
      <c r="BZ22" s="220">
        <f>BU22-0.05*2</f>
        <v>0.15</v>
      </c>
      <c r="CA22" s="220">
        <f t="shared" si="72"/>
        <v>0.5</v>
      </c>
      <c r="CB22" s="220">
        <f t="shared" si="73"/>
        <v>0.15</v>
      </c>
      <c r="CC22" s="220"/>
      <c r="CD22" s="220">
        <f t="shared" si="51"/>
        <v>1.2999999999999998</v>
      </c>
      <c r="CE22" s="220">
        <f t="shared" si="52"/>
        <v>0</v>
      </c>
      <c r="CF22" s="220">
        <f t="shared" si="53"/>
        <v>0.88781408390447547</v>
      </c>
      <c r="CG22" s="220">
        <f t="shared" si="78"/>
        <v>0</v>
      </c>
      <c r="CH22"/>
    </row>
    <row r="23" spans="2:94" s="178" customFormat="1" x14ac:dyDescent="0.25">
      <c r="C23"/>
      <c r="D23" s="282" t="s">
        <v>185</v>
      </c>
      <c r="E23" s="282" t="s">
        <v>109</v>
      </c>
      <c r="F23" s="187" t="s">
        <v>437</v>
      </c>
      <c r="G23" s="188">
        <v>16</v>
      </c>
      <c r="H23" s="189" t="s">
        <v>440</v>
      </c>
      <c r="I23" s="190">
        <v>0.6</v>
      </c>
      <c r="J23" s="190">
        <v>0.25</v>
      </c>
      <c r="K23" s="190">
        <v>4.5</v>
      </c>
      <c r="L23" s="190">
        <v>10</v>
      </c>
      <c r="M23" s="190">
        <v>1</v>
      </c>
      <c r="N23" s="190">
        <f>K23</f>
        <v>4.5</v>
      </c>
      <c r="O23" s="190">
        <v>0.6</v>
      </c>
      <c r="P23" s="190"/>
      <c r="Q23" s="190"/>
      <c r="R23" s="190"/>
      <c r="S23" s="190">
        <f>SUM(N23:R23)</f>
        <v>5.0999999999999996</v>
      </c>
      <c r="T23" s="190">
        <f>L23*S23*M23</f>
        <v>51</v>
      </c>
      <c r="U23" s="190">
        <f t="shared" si="7"/>
        <v>1.5783361491635119</v>
      </c>
      <c r="V23" s="190">
        <f>T23*U23</f>
        <v>80.495143607339116</v>
      </c>
      <c r="W23"/>
      <c r="X23"/>
      <c r="Y23" s="195" t="s">
        <v>109</v>
      </c>
      <c r="Z23" s="202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6"/>
      <c r="AR23"/>
      <c r="AS23"/>
      <c r="AT23" s="282"/>
      <c r="AU23" s="282"/>
      <c r="AV23" s="187" t="s">
        <v>452</v>
      </c>
      <c r="AW23" s="188">
        <v>16</v>
      </c>
      <c r="AX23" s="222">
        <v>0</v>
      </c>
      <c r="AY23" s="190">
        <v>0.25</v>
      </c>
      <c r="AZ23" s="190">
        <f>AZ22</f>
        <v>0.6</v>
      </c>
      <c r="BA23" s="190">
        <v>2.93</v>
      </c>
      <c r="BB23" s="190">
        <v>6</v>
      </c>
      <c r="BC23" s="190">
        <v>1</v>
      </c>
      <c r="BD23" s="190">
        <f>BA23</f>
        <v>2.93</v>
      </c>
      <c r="BE23" s="190"/>
      <c r="BF23" s="190"/>
      <c r="BG23" s="190"/>
      <c r="BH23" s="190"/>
      <c r="BI23" s="190">
        <f t="shared" ref="BI23" si="90">SUM(BD23:BH23)</f>
        <v>2.93</v>
      </c>
      <c r="BJ23" s="190">
        <f>BB23*BI23*BC23</f>
        <v>17.580000000000002</v>
      </c>
      <c r="BK23" s="190">
        <f t="shared" si="1"/>
        <v>1.5783361491635119</v>
      </c>
      <c r="BL23" s="190">
        <f t="shared" ref="BL23:BL25" si="91">BJ23*BK23</f>
        <v>27.747149502294544</v>
      </c>
      <c r="BM23"/>
      <c r="BN23"/>
      <c r="BO23" s="216"/>
      <c r="BP23" s="216"/>
      <c r="BQ23" s="217" t="s">
        <v>474</v>
      </c>
      <c r="BR23" s="218">
        <v>8</v>
      </c>
      <c r="BS23" s="219">
        <v>200</v>
      </c>
      <c r="BT23" s="220">
        <f t="shared" si="62"/>
        <v>4.0999999999999996</v>
      </c>
      <c r="BU23" s="220">
        <v>0.25</v>
      </c>
      <c r="BV23" s="220">
        <v>2.125</v>
      </c>
      <c r="BW23" s="220">
        <f>ROUND((BT23/(BS23/1000))+1,0)</f>
        <v>22</v>
      </c>
      <c r="BX23" s="220">
        <v>14</v>
      </c>
      <c r="BY23" s="220">
        <v>0.17</v>
      </c>
      <c r="BZ23" s="220">
        <f>0.1</f>
        <v>0.1</v>
      </c>
      <c r="CA23" s="220"/>
      <c r="CB23" s="220">
        <f>BZ23</f>
        <v>0.1</v>
      </c>
      <c r="CC23" s="220"/>
      <c r="CD23" s="220">
        <f t="shared" si="51"/>
        <v>0.37</v>
      </c>
      <c r="CE23" s="220">
        <f t="shared" si="52"/>
        <v>113.96000000000001</v>
      </c>
      <c r="CF23" s="220">
        <f t="shared" si="53"/>
        <v>0.39458403729087799</v>
      </c>
      <c r="CG23" s="220">
        <f t="shared" si="78"/>
        <v>44.966796889668458</v>
      </c>
      <c r="CH23"/>
    </row>
    <row r="24" spans="2:94" s="178" customFormat="1" x14ac:dyDescent="0.25">
      <c r="C24"/>
      <c r="D24" s="282"/>
      <c r="E24" s="282"/>
      <c r="F24" s="187" t="s">
        <v>438</v>
      </c>
      <c r="G24" s="188">
        <v>10</v>
      </c>
      <c r="H24" s="189">
        <v>200</v>
      </c>
      <c r="I24" s="190">
        <v>0.6</v>
      </c>
      <c r="J24" s="190">
        <v>0.25</v>
      </c>
      <c r="K24" s="190">
        <v>4.5</v>
      </c>
      <c r="L24" s="190">
        <f t="shared" si="43"/>
        <v>24</v>
      </c>
      <c r="M24" s="190">
        <v>1</v>
      </c>
      <c r="N24" s="190">
        <f>I24-0.04*2</f>
        <v>0.52</v>
      </c>
      <c r="O24" s="190">
        <f>J24-0.04*2</f>
        <v>0.16999999999999998</v>
      </c>
      <c r="P24" s="190">
        <f t="shared" ref="P24:P25" si="92">N24</f>
        <v>0.52</v>
      </c>
      <c r="Q24" s="190">
        <f>O24</f>
        <v>0.16999999999999998</v>
      </c>
      <c r="R24" s="190">
        <f>10*(G24/1000)</f>
        <v>0.1</v>
      </c>
      <c r="S24" s="190">
        <f>SUM(N24:R24)</f>
        <v>1.48</v>
      </c>
      <c r="T24" s="190">
        <f>L24*S24*M24</f>
        <v>35.519999999999996</v>
      </c>
      <c r="U24" s="190">
        <f t="shared" si="7"/>
        <v>0.61653755826699685</v>
      </c>
      <c r="V24" s="190">
        <f t="shared" ref="V24:V25" si="93">T24*U24</f>
        <v>21.899414069643726</v>
      </c>
      <c r="W24"/>
      <c r="X24"/>
      <c r="Y24" s="206" t="s">
        <v>195</v>
      </c>
      <c r="Z24" s="206" t="s">
        <v>481</v>
      </c>
      <c r="AA24" s="187" t="s">
        <v>444</v>
      </c>
      <c r="AB24" s="188">
        <v>16</v>
      </c>
      <c r="AC24" s="189" t="s">
        <v>440</v>
      </c>
      <c r="AD24" s="190"/>
      <c r="AE24" s="190"/>
      <c r="AF24" s="190">
        <f>K49</f>
        <v>4.0999999999999996</v>
      </c>
      <c r="AG24" s="190">
        <v>8</v>
      </c>
      <c r="AH24" s="190">
        <v>2</v>
      </c>
      <c r="AI24" s="190">
        <f>AF24</f>
        <v>4.0999999999999996</v>
      </c>
      <c r="AJ24" s="190">
        <f>16*(AB24/1000)</f>
        <v>0.25600000000000001</v>
      </c>
      <c r="AK24" s="190"/>
      <c r="AL24" s="190"/>
      <c r="AM24" s="190"/>
      <c r="AN24" s="190">
        <f>SUM(AI24:AM24)</f>
        <v>4.3559999999999999</v>
      </c>
      <c r="AO24" s="190">
        <f>AG24*AN24*AH24</f>
        <v>69.695999999999998</v>
      </c>
      <c r="AP24" s="190">
        <f t="shared" ref="AP24:AP39" si="94">PI()*(AB24/1000)^2*0.25*1*7850</f>
        <v>1.5783361491635119</v>
      </c>
      <c r="AQ24" s="190">
        <f>AO24*AP24</f>
        <v>110.00371625210012</v>
      </c>
      <c r="AR24"/>
      <c r="AS24"/>
      <c r="AT24" s="282"/>
      <c r="AU24" s="282"/>
      <c r="AV24" s="187" t="s">
        <v>456</v>
      </c>
      <c r="AW24" s="188">
        <v>10</v>
      </c>
      <c r="AX24" s="189">
        <v>150</v>
      </c>
      <c r="AY24" s="190">
        <v>0.25</v>
      </c>
      <c r="AZ24" s="190">
        <f>AZ23</f>
        <v>0.6</v>
      </c>
      <c r="BA24" s="190">
        <v>2.93</v>
      </c>
      <c r="BB24" s="190">
        <f>ROUND((BA24/(AX24/1000))+1,0)</f>
        <v>21</v>
      </c>
      <c r="BC24" s="190">
        <v>1</v>
      </c>
      <c r="BD24" s="190">
        <f>AY24-0.04*2</f>
        <v>0.16999999999999998</v>
      </c>
      <c r="BE24" s="190">
        <f>AZ24-0.04*2</f>
        <v>0.52</v>
      </c>
      <c r="BF24" s="190">
        <f>BD24</f>
        <v>0.16999999999999998</v>
      </c>
      <c r="BG24" s="190">
        <f>BE24</f>
        <v>0.52</v>
      </c>
      <c r="BH24" s="190">
        <f>(10*AW24)/1000</f>
        <v>0.1</v>
      </c>
      <c r="BI24" s="190">
        <f>SUM(BD24:BH24)</f>
        <v>1.48</v>
      </c>
      <c r="BJ24" s="190">
        <f>BB24*BI24*BC24</f>
        <v>31.08</v>
      </c>
      <c r="BK24" s="190">
        <f t="shared" si="1"/>
        <v>0.61653755826699685</v>
      </c>
      <c r="BL24" s="190">
        <f t="shared" si="91"/>
        <v>19.161987310938262</v>
      </c>
      <c r="BM24"/>
      <c r="BN24"/>
      <c r="BO24" s="206"/>
      <c r="BP24" s="206" t="s">
        <v>498</v>
      </c>
      <c r="BQ24" s="187" t="s">
        <v>469</v>
      </c>
      <c r="BR24" s="188">
        <v>16</v>
      </c>
      <c r="BS24" s="189">
        <v>150</v>
      </c>
      <c r="BT24" s="190">
        <f>K105</f>
        <v>3.7699999999999996</v>
      </c>
      <c r="BU24" s="190">
        <v>0.25</v>
      </c>
      <c r="BV24" s="190">
        <v>2.35</v>
      </c>
      <c r="BW24" s="190">
        <v>4</v>
      </c>
      <c r="BX24" s="190">
        <v>4</v>
      </c>
      <c r="BY24" s="190">
        <f>BT24</f>
        <v>3.7699999999999996</v>
      </c>
      <c r="BZ24" s="190">
        <v>0.6</v>
      </c>
      <c r="CA24" s="190"/>
      <c r="CB24" s="190"/>
      <c r="CC24" s="190"/>
      <c r="CD24" s="190">
        <f t="shared" ref="CD24:CD32" si="95">SUM(BY24:CC24)</f>
        <v>4.3699999999999992</v>
      </c>
      <c r="CE24" s="190">
        <f t="shared" ref="CE24:CE32" si="96">BW24*CD24*BX24</f>
        <v>69.919999999999987</v>
      </c>
      <c r="CF24" s="190">
        <f t="shared" ref="CF24:CF32" si="97">PI()*(BR24/1000)^2*0.25*1*7850</f>
        <v>1.5783361491635119</v>
      </c>
      <c r="CG24" s="190">
        <f>CE24*CF24</f>
        <v>110.35726354951274</v>
      </c>
      <c r="CH24"/>
    </row>
    <row r="25" spans="2:94" s="178" customFormat="1" x14ac:dyDescent="0.25">
      <c r="C25"/>
      <c r="D25" s="282"/>
      <c r="E25" s="282"/>
      <c r="F25" s="187" t="s">
        <v>438</v>
      </c>
      <c r="G25" s="188">
        <v>10</v>
      </c>
      <c r="H25" s="189">
        <v>200</v>
      </c>
      <c r="I25" s="190">
        <v>0.6</v>
      </c>
      <c r="J25" s="190">
        <v>0.25</v>
      </c>
      <c r="K25" s="190">
        <v>4.5</v>
      </c>
      <c r="L25" s="190">
        <f t="shared" si="43"/>
        <v>24</v>
      </c>
      <c r="M25" s="190">
        <v>1</v>
      </c>
      <c r="N25" s="190">
        <f t="shared" ref="N25" si="98">10*(G25/1000)</f>
        <v>0.1</v>
      </c>
      <c r="O25" s="190">
        <f t="shared" ref="O25" si="99">J25-0.04*2</f>
        <v>0.16999999999999998</v>
      </c>
      <c r="P25" s="190">
        <f t="shared" si="92"/>
        <v>0.1</v>
      </c>
      <c r="Q25" s="190"/>
      <c r="R25" s="190"/>
      <c r="S25" s="190">
        <f t="shared" ref="S25" si="100">SUM(N25:R25)</f>
        <v>0.37</v>
      </c>
      <c r="T25" s="190">
        <f t="shared" ref="T25:T28" si="101">L25*S25*M25</f>
        <v>8.879999999999999</v>
      </c>
      <c r="U25" s="190">
        <f t="shared" si="7"/>
        <v>0.61653755826699685</v>
      </c>
      <c r="V25" s="190">
        <f t="shared" si="93"/>
        <v>5.4748535174109314</v>
      </c>
      <c r="W25"/>
      <c r="X25"/>
      <c r="Y25" s="206"/>
      <c r="Z25" s="206"/>
      <c r="AA25" s="187" t="s">
        <v>445</v>
      </c>
      <c r="AB25" s="188">
        <v>12</v>
      </c>
      <c r="AC25" s="189">
        <v>200</v>
      </c>
      <c r="AD25" s="190"/>
      <c r="AE25" s="190"/>
      <c r="AF25" s="190">
        <f>AF24</f>
        <v>4.0999999999999996</v>
      </c>
      <c r="AG25" s="190">
        <v>26</v>
      </c>
      <c r="AH25" s="190">
        <v>1</v>
      </c>
      <c r="AI25" s="190">
        <f>AF25</f>
        <v>4.0999999999999996</v>
      </c>
      <c r="AJ25" s="190">
        <f>16*(AB25/1000)</f>
        <v>0.192</v>
      </c>
      <c r="AK25" s="190"/>
      <c r="AL25" s="190"/>
      <c r="AM25" s="190"/>
      <c r="AN25" s="190">
        <f>SUM(AI25:AM25)</f>
        <v>4.2919999999999998</v>
      </c>
      <c r="AO25" s="190">
        <f>AG25*AN25*AH25</f>
        <v>111.592</v>
      </c>
      <c r="AP25" s="190">
        <f t="shared" si="94"/>
        <v>0.88781408390447547</v>
      </c>
      <c r="AQ25" s="190">
        <f t="shared" ref="AQ25:AQ29" si="102">AO25*AP25</f>
        <v>99.072949251068223</v>
      </c>
      <c r="AR25"/>
      <c r="AS25"/>
      <c r="AT25" s="206"/>
      <c r="AU25" s="206"/>
      <c r="AV25" s="187" t="s">
        <v>453</v>
      </c>
      <c r="AW25" s="188">
        <v>12</v>
      </c>
      <c r="AX25" s="222">
        <v>0</v>
      </c>
      <c r="AY25" s="190">
        <v>0.4</v>
      </c>
      <c r="AZ25" s="190">
        <v>0.25</v>
      </c>
      <c r="BA25" s="190">
        <f t="shared" ref="BA25" si="103">BA24</f>
        <v>2.93</v>
      </c>
      <c r="BB25" s="190">
        <v>2</v>
      </c>
      <c r="BC25" s="190">
        <v>1</v>
      </c>
      <c r="BD25" s="190">
        <f t="shared" ref="BD25" si="104">BA25</f>
        <v>2.93</v>
      </c>
      <c r="BE25" s="190"/>
      <c r="BF25" s="190"/>
      <c r="BG25" s="190"/>
      <c r="BH25" s="190"/>
      <c r="BI25" s="190">
        <f t="shared" ref="BI25" si="105">SUM(BD25:BH25)</f>
        <v>2.93</v>
      </c>
      <c r="BJ25" s="190">
        <f t="shared" ref="BJ25:BJ26" si="106">BB25*BI25*BC25</f>
        <v>5.86</v>
      </c>
      <c r="BK25" s="190">
        <f t="shared" si="1"/>
        <v>0.88781408390447547</v>
      </c>
      <c r="BL25" s="190">
        <f t="shared" si="91"/>
        <v>5.2025905316802268</v>
      </c>
      <c r="BM25"/>
      <c r="BN25"/>
      <c r="BO25" s="206"/>
      <c r="BP25" s="206"/>
      <c r="BQ25" s="187" t="s">
        <v>469</v>
      </c>
      <c r="BR25" s="188">
        <v>12</v>
      </c>
      <c r="BS25" s="189">
        <v>150</v>
      </c>
      <c r="BT25" s="190">
        <f>BT24</f>
        <v>3.7699999999999996</v>
      </c>
      <c r="BU25" s="190"/>
      <c r="BV25" s="190">
        <v>37.200000000000003</v>
      </c>
      <c r="BW25" s="190">
        <v>60</v>
      </c>
      <c r="BX25" s="190">
        <v>1</v>
      </c>
      <c r="BY25" s="190">
        <f t="shared" ref="BY25:BY26" si="107">BT25</f>
        <v>3.7699999999999996</v>
      </c>
      <c r="BZ25" s="190">
        <f t="shared" ref="BZ25:BZ27" si="108">BZ24</f>
        <v>0.6</v>
      </c>
      <c r="CA25" s="190"/>
      <c r="CB25" s="190"/>
      <c r="CC25" s="190"/>
      <c r="CD25" s="190">
        <f t="shared" si="95"/>
        <v>4.3699999999999992</v>
      </c>
      <c r="CE25" s="190">
        <f t="shared" si="96"/>
        <v>262.19999999999993</v>
      </c>
      <c r="CF25" s="190">
        <f t="shared" si="97"/>
        <v>0.88781408390447547</v>
      </c>
      <c r="CG25" s="190">
        <f t="shared" ref="CG25:CG27" si="109">CE25*CF25</f>
        <v>232.78485279975339</v>
      </c>
      <c r="CH25"/>
    </row>
    <row r="26" spans="2:94" s="178" customFormat="1" x14ac:dyDescent="0.25">
      <c r="C26"/>
      <c r="D26" s="281" t="s">
        <v>183</v>
      </c>
      <c r="E26" s="281" t="s">
        <v>109</v>
      </c>
      <c r="F26" s="191" t="s">
        <v>437</v>
      </c>
      <c r="G26" s="192">
        <v>16</v>
      </c>
      <c r="H26" s="193" t="s">
        <v>440</v>
      </c>
      <c r="I26" s="194">
        <v>0.6</v>
      </c>
      <c r="J26" s="194">
        <v>0.2</v>
      </c>
      <c r="K26" s="194">
        <v>4.5</v>
      </c>
      <c r="L26" s="194">
        <v>10</v>
      </c>
      <c r="M26" s="194">
        <v>1</v>
      </c>
      <c r="N26" s="194">
        <f>K26</f>
        <v>4.5</v>
      </c>
      <c r="O26" s="194">
        <v>0.6</v>
      </c>
      <c r="P26" s="194"/>
      <c r="Q26" s="194"/>
      <c r="R26" s="194"/>
      <c r="S26" s="194">
        <f>SUM(N26:R26)</f>
        <v>5.0999999999999996</v>
      </c>
      <c r="T26" s="194">
        <f t="shared" si="101"/>
        <v>51</v>
      </c>
      <c r="U26" s="194">
        <f t="shared" si="7"/>
        <v>1.5783361491635119</v>
      </c>
      <c r="V26" s="194">
        <f>T26*U26</f>
        <v>80.495143607339116</v>
      </c>
      <c r="W26"/>
      <c r="X26"/>
      <c r="Y26" s="206"/>
      <c r="Z26" s="206"/>
      <c r="AA26" s="187" t="s">
        <v>446</v>
      </c>
      <c r="AB26" s="188">
        <v>10</v>
      </c>
      <c r="AC26" s="189">
        <v>200</v>
      </c>
      <c r="AD26" s="190">
        <v>2.5</v>
      </c>
      <c r="AE26" s="190">
        <v>0.3</v>
      </c>
      <c r="AF26" s="190">
        <f t="shared" ref="AF26:AF29" si="110">AF25</f>
        <v>4.0999999999999996</v>
      </c>
      <c r="AG26" s="190">
        <f t="shared" ref="AG26:AG29" si="111">ROUND((AF26/(AC26/1000))+1,0)</f>
        <v>22</v>
      </c>
      <c r="AH26" s="190">
        <v>1</v>
      </c>
      <c r="AI26" s="190">
        <f>AD26-0.04*2</f>
        <v>2.42</v>
      </c>
      <c r="AJ26" s="190">
        <f>AE26-0.04*2</f>
        <v>0.21999999999999997</v>
      </c>
      <c r="AK26" s="190">
        <f t="shared" ref="AK26:AK27" si="112">AI26</f>
        <v>2.42</v>
      </c>
      <c r="AL26" s="190">
        <f>AJ26</f>
        <v>0.21999999999999997</v>
      </c>
      <c r="AM26" s="190">
        <f>10*(AB26/1000)</f>
        <v>0.1</v>
      </c>
      <c r="AN26" s="190">
        <f t="shared" ref="AN26:AN28" si="113">SUM(AI26:AM26)</f>
        <v>5.379999999999999</v>
      </c>
      <c r="AO26" s="190">
        <f t="shared" ref="AO26:AO28" si="114">AG26*AN26*AH26</f>
        <v>118.35999999999999</v>
      </c>
      <c r="AP26" s="190">
        <f t="shared" si="94"/>
        <v>0.61653755826699685</v>
      </c>
      <c r="AQ26" s="190">
        <f t="shared" si="102"/>
        <v>72.973385396481746</v>
      </c>
      <c r="AR26"/>
      <c r="AS26"/>
      <c r="AT26" s="285" t="s">
        <v>461</v>
      </c>
      <c r="AU26" s="285" t="s">
        <v>253</v>
      </c>
      <c r="AV26" s="217" t="s">
        <v>451</v>
      </c>
      <c r="AW26" s="218">
        <v>16</v>
      </c>
      <c r="AX26" s="223">
        <v>0</v>
      </c>
      <c r="AY26" s="220">
        <v>0.25</v>
      </c>
      <c r="AZ26" s="220">
        <v>0.82</v>
      </c>
      <c r="BA26" s="220">
        <v>3.49</v>
      </c>
      <c r="BB26" s="220">
        <v>2</v>
      </c>
      <c r="BC26" s="220">
        <v>1</v>
      </c>
      <c r="BD26" s="220">
        <f>BA26</f>
        <v>3.49</v>
      </c>
      <c r="BE26" s="220"/>
      <c r="BF26" s="220"/>
      <c r="BG26" s="220"/>
      <c r="BH26" s="220"/>
      <c r="BI26" s="220">
        <f>SUM(BD26:BH26)</f>
        <v>3.49</v>
      </c>
      <c r="BJ26" s="220">
        <f t="shared" si="106"/>
        <v>6.98</v>
      </c>
      <c r="BK26" s="220">
        <f t="shared" si="1"/>
        <v>1.5783361491635119</v>
      </c>
      <c r="BL26" s="220">
        <f>BJ26*BK26</f>
        <v>11.016786321161314</v>
      </c>
      <c r="BM26"/>
      <c r="BN26"/>
      <c r="BO26" s="206"/>
      <c r="BP26" s="206"/>
      <c r="BQ26" s="187" t="s">
        <v>469</v>
      </c>
      <c r="BR26" s="188">
        <v>12</v>
      </c>
      <c r="BS26" s="189">
        <v>200</v>
      </c>
      <c r="BT26" s="190">
        <f t="shared" ref="BT26:BT32" si="115">BT25</f>
        <v>3.7699999999999996</v>
      </c>
      <c r="BU26" s="190"/>
      <c r="BV26" s="190">
        <v>37.200000000000003</v>
      </c>
      <c r="BW26" s="190">
        <v>0</v>
      </c>
      <c r="BX26" s="190">
        <v>1</v>
      </c>
      <c r="BY26" s="190">
        <f t="shared" si="107"/>
        <v>3.7699999999999996</v>
      </c>
      <c r="BZ26" s="190">
        <f t="shared" si="108"/>
        <v>0.6</v>
      </c>
      <c r="CA26" s="190"/>
      <c r="CB26" s="190"/>
      <c r="CC26" s="190"/>
      <c r="CD26" s="190">
        <f t="shared" si="95"/>
        <v>4.3699999999999992</v>
      </c>
      <c r="CE26" s="190">
        <f t="shared" si="96"/>
        <v>0</v>
      </c>
      <c r="CF26" s="190">
        <f t="shared" si="97"/>
        <v>0.88781408390447547</v>
      </c>
      <c r="CG26" s="190">
        <f t="shared" si="109"/>
        <v>0</v>
      </c>
      <c r="CH26"/>
    </row>
    <row r="27" spans="2:94" s="178" customFormat="1" x14ac:dyDescent="0.25">
      <c r="C27"/>
      <c r="D27" s="281"/>
      <c r="E27" s="281"/>
      <c r="F27" s="191" t="s">
        <v>438</v>
      </c>
      <c r="G27" s="192">
        <v>10</v>
      </c>
      <c r="H27" s="193">
        <v>200</v>
      </c>
      <c r="I27" s="194">
        <v>0.6</v>
      </c>
      <c r="J27" s="194">
        <v>0.2</v>
      </c>
      <c r="K27" s="194">
        <v>4.5</v>
      </c>
      <c r="L27" s="194">
        <f t="shared" si="43"/>
        <v>24</v>
      </c>
      <c r="M27" s="194">
        <v>1</v>
      </c>
      <c r="N27" s="194">
        <f>I27-0.04*2</f>
        <v>0.52</v>
      </c>
      <c r="O27" s="194">
        <f>J27-0.04*2</f>
        <v>0.12000000000000001</v>
      </c>
      <c r="P27" s="194">
        <f t="shared" ref="P27:P28" si="116">N27</f>
        <v>0.52</v>
      </c>
      <c r="Q27" s="194">
        <f>O27</f>
        <v>0.12000000000000001</v>
      </c>
      <c r="R27" s="194">
        <f>10*(G27/1000)</f>
        <v>0.1</v>
      </c>
      <c r="S27" s="194">
        <f>SUM(N27:R27)</f>
        <v>1.3800000000000003</v>
      </c>
      <c r="T27" s="194">
        <f t="shared" si="101"/>
        <v>33.120000000000005</v>
      </c>
      <c r="U27" s="194">
        <f t="shared" si="7"/>
        <v>0.61653755826699685</v>
      </c>
      <c r="V27" s="194">
        <f t="shared" ref="V27:V28" si="117">T27*U27</f>
        <v>20.419723929802938</v>
      </c>
      <c r="W27"/>
      <c r="X27"/>
      <c r="Y27" s="206"/>
      <c r="Z27" s="206"/>
      <c r="AA27" s="187" t="s">
        <v>446</v>
      </c>
      <c r="AB27" s="188">
        <v>10</v>
      </c>
      <c r="AC27" s="189">
        <v>200</v>
      </c>
      <c r="AD27" s="190">
        <v>0.55000000000000004</v>
      </c>
      <c r="AE27" s="190">
        <v>0.3</v>
      </c>
      <c r="AF27" s="190">
        <f t="shared" si="110"/>
        <v>4.0999999999999996</v>
      </c>
      <c r="AG27" s="190">
        <f t="shared" si="111"/>
        <v>22</v>
      </c>
      <c r="AH27" s="190">
        <v>2</v>
      </c>
      <c r="AI27" s="190">
        <f>AL27</f>
        <v>0.21999999999999997</v>
      </c>
      <c r="AJ27" s="190">
        <f>AE27-0.04*2</f>
        <v>0.21999999999999997</v>
      </c>
      <c r="AK27" s="190">
        <f t="shared" si="112"/>
        <v>0.21999999999999997</v>
      </c>
      <c r="AL27" s="190">
        <f>AJ27</f>
        <v>0.21999999999999997</v>
      </c>
      <c r="AM27" s="190">
        <f>10*(AB27/1000)</f>
        <v>0.1</v>
      </c>
      <c r="AN27" s="190">
        <f t="shared" si="113"/>
        <v>0.97999999999999987</v>
      </c>
      <c r="AO27" s="190">
        <f t="shared" si="114"/>
        <v>43.12</v>
      </c>
      <c r="AP27" s="190">
        <f t="shared" si="94"/>
        <v>0.61653755826699685</v>
      </c>
      <c r="AQ27" s="190">
        <f t="shared" si="102"/>
        <v>26.585099512472901</v>
      </c>
      <c r="AR27"/>
      <c r="AS27"/>
      <c r="AT27" s="285"/>
      <c r="AU27" s="285"/>
      <c r="AV27" s="217" t="s">
        <v>452</v>
      </c>
      <c r="AW27" s="218">
        <v>16</v>
      </c>
      <c r="AX27" s="223">
        <v>0</v>
      </c>
      <c r="AY27" s="220">
        <f>AY26</f>
        <v>0.25</v>
      </c>
      <c r="AZ27" s="220">
        <f>AZ26</f>
        <v>0.82</v>
      </c>
      <c r="BA27" s="220">
        <v>3.49</v>
      </c>
      <c r="BB27" s="220">
        <v>6</v>
      </c>
      <c r="BC27" s="220">
        <v>1</v>
      </c>
      <c r="BD27" s="220">
        <f>BA27</f>
        <v>3.49</v>
      </c>
      <c r="BE27" s="220"/>
      <c r="BF27" s="220"/>
      <c r="BG27" s="220"/>
      <c r="BH27" s="220"/>
      <c r="BI27" s="220">
        <f t="shared" ref="BI27" si="118">SUM(BD27:BH27)</f>
        <v>3.49</v>
      </c>
      <c r="BJ27" s="220">
        <f>BB27*BI27*BC27</f>
        <v>20.94</v>
      </c>
      <c r="BK27" s="220">
        <f t="shared" si="1"/>
        <v>1.5783361491635119</v>
      </c>
      <c r="BL27" s="220">
        <f t="shared" ref="BL27:BL29" si="119">BJ27*BK27</f>
        <v>33.050358963483944</v>
      </c>
      <c r="BM27"/>
      <c r="BN27"/>
      <c r="BO27" s="206"/>
      <c r="BP27" s="206"/>
      <c r="BQ27" s="187" t="s">
        <v>469</v>
      </c>
      <c r="BR27" s="188">
        <v>16</v>
      </c>
      <c r="BS27" s="189">
        <v>150</v>
      </c>
      <c r="BT27" s="190">
        <f t="shared" si="115"/>
        <v>3.7699999999999996</v>
      </c>
      <c r="BU27" s="190"/>
      <c r="BV27" s="190">
        <v>37.200000000000003</v>
      </c>
      <c r="BW27" s="190">
        <v>0</v>
      </c>
      <c r="BX27" s="190">
        <v>2</v>
      </c>
      <c r="BY27" s="190">
        <f>BT27</f>
        <v>3.7699999999999996</v>
      </c>
      <c r="BZ27" s="190">
        <f t="shared" si="108"/>
        <v>0.6</v>
      </c>
      <c r="CA27" s="190"/>
      <c r="CB27" s="190"/>
      <c r="CC27" s="190"/>
      <c r="CD27" s="190">
        <f t="shared" si="95"/>
        <v>4.3699999999999992</v>
      </c>
      <c r="CE27" s="190">
        <f t="shared" si="96"/>
        <v>0</v>
      </c>
      <c r="CF27" s="190">
        <f t="shared" si="97"/>
        <v>1.5783361491635119</v>
      </c>
      <c r="CG27" s="190">
        <f t="shared" si="109"/>
        <v>0</v>
      </c>
      <c r="CH27"/>
    </row>
    <row r="28" spans="2:94" s="178" customFormat="1" x14ac:dyDescent="0.25">
      <c r="C28"/>
      <c r="D28" s="281"/>
      <c r="E28" s="281"/>
      <c r="F28" s="191" t="s">
        <v>438</v>
      </c>
      <c r="G28" s="192">
        <v>10</v>
      </c>
      <c r="H28" s="193">
        <v>200</v>
      </c>
      <c r="I28" s="194">
        <v>0.6</v>
      </c>
      <c r="J28" s="194">
        <v>0.25</v>
      </c>
      <c r="K28" s="194">
        <v>4.5</v>
      </c>
      <c r="L28" s="194">
        <f t="shared" si="43"/>
        <v>24</v>
      </c>
      <c r="M28" s="194">
        <v>1</v>
      </c>
      <c r="N28" s="194">
        <f t="shared" ref="N28" si="120">10*(G28/1000)</f>
        <v>0.1</v>
      </c>
      <c r="O28" s="194">
        <f t="shared" ref="O28" si="121">J28-0.04*2</f>
        <v>0.16999999999999998</v>
      </c>
      <c r="P28" s="194">
        <f t="shared" si="116"/>
        <v>0.1</v>
      </c>
      <c r="Q28" s="194"/>
      <c r="R28" s="194"/>
      <c r="S28" s="194">
        <f t="shared" ref="S28" si="122">SUM(N28:R28)</f>
        <v>0.37</v>
      </c>
      <c r="T28" s="194">
        <f t="shared" si="101"/>
        <v>8.879999999999999</v>
      </c>
      <c r="U28" s="194">
        <f t="shared" si="7"/>
        <v>0.61653755826699685</v>
      </c>
      <c r="V28" s="194">
        <f t="shared" si="117"/>
        <v>5.4748535174109314</v>
      </c>
      <c r="W28"/>
      <c r="X28"/>
      <c r="Y28" s="206"/>
      <c r="Z28" s="206"/>
      <c r="AA28" s="187" t="s">
        <v>447</v>
      </c>
      <c r="AB28" s="188">
        <v>10</v>
      </c>
      <c r="AC28" s="189">
        <v>200</v>
      </c>
      <c r="AD28" s="190">
        <v>0.55000000000000004</v>
      </c>
      <c r="AE28" s="190">
        <v>0.3</v>
      </c>
      <c r="AF28" s="190">
        <f t="shared" si="110"/>
        <v>4.0999999999999996</v>
      </c>
      <c r="AG28" s="190">
        <v>0</v>
      </c>
      <c r="AH28" s="190">
        <v>2</v>
      </c>
      <c r="AI28" s="190">
        <v>0.1</v>
      </c>
      <c r="AJ28" s="190">
        <f>AE28-0.04*2</f>
        <v>0.21999999999999997</v>
      </c>
      <c r="AK28" s="190">
        <v>0.1</v>
      </c>
      <c r="AL28" s="190"/>
      <c r="AM28" s="190"/>
      <c r="AN28" s="190">
        <f t="shared" si="113"/>
        <v>0.41999999999999993</v>
      </c>
      <c r="AO28" s="190">
        <f t="shared" si="114"/>
        <v>0</v>
      </c>
      <c r="AP28" s="190">
        <f t="shared" si="94"/>
        <v>0.61653755826699685</v>
      </c>
      <c r="AQ28" s="190">
        <f t="shared" si="102"/>
        <v>0</v>
      </c>
      <c r="AR28"/>
      <c r="AS28"/>
      <c r="AT28" s="285"/>
      <c r="AU28" s="285"/>
      <c r="AV28" s="217" t="s">
        <v>456</v>
      </c>
      <c r="AW28" s="218">
        <v>10</v>
      </c>
      <c r="AX28" s="219">
        <v>250</v>
      </c>
      <c r="AY28" s="220">
        <f>AY27</f>
        <v>0.25</v>
      </c>
      <c r="AZ28" s="220">
        <f>AZ27</f>
        <v>0.82</v>
      </c>
      <c r="BA28" s="220">
        <v>3.49</v>
      </c>
      <c r="BB28" s="220">
        <f>ROUND((BA28/(AX28/1000))+1,0)</f>
        <v>15</v>
      </c>
      <c r="BC28" s="220">
        <v>1</v>
      </c>
      <c r="BD28" s="220">
        <f>AY28-0.04*2</f>
        <v>0.16999999999999998</v>
      </c>
      <c r="BE28" s="220">
        <f>AZ28-0.04*2</f>
        <v>0.74</v>
      </c>
      <c r="BF28" s="220">
        <f>BD28</f>
        <v>0.16999999999999998</v>
      </c>
      <c r="BG28" s="220">
        <f>BE28</f>
        <v>0.74</v>
      </c>
      <c r="BH28" s="220">
        <f>(10*AW28)/1000</f>
        <v>0.1</v>
      </c>
      <c r="BI28" s="220">
        <f>SUM(BD28:BH28)</f>
        <v>1.92</v>
      </c>
      <c r="BJ28" s="220">
        <f>BB28*BI28*BC28</f>
        <v>28.799999999999997</v>
      </c>
      <c r="BK28" s="220">
        <f t="shared" si="1"/>
        <v>0.61653755826699685</v>
      </c>
      <c r="BL28" s="220">
        <f t="shared" si="119"/>
        <v>17.756281678089508</v>
      </c>
      <c r="BM28"/>
      <c r="BN28"/>
      <c r="BO28" s="206"/>
      <c r="BP28" s="206"/>
      <c r="BQ28" s="187" t="s">
        <v>471</v>
      </c>
      <c r="BR28" s="188">
        <v>10</v>
      </c>
      <c r="BS28" s="189">
        <v>150</v>
      </c>
      <c r="BT28" s="190">
        <f t="shared" si="115"/>
        <v>3.7699999999999996</v>
      </c>
      <c r="BU28" s="190">
        <v>0.25</v>
      </c>
      <c r="BV28" s="190">
        <v>2.35</v>
      </c>
      <c r="BW28" s="190">
        <f>ROUND((BT28/(BS28/1000))+1,0)</f>
        <v>26</v>
      </c>
      <c r="BX28" s="190">
        <v>1</v>
      </c>
      <c r="BY28" s="190">
        <f>BV28-0.05*2</f>
        <v>2.25</v>
      </c>
      <c r="BZ28" s="190">
        <f>BU28-0.05*2</f>
        <v>0.15</v>
      </c>
      <c r="CA28" s="190">
        <f t="shared" ref="CA28:CA31" si="123">BY28</f>
        <v>2.25</v>
      </c>
      <c r="CB28" s="190">
        <f t="shared" ref="CB28:CB31" si="124">BZ28</f>
        <v>0.15</v>
      </c>
      <c r="CC28" s="190"/>
      <c r="CD28" s="190">
        <f t="shared" si="95"/>
        <v>4.8000000000000007</v>
      </c>
      <c r="CE28" s="190">
        <f t="shared" si="96"/>
        <v>124.80000000000001</v>
      </c>
      <c r="CF28" s="190">
        <f t="shared" si="97"/>
        <v>0.61653755826699685</v>
      </c>
      <c r="CG28" s="190">
        <f>CE28*CF28</f>
        <v>76.943887271721209</v>
      </c>
      <c r="CH28"/>
    </row>
    <row r="29" spans="2:94" x14ac:dyDescent="0.25">
      <c r="B29" s="178"/>
      <c r="D29" s="282" t="s">
        <v>187</v>
      </c>
      <c r="E29" s="282" t="s">
        <v>109</v>
      </c>
      <c r="F29" s="187" t="s">
        <v>437</v>
      </c>
      <c r="G29" s="188">
        <v>25</v>
      </c>
      <c r="H29" s="189" t="s">
        <v>440</v>
      </c>
      <c r="I29" s="190">
        <v>1</v>
      </c>
      <c r="J29" s="190">
        <v>0.25</v>
      </c>
      <c r="K29" s="190">
        <v>4.5</v>
      </c>
      <c r="L29" s="190">
        <v>20</v>
      </c>
      <c r="M29" s="190">
        <v>1</v>
      </c>
      <c r="N29" s="190">
        <f>K29</f>
        <v>4.5</v>
      </c>
      <c r="O29" s="190"/>
      <c r="P29" s="190">
        <v>0.6</v>
      </c>
      <c r="Q29" s="190"/>
      <c r="R29" s="190"/>
      <c r="S29" s="190">
        <f>SUM(N29:R29)</f>
        <v>5.0999999999999996</v>
      </c>
      <c r="T29" s="190">
        <f>L29*S29*M29</f>
        <v>102</v>
      </c>
      <c r="U29" s="190">
        <f t="shared" si="7"/>
        <v>3.8533597391687309</v>
      </c>
      <c r="V29" s="190">
        <f>T29*U29</f>
        <v>393.04269339521056</v>
      </c>
      <c r="Y29" s="206"/>
      <c r="Z29" s="206"/>
      <c r="AA29" s="187" t="s">
        <v>448</v>
      </c>
      <c r="AB29" s="188">
        <v>10</v>
      </c>
      <c r="AC29" s="189">
        <v>200</v>
      </c>
      <c r="AD29" s="190">
        <v>0.55000000000000004</v>
      </c>
      <c r="AE29" s="190">
        <v>0.3</v>
      </c>
      <c r="AF29" s="190">
        <f t="shared" si="110"/>
        <v>4.0999999999999996</v>
      </c>
      <c r="AG29" s="190">
        <f t="shared" si="111"/>
        <v>22</v>
      </c>
      <c r="AH29" s="190">
        <v>3</v>
      </c>
      <c r="AI29" s="190">
        <v>0.1</v>
      </c>
      <c r="AJ29" s="190">
        <f t="shared" ref="AJ29" si="125">AE29-0.04*2</f>
        <v>0.21999999999999997</v>
      </c>
      <c r="AK29" s="190">
        <v>0.1</v>
      </c>
      <c r="AL29" s="190"/>
      <c r="AM29" s="190"/>
      <c r="AN29" s="190">
        <f>SUM(AI29:AM29)</f>
        <v>0.41999999999999993</v>
      </c>
      <c r="AO29" s="190">
        <f>AG29*AN29*AH29</f>
        <v>27.719999999999995</v>
      </c>
      <c r="AP29" s="190">
        <f t="shared" si="94"/>
        <v>0.61653755826699685</v>
      </c>
      <c r="AQ29" s="190">
        <f t="shared" si="102"/>
        <v>17.090421115161149</v>
      </c>
      <c r="AT29" s="216"/>
      <c r="AU29" s="216"/>
      <c r="AV29" s="217" t="s">
        <v>453</v>
      </c>
      <c r="AW29" s="218">
        <v>12</v>
      </c>
      <c r="AX29" s="219">
        <f t="shared" ref="AX29" si="126">AX27</f>
        <v>0</v>
      </c>
      <c r="AY29" s="220">
        <v>0.4</v>
      </c>
      <c r="AZ29" s="220">
        <v>0.25</v>
      </c>
      <c r="BA29" s="220">
        <f t="shared" ref="BA29" si="127">BA28</f>
        <v>3.49</v>
      </c>
      <c r="BB29" s="220">
        <v>2</v>
      </c>
      <c r="BC29" s="220">
        <v>1</v>
      </c>
      <c r="BD29" s="220">
        <f t="shared" ref="BD29" si="128">BA29</f>
        <v>3.49</v>
      </c>
      <c r="BE29" s="220"/>
      <c r="BF29" s="220"/>
      <c r="BG29" s="220"/>
      <c r="BH29" s="220"/>
      <c r="BI29" s="220">
        <f t="shared" ref="BI29" si="129">SUM(BD29:BH29)</f>
        <v>3.49</v>
      </c>
      <c r="BJ29" s="220">
        <f t="shared" ref="BJ29:BJ30" si="130">BB29*BI29*BC29</f>
        <v>6.98</v>
      </c>
      <c r="BK29" s="220">
        <f t="shared" si="1"/>
        <v>0.88781408390447547</v>
      </c>
      <c r="BL29" s="220">
        <f t="shared" si="119"/>
        <v>6.1969423056532396</v>
      </c>
      <c r="BO29" s="206"/>
      <c r="BP29" s="206"/>
      <c r="BQ29" s="187" t="s">
        <v>471</v>
      </c>
      <c r="BR29" s="188">
        <v>10</v>
      </c>
      <c r="BS29" s="189">
        <v>150</v>
      </c>
      <c r="BT29" s="190">
        <f t="shared" si="115"/>
        <v>3.7699999999999996</v>
      </c>
      <c r="BU29" s="190">
        <v>0.25</v>
      </c>
      <c r="BV29" s="190">
        <v>2.125</v>
      </c>
      <c r="BW29" s="190">
        <f>ROUND((BT29/(BS29/1000))+1,0)</f>
        <v>26</v>
      </c>
      <c r="BX29" s="190">
        <v>2</v>
      </c>
      <c r="BY29" s="190">
        <f>BV29-0.05*2</f>
        <v>2.0249999999999999</v>
      </c>
      <c r="BZ29" s="190">
        <f>BU29-0.05*2</f>
        <v>0.15</v>
      </c>
      <c r="CA29" s="190">
        <f t="shared" si="123"/>
        <v>2.0249999999999999</v>
      </c>
      <c r="CB29" s="190">
        <f t="shared" si="124"/>
        <v>0.15</v>
      </c>
      <c r="CC29" s="190"/>
      <c r="CD29" s="190">
        <f t="shared" si="95"/>
        <v>4.3499999999999996</v>
      </c>
      <c r="CE29" s="190">
        <f t="shared" si="96"/>
        <v>226.2</v>
      </c>
      <c r="CF29" s="190">
        <f t="shared" si="97"/>
        <v>0.61653755826699685</v>
      </c>
      <c r="CG29" s="190">
        <f t="shared" ref="CG29:CG32" si="131">CE29*CF29</f>
        <v>139.46079567999467</v>
      </c>
    </row>
    <row r="30" spans="2:94" x14ac:dyDescent="0.25">
      <c r="B30" s="178"/>
      <c r="D30" s="282"/>
      <c r="E30" s="282"/>
      <c r="F30" s="187" t="s">
        <v>438</v>
      </c>
      <c r="G30" s="188">
        <v>10</v>
      </c>
      <c r="H30" s="189">
        <v>200</v>
      </c>
      <c r="I30" s="190">
        <v>1</v>
      </c>
      <c r="J30" s="190">
        <v>0.25</v>
      </c>
      <c r="K30" s="190">
        <v>4.5</v>
      </c>
      <c r="L30" s="190">
        <f t="shared" si="43"/>
        <v>24</v>
      </c>
      <c r="M30" s="190">
        <v>1</v>
      </c>
      <c r="N30" s="190">
        <f>I30-0.04*2</f>
        <v>0.92</v>
      </c>
      <c r="O30" s="190">
        <f>J30-0.04*2</f>
        <v>0.16999999999999998</v>
      </c>
      <c r="P30" s="190">
        <f t="shared" ref="P30:P32" si="132">N30</f>
        <v>0.92</v>
      </c>
      <c r="Q30" s="190">
        <f>O30</f>
        <v>0.16999999999999998</v>
      </c>
      <c r="R30" s="190">
        <f>10*(G30/1000)</f>
        <v>0.1</v>
      </c>
      <c r="S30" s="190">
        <f>SUM(N30:R30)</f>
        <v>2.2800000000000002</v>
      </c>
      <c r="T30" s="190">
        <f>L30*S30*M30</f>
        <v>54.720000000000006</v>
      </c>
      <c r="U30" s="190">
        <f t="shared" si="7"/>
        <v>0.61653755826699685</v>
      </c>
      <c r="V30" s="190">
        <f t="shared" ref="V30:V32" si="133">T30*U30</f>
        <v>33.736935188370069</v>
      </c>
      <c r="Y30" s="216" t="s">
        <v>196</v>
      </c>
      <c r="Z30" s="216" t="s">
        <v>481</v>
      </c>
      <c r="AA30" s="217" t="s">
        <v>444</v>
      </c>
      <c r="AB30" s="218">
        <v>16</v>
      </c>
      <c r="AC30" s="219" t="s">
        <v>440</v>
      </c>
      <c r="AD30" s="220"/>
      <c r="AE30" s="220"/>
      <c r="AF30" s="220">
        <f>AF24</f>
        <v>4.0999999999999996</v>
      </c>
      <c r="AG30" s="220">
        <v>4</v>
      </c>
      <c r="AH30" s="220">
        <v>2</v>
      </c>
      <c r="AI30" s="220">
        <f>AF30-0.075*2</f>
        <v>3.9499999999999997</v>
      </c>
      <c r="AJ30" s="220">
        <f>16*(AB30/1000)</f>
        <v>0.25600000000000001</v>
      </c>
      <c r="AK30" s="220"/>
      <c r="AL30" s="220"/>
      <c r="AM30" s="220"/>
      <c r="AN30" s="220">
        <f>SUM(AI30:AM30)</f>
        <v>4.2059999999999995</v>
      </c>
      <c r="AO30" s="220">
        <f>AG30*AN30*AH30</f>
        <v>33.647999999999996</v>
      </c>
      <c r="AP30" s="220">
        <f t="shared" si="94"/>
        <v>1.5783361491635119</v>
      </c>
      <c r="AQ30" s="220">
        <f>AO30*AP30</f>
        <v>53.107854747053842</v>
      </c>
      <c r="AT30" s="282" t="s">
        <v>462</v>
      </c>
      <c r="AU30" s="282" t="s">
        <v>253</v>
      </c>
      <c r="AV30" s="187" t="s">
        <v>451</v>
      </c>
      <c r="AW30" s="188">
        <v>16</v>
      </c>
      <c r="AX30" s="222">
        <v>0</v>
      </c>
      <c r="AY30" s="190">
        <v>0.25</v>
      </c>
      <c r="AZ30" s="190">
        <v>0.67</v>
      </c>
      <c r="BA30" s="190">
        <v>1.54</v>
      </c>
      <c r="BB30" s="190">
        <v>2</v>
      </c>
      <c r="BC30" s="190">
        <v>1</v>
      </c>
      <c r="BD30" s="190">
        <f>BA30</f>
        <v>1.54</v>
      </c>
      <c r="BE30" s="190"/>
      <c r="BF30" s="190"/>
      <c r="BG30" s="190"/>
      <c r="BH30" s="190"/>
      <c r="BI30" s="190">
        <f>SUM(BD30:BH30)</f>
        <v>1.54</v>
      </c>
      <c r="BJ30" s="190">
        <f t="shared" si="130"/>
        <v>3.08</v>
      </c>
      <c r="BK30" s="190">
        <f t="shared" si="1"/>
        <v>1.5783361491635119</v>
      </c>
      <c r="BL30" s="190">
        <f>BJ30*BK30</f>
        <v>4.8612753394236172</v>
      </c>
      <c r="BO30" s="206"/>
      <c r="BP30" s="206"/>
      <c r="BQ30" s="187" t="s">
        <v>472</v>
      </c>
      <c r="BR30" s="188">
        <v>12</v>
      </c>
      <c r="BS30" s="189">
        <v>150</v>
      </c>
      <c r="BT30" s="190">
        <f t="shared" si="115"/>
        <v>3.7699999999999996</v>
      </c>
      <c r="BU30" s="190">
        <v>0.25</v>
      </c>
      <c r="BV30" s="190">
        <v>2.125</v>
      </c>
      <c r="BW30" s="190">
        <v>0</v>
      </c>
      <c r="BX30" s="190">
        <v>4</v>
      </c>
      <c r="BY30" s="190">
        <v>0.67</v>
      </c>
      <c r="BZ30" s="190">
        <f>BU30-0.05*2</f>
        <v>0.15</v>
      </c>
      <c r="CA30" s="190">
        <f t="shared" si="123"/>
        <v>0.67</v>
      </c>
      <c r="CB30" s="190">
        <f t="shared" si="124"/>
        <v>0.15</v>
      </c>
      <c r="CC30" s="190"/>
      <c r="CD30" s="190">
        <f t="shared" si="95"/>
        <v>1.6400000000000001</v>
      </c>
      <c r="CE30" s="190">
        <f t="shared" si="96"/>
        <v>0</v>
      </c>
      <c r="CF30" s="190">
        <f t="shared" si="97"/>
        <v>0.88781408390447547</v>
      </c>
      <c r="CG30" s="190">
        <f t="shared" si="131"/>
        <v>0</v>
      </c>
    </row>
    <row r="31" spans="2:94" x14ac:dyDescent="0.25">
      <c r="B31" s="178"/>
      <c r="D31" s="282"/>
      <c r="E31" s="282"/>
      <c r="F31" s="187" t="s">
        <v>438</v>
      </c>
      <c r="G31" s="188">
        <v>10</v>
      </c>
      <c r="H31" s="189">
        <v>200</v>
      </c>
      <c r="I31" s="190">
        <v>0.6</v>
      </c>
      <c r="J31" s="190">
        <v>0.25</v>
      </c>
      <c r="K31" s="190">
        <v>4.5</v>
      </c>
      <c r="L31" s="190">
        <f t="shared" si="43"/>
        <v>24</v>
      </c>
      <c r="M31" s="190">
        <v>2</v>
      </c>
      <c r="N31" s="190">
        <f t="shared" ref="N31" si="134">10*(G31/1000)</f>
        <v>0.1</v>
      </c>
      <c r="O31" s="190">
        <f t="shared" ref="O31" si="135">J31-0.04*2</f>
        <v>0.16999999999999998</v>
      </c>
      <c r="P31" s="190">
        <f t="shared" si="132"/>
        <v>0.1</v>
      </c>
      <c r="Q31" s="190"/>
      <c r="R31" s="190"/>
      <c r="S31" s="190">
        <f t="shared" ref="S31:S32" si="136">SUM(N31:R31)</f>
        <v>0.37</v>
      </c>
      <c r="T31" s="190">
        <f t="shared" ref="T31:T36" si="137">L31*S31*M31</f>
        <v>17.759999999999998</v>
      </c>
      <c r="U31" s="190">
        <f t="shared" si="7"/>
        <v>0.61653755826699685</v>
      </c>
      <c r="V31" s="190">
        <f t="shared" si="133"/>
        <v>10.949707034821863</v>
      </c>
      <c r="Y31" s="216"/>
      <c r="Z31" s="216"/>
      <c r="AA31" s="217" t="s">
        <v>445</v>
      </c>
      <c r="AB31" s="218">
        <v>12</v>
      </c>
      <c r="AC31" s="219" t="s">
        <v>440</v>
      </c>
      <c r="AD31" s="220"/>
      <c r="AE31" s="220"/>
      <c r="AF31" s="220">
        <f>AF24</f>
        <v>4.0999999999999996</v>
      </c>
      <c r="AG31" s="220">
        <v>10</v>
      </c>
      <c r="AH31" s="220">
        <v>1</v>
      </c>
      <c r="AI31" s="220">
        <f>AF31-0.075*2</f>
        <v>3.9499999999999997</v>
      </c>
      <c r="AJ31" s="220">
        <f>16*(AB31/1000)</f>
        <v>0.192</v>
      </c>
      <c r="AK31" s="220"/>
      <c r="AL31" s="220"/>
      <c r="AM31" s="220"/>
      <c r="AN31" s="220">
        <f>SUM(AI31:AM31)</f>
        <v>4.1419999999999995</v>
      </c>
      <c r="AO31" s="220">
        <f>AG31*AN31*AH31</f>
        <v>41.419999999999995</v>
      </c>
      <c r="AP31" s="220">
        <f t="shared" si="94"/>
        <v>0.88781408390447547</v>
      </c>
      <c r="AQ31" s="220">
        <f t="shared" ref="AQ31:AQ34" si="138">AO31*AP31</f>
        <v>36.773259355323368</v>
      </c>
      <c r="AT31" s="282"/>
      <c r="AU31" s="282"/>
      <c r="AV31" s="187" t="s">
        <v>452</v>
      </c>
      <c r="AW31" s="188">
        <v>16</v>
      </c>
      <c r="AX31" s="222">
        <v>0</v>
      </c>
      <c r="AY31" s="190">
        <v>0.25</v>
      </c>
      <c r="AZ31" s="190">
        <v>0.67</v>
      </c>
      <c r="BA31" s="190">
        <v>1.54</v>
      </c>
      <c r="BB31" s="190">
        <v>6</v>
      </c>
      <c r="BC31" s="190">
        <v>1</v>
      </c>
      <c r="BD31" s="190">
        <f>BA31</f>
        <v>1.54</v>
      </c>
      <c r="BE31" s="190"/>
      <c r="BF31" s="190"/>
      <c r="BG31" s="190"/>
      <c r="BH31" s="190"/>
      <c r="BI31" s="190">
        <f t="shared" ref="BI31" si="139">SUM(BD31:BH31)</f>
        <v>1.54</v>
      </c>
      <c r="BJ31" s="190">
        <f>BB31*BI31*BC31</f>
        <v>9.24</v>
      </c>
      <c r="BK31" s="190">
        <f t="shared" si="1"/>
        <v>1.5783361491635119</v>
      </c>
      <c r="BL31" s="190">
        <f t="shared" ref="BL31:BL33" si="140">BJ31*BK31</f>
        <v>14.58382601827085</v>
      </c>
      <c r="BO31" s="206"/>
      <c r="BP31" s="206"/>
      <c r="BQ31" s="187" t="s">
        <v>473</v>
      </c>
      <c r="BR31" s="188">
        <v>12</v>
      </c>
      <c r="BS31" s="189">
        <v>150</v>
      </c>
      <c r="BT31" s="190">
        <f t="shared" si="115"/>
        <v>3.7699999999999996</v>
      </c>
      <c r="BU31" s="190">
        <v>0.25</v>
      </c>
      <c r="BV31" s="190">
        <v>2.125</v>
      </c>
      <c r="BW31" s="190">
        <v>0</v>
      </c>
      <c r="BX31" s="190">
        <v>2</v>
      </c>
      <c r="BY31" s="190">
        <v>0.5</v>
      </c>
      <c r="BZ31" s="190">
        <f>BU31-0.05*2</f>
        <v>0.15</v>
      </c>
      <c r="CA31" s="190">
        <f t="shared" si="123"/>
        <v>0.5</v>
      </c>
      <c r="CB31" s="190">
        <f t="shared" si="124"/>
        <v>0.15</v>
      </c>
      <c r="CC31" s="190"/>
      <c r="CD31" s="190">
        <f t="shared" si="95"/>
        <v>1.2999999999999998</v>
      </c>
      <c r="CE31" s="190">
        <f t="shared" si="96"/>
        <v>0</v>
      </c>
      <c r="CF31" s="190">
        <f t="shared" si="97"/>
        <v>0.88781408390447547</v>
      </c>
      <c r="CG31" s="190">
        <f t="shared" si="131"/>
        <v>0</v>
      </c>
    </row>
    <row r="32" spans="2:94" x14ac:dyDescent="0.25">
      <c r="B32" s="178"/>
      <c r="D32" s="282"/>
      <c r="E32" s="282"/>
      <c r="F32" s="187" t="s">
        <v>438</v>
      </c>
      <c r="G32" s="188">
        <v>10</v>
      </c>
      <c r="H32" s="189">
        <v>200</v>
      </c>
      <c r="I32" s="190">
        <v>0.6</v>
      </c>
      <c r="J32" s="190">
        <v>0.25</v>
      </c>
      <c r="K32" s="190">
        <v>4.5</v>
      </c>
      <c r="L32" s="190">
        <f t="shared" si="43"/>
        <v>24</v>
      </c>
      <c r="M32" s="190">
        <v>1</v>
      </c>
      <c r="N32" s="190">
        <f>Q32</f>
        <v>0.16999999999999998</v>
      </c>
      <c r="O32" s="190">
        <f>J32-0.04*2</f>
        <v>0.16999999999999998</v>
      </c>
      <c r="P32" s="190">
        <f t="shared" si="132"/>
        <v>0.16999999999999998</v>
      </c>
      <c r="Q32" s="190">
        <f>O32</f>
        <v>0.16999999999999998</v>
      </c>
      <c r="R32" s="190">
        <f>10*(G32/1000)</f>
        <v>0.1</v>
      </c>
      <c r="S32" s="190">
        <f t="shared" si="136"/>
        <v>0.77999999999999992</v>
      </c>
      <c r="T32" s="190">
        <f t="shared" si="137"/>
        <v>18.72</v>
      </c>
      <c r="U32" s="190">
        <f t="shared" si="7"/>
        <v>0.61653755826699685</v>
      </c>
      <c r="V32" s="190">
        <f t="shared" si="133"/>
        <v>11.541583090758181</v>
      </c>
      <c r="Y32" s="216"/>
      <c r="Z32" s="216"/>
      <c r="AA32" s="217" t="s">
        <v>446</v>
      </c>
      <c r="AB32" s="218">
        <v>10</v>
      </c>
      <c r="AC32" s="219">
        <v>200</v>
      </c>
      <c r="AD32" s="220"/>
      <c r="AE32" s="220"/>
      <c r="AF32" s="220">
        <f>AF24</f>
        <v>4.0999999999999996</v>
      </c>
      <c r="AG32" s="220">
        <f t="shared" ref="AG32:AG34" si="141">ROUND((AF32/(AC32/1000))+1,0)</f>
        <v>22</v>
      </c>
      <c r="AH32" s="220">
        <v>2</v>
      </c>
      <c r="AI32" s="194">
        <v>0.17</v>
      </c>
      <c r="AJ32" s="194">
        <v>0.17</v>
      </c>
      <c r="AK32" s="194">
        <f>AI32</f>
        <v>0.17</v>
      </c>
      <c r="AL32" s="194">
        <f>AJ32</f>
        <v>0.17</v>
      </c>
      <c r="AM32" s="194">
        <f>10*(AB32/1000)</f>
        <v>0.1</v>
      </c>
      <c r="AN32" s="220">
        <f t="shared" ref="AN32:AN34" si="142">SUM(AI32:AM32)</f>
        <v>0.78</v>
      </c>
      <c r="AO32" s="220">
        <f t="shared" ref="AO32:AO34" si="143">AG32*AN32*AH32</f>
        <v>34.32</v>
      </c>
      <c r="AP32" s="220">
        <f t="shared" si="94"/>
        <v>0.61653755826699685</v>
      </c>
      <c r="AQ32" s="220">
        <f t="shared" si="138"/>
        <v>21.159568999723334</v>
      </c>
      <c r="AT32" s="282"/>
      <c r="AU32" s="282"/>
      <c r="AV32" s="187" t="s">
        <v>456</v>
      </c>
      <c r="AW32" s="188">
        <v>10</v>
      </c>
      <c r="AX32" s="189">
        <v>150</v>
      </c>
      <c r="AY32" s="190">
        <v>0.25</v>
      </c>
      <c r="AZ32" s="190">
        <v>0.67</v>
      </c>
      <c r="BA32" s="190">
        <v>1.54</v>
      </c>
      <c r="BB32" s="190">
        <f>ROUND((BA32/(AX32/1000))+1,0)</f>
        <v>11</v>
      </c>
      <c r="BC32" s="190">
        <v>1</v>
      </c>
      <c r="BD32" s="190">
        <f>AY32-0.04*2</f>
        <v>0.16999999999999998</v>
      </c>
      <c r="BE32" s="190">
        <f>AZ32-0.04*2</f>
        <v>0.59000000000000008</v>
      </c>
      <c r="BF32" s="190">
        <f>BD32</f>
        <v>0.16999999999999998</v>
      </c>
      <c r="BG32" s="190">
        <f>BE32</f>
        <v>0.59000000000000008</v>
      </c>
      <c r="BH32" s="190">
        <f>(10*AW32)/1000</f>
        <v>0.1</v>
      </c>
      <c r="BI32" s="190">
        <f>SUM(BD32:BH32)</f>
        <v>1.62</v>
      </c>
      <c r="BJ32" s="190">
        <f>BB32*BI32*BC32</f>
        <v>17.82</v>
      </c>
      <c r="BK32" s="190">
        <f t="shared" si="1"/>
        <v>0.61653755826699685</v>
      </c>
      <c r="BL32" s="190">
        <f t="shared" si="140"/>
        <v>10.986699288317885</v>
      </c>
      <c r="BO32" s="206"/>
      <c r="BP32" s="206"/>
      <c r="BQ32" s="187" t="s">
        <v>474</v>
      </c>
      <c r="BR32" s="188">
        <v>8</v>
      </c>
      <c r="BS32" s="189">
        <v>200</v>
      </c>
      <c r="BT32" s="190">
        <f t="shared" si="115"/>
        <v>3.7699999999999996</v>
      </c>
      <c r="BU32" s="190">
        <v>0.25</v>
      </c>
      <c r="BV32" s="190">
        <v>2.125</v>
      </c>
      <c r="BW32" s="190">
        <f>ROUND((BT32/(BS32/1000))+1,0)</f>
        <v>20</v>
      </c>
      <c r="BX32" s="190">
        <v>14</v>
      </c>
      <c r="BY32" s="190">
        <v>0.17</v>
      </c>
      <c r="BZ32" s="190">
        <f>0.1</f>
        <v>0.1</v>
      </c>
      <c r="CA32" s="190"/>
      <c r="CB32" s="190">
        <f>BZ32</f>
        <v>0.1</v>
      </c>
      <c r="CC32" s="190"/>
      <c r="CD32" s="190">
        <f t="shared" si="95"/>
        <v>0.37</v>
      </c>
      <c r="CE32" s="190">
        <f t="shared" si="96"/>
        <v>103.60000000000001</v>
      </c>
      <c r="CF32" s="190">
        <f t="shared" si="97"/>
        <v>0.39458403729087799</v>
      </c>
      <c r="CG32" s="190">
        <f t="shared" si="131"/>
        <v>40.878906263334962</v>
      </c>
    </row>
    <row r="33" spans="2:70" x14ac:dyDescent="0.25">
      <c r="B33" s="178"/>
      <c r="D33" s="281" t="s">
        <v>186</v>
      </c>
      <c r="E33" s="281" t="s">
        <v>109</v>
      </c>
      <c r="F33" s="191" t="s">
        <v>437</v>
      </c>
      <c r="G33" s="192">
        <v>25</v>
      </c>
      <c r="H33" s="193" t="s">
        <v>440</v>
      </c>
      <c r="I33" s="194">
        <v>1</v>
      </c>
      <c r="J33" s="194">
        <v>0.25</v>
      </c>
      <c r="K33" s="194">
        <v>4.5</v>
      </c>
      <c r="L33" s="194">
        <v>20</v>
      </c>
      <c r="M33" s="194">
        <v>1</v>
      </c>
      <c r="N33" s="194">
        <f>K33</f>
        <v>4.5</v>
      </c>
      <c r="O33" s="194"/>
      <c r="P33" s="194"/>
      <c r="Q33" s="194"/>
      <c r="R33" s="194"/>
      <c r="S33" s="194">
        <f>SUM(N33:R33)</f>
        <v>4.5</v>
      </c>
      <c r="T33" s="194">
        <f t="shared" si="137"/>
        <v>90</v>
      </c>
      <c r="U33" s="194">
        <f t="shared" si="7"/>
        <v>3.8533597391687309</v>
      </c>
      <c r="V33" s="194">
        <f>T33*U33</f>
        <v>346.80237652518576</v>
      </c>
      <c r="Y33" s="216"/>
      <c r="Z33" s="216"/>
      <c r="AA33" s="217" t="s">
        <v>446</v>
      </c>
      <c r="AB33" s="218">
        <v>10</v>
      </c>
      <c r="AC33" s="219">
        <v>200</v>
      </c>
      <c r="AD33" s="220">
        <v>1.3</v>
      </c>
      <c r="AE33" s="220">
        <v>0.25</v>
      </c>
      <c r="AF33" s="220">
        <f>AF24</f>
        <v>4.0999999999999996</v>
      </c>
      <c r="AG33" s="220">
        <f t="shared" si="141"/>
        <v>22</v>
      </c>
      <c r="AH33" s="220">
        <v>1</v>
      </c>
      <c r="AI33" s="220">
        <f>AD33-0.04*2</f>
        <v>1.22</v>
      </c>
      <c r="AJ33" s="220">
        <f>AE33-0.04*2</f>
        <v>0.16999999999999998</v>
      </c>
      <c r="AK33" s="220">
        <f t="shared" ref="AK33" si="144">AI33</f>
        <v>1.22</v>
      </c>
      <c r="AL33" s="220">
        <f>AJ33</f>
        <v>0.16999999999999998</v>
      </c>
      <c r="AM33" s="220">
        <f>10*(AB33/1000)</f>
        <v>0.1</v>
      </c>
      <c r="AN33" s="220">
        <f t="shared" si="142"/>
        <v>2.88</v>
      </c>
      <c r="AO33" s="220">
        <f t="shared" si="143"/>
        <v>63.36</v>
      </c>
      <c r="AP33" s="220">
        <f t="shared" si="94"/>
        <v>0.61653755826699685</v>
      </c>
      <c r="AQ33" s="220">
        <f t="shared" si="138"/>
        <v>39.063819691796922</v>
      </c>
      <c r="AT33" s="206"/>
      <c r="AU33" s="206"/>
      <c r="AV33" s="187" t="s">
        <v>453</v>
      </c>
      <c r="AW33" s="188">
        <v>12</v>
      </c>
      <c r="AX33" s="222">
        <v>0</v>
      </c>
      <c r="AY33" s="190">
        <v>0.4</v>
      </c>
      <c r="AZ33" s="190">
        <v>0.25</v>
      </c>
      <c r="BA33" s="190">
        <f t="shared" ref="BA33" si="145">BA32</f>
        <v>1.54</v>
      </c>
      <c r="BB33" s="190">
        <v>2</v>
      </c>
      <c r="BC33" s="190">
        <v>1</v>
      </c>
      <c r="BD33" s="190">
        <f t="shared" ref="BD33" si="146">BA33</f>
        <v>1.54</v>
      </c>
      <c r="BE33" s="190"/>
      <c r="BF33" s="190"/>
      <c r="BG33" s="190"/>
      <c r="BH33" s="190"/>
      <c r="BI33" s="190">
        <f t="shared" ref="BI33" si="147">SUM(BD33:BH33)</f>
        <v>1.54</v>
      </c>
      <c r="BJ33" s="190">
        <f t="shared" ref="BJ33:BJ34" si="148">BB33*BI33*BC33</f>
        <v>3.08</v>
      </c>
      <c r="BK33" s="190">
        <f t="shared" si="1"/>
        <v>0.88781408390447547</v>
      </c>
      <c r="BL33" s="190">
        <f t="shared" si="140"/>
        <v>2.7344673784257845</v>
      </c>
    </row>
    <row r="34" spans="2:70" x14ac:dyDescent="0.25">
      <c r="B34" s="178"/>
      <c r="D34" s="281"/>
      <c r="E34" s="281"/>
      <c r="F34" s="191" t="s">
        <v>438</v>
      </c>
      <c r="G34" s="192">
        <v>10</v>
      </c>
      <c r="H34" s="193">
        <v>200</v>
      </c>
      <c r="I34" s="194">
        <v>1</v>
      </c>
      <c r="J34" s="194">
        <v>0.25</v>
      </c>
      <c r="K34" s="194">
        <v>4.5</v>
      </c>
      <c r="L34" s="194">
        <f t="shared" si="43"/>
        <v>24</v>
      </c>
      <c r="M34" s="194">
        <v>1</v>
      </c>
      <c r="N34" s="194">
        <f>I34-0.04*2</f>
        <v>0.92</v>
      </c>
      <c r="O34" s="194">
        <f>J34-0.04*2</f>
        <v>0.16999999999999998</v>
      </c>
      <c r="P34" s="194">
        <f t="shared" ref="P34:P36" si="149">N34</f>
        <v>0.92</v>
      </c>
      <c r="Q34" s="194">
        <f>O34</f>
        <v>0.16999999999999998</v>
      </c>
      <c r="R34" s="194">
        <f>10*(G34/1000)</f>
        <v>0.1</v>
      </c>
      <c r="S34" s="194">
        <f>SUM(N34:R34)</f>
        <v>2.2800000000000002</v>
      </c>
      <c r="T34" s="194">
        <f t="shared" si="137"/>
        <v>54.720000000000006</v>
      </c>
      <c r="U34" s="194">
        <f t="shared" si="7"/>
        <v>0.61653755826699685</v>
      </c>
      <c r="V34" s="194">
        <f t="shared" ref="V34:V36" si="150">T34*U34</f>
        <v>33.736935188370069</v>
      </c>
      <c r="Y34" s="216"/>
      <c r="Z34" s="216"/>
      <c r="AA34" s="217" t="s">
        <v>448</v>
      </c>
      <c r="AB34" s="218">
        <v>10</v>
      </c>
      <c r="AC34" s="219">
        <v>200</v>
      </c>
      <c r="AD34" s="220">
        <v>0.55000000000000004</v>
      </c>
      <c r="AE34" s="220">
        <v>0.3</v>
      </c>
      <c r="AF34" s="220">
        <f>AF24</f>
        <v>4.0999999999999996</v>
      </c>
      <c r="AG34" s="220">
        <f t="shared" si="141"/>
        <v>22</v>
      </c>
      <c r="AH34" s="220">
        <v>2</v>
      </c>
      <c r="AI34" s="220">
        <v>0.1</v>
      </c>
      <c r="AJ34" s="220">
        <f>AE34-0.04*2</f>
        <v>0.21999999999999997</v>
      </c>
      <c r="AK34" s="220">
        <v>0.1</v>
      </c>
      <c r="AL34" s="220"/>
      <c r="AM34" s="220"/>
      <c r="AN34" s="220">
        <f t="shared" si="142"/>
        <v>0.41999999999999993</v>
      </c>
      <c r="AO34" s="220">
        <f t="shared" si="143"/>
        <v>18.479999999999997</v>
      </c>
      <c r="AP34" s="220">
        <f t="shared" si="94"/>
        <v>0.61653755826699685</v>
      </c>
      <c r="AQ34" s="220">
        <f t="shared" si="138"/>
        <v>11.393614076774099</v>
      </c>
      <c r="AT34" s="285" t="s">
        <v>141</v>
      </c>
      <c r="AU34" s="285" t="s">
        <v>253</v>
      </c>
      <c r="AV34" s="217" t="s">
        <v>451</v>
      </c>
      <c r="AW34" s="218">
        <v>16</v>
      </c>
      <c r="AX34" s="223">
        <v>0</v>
      </c>
      <c r="AY34" s="220">
        <v>0.2</v>
      </c>
      <c r="AZ34" s="220">
        <v>0.55000000000000004</v>
      </c>
      <c r="BA34" s="220">
        <v>2.85</v>
      </c>
      <c r="BB34" s="220">
        <v>2</v>
      </c>
      <c r="BC34" s="220">
        <v>1</v>
      </c>
      <c r="BD34" s="220">
        <f>BA34</f>
        <v>2.85</v>
      </c>
      <c r="BE34" s="220"/>
      <c r="BF34" s="220"/>
      <c r="BG34" s="220"/>
      <c r="BH34" s="220"/>
      <c r="BI34" s="220">
        <f>SUM(BD34:BH34)</f>
        <v>2.85</v>
      </c>
      <c r="BJ34" s="220">
        <f t="shared" si="148"/>
        <v>5.7</v>
      </c>
      <c r="BK34" s="220">
        <f t="shared" si="1"/>
        <v>1.5783361491635119</v>
      </c>
      <c r="BL34" s="220">
        <f>BJ34*BK34</f>
        <v>8.9965160502320192</v>
      </c>
      <c r="BO34" s="283" t="s">
        <v>425</v>
      </c>
      <c r="BP34" s="283"/>
    </row>
    <row r="35" spans="2:70" x14ac:dyDescent="0.25">
      <c r="B35" s="178"/>
      <c r="D35" s="281"/>
      <c r="E35" s="281"/>
      <c r="F35" s="191" t="s">
        <v>438</v>
      </c>
      <c r="G35" s="192">
        <v>10</v>
      </c>
      <c r="H35" s="193">
        <v>200</v>
      </c>
      <c r="I35" s="194">
        <v>0.6</v>
      </c>
      <c r="J35" s="194">
        <v>0.25</v>
      </c>
      <c r="K35" s="194">
        <v>4.5</v>
      </c>
      <c r="L35" s="194">
        <f t="shared" si="43"/>
        <v>24</v>
      </c>
      <c r="M35" s="194">
        <v>2</v>
      </c>
      <c r="N35" s="194">
        <f t="shared" ref="N35" si="151">10*(G35/1000)</f>
        <v>0.1</v>
      </c>
      <c r="O35" s="194">
        <f t="shared" ref="O35" si="152">J35-0.04*2</f>
        <v>0.16999999999999998</v>
      </c>
      <c r="P35" s="194">
        <f t="shared" si="149"/>
        <v>0.1</v>
      </c>
      <c r="Q35" s="194"/>
      <c r="R35" s="194"/>
      <c r="S35" s="194">
        <f t="shared" ref="S35:S36" si="153">SUM(N35:R35)</f>
        <v>0.37</v>
      </c>
      <c r="T35" s="194">
        <f t="shared" si="137"/>
        <v>17.759999999999998</v>
      </c>
      <c r="U35" s="194">
        <f t="shared" si="7"/>
        <v>0.61653755826699685</v>
      </c>
      <c r="V35" s="194">
        <f t="shared" si="150"/>
        <v>10.949707034821863</v>
      </c>
      <c r="Y35" s="206" t="s">
        <v>197</v>
      </c>
      <c r="Z35" s="206" t="s">
        <v>481</v>
      </c>
      <c r="AA35" s="187" t="s">
        <v>444</v>
      </c>
      <c r="AB35" s="188">
        <v>20</v>
      </c>
      <c r="AC35" s="189" t="s">
        <v>440</v>
      </c>
      <c r="AD35" s="190"/>
      <c r="AE35" s="190"/>
      <c r="AF35" s="190">
        <f>AF24</f>
        <v>4.0999999999999996</v>
      </c>
      <c r="AG35" s="190">
        <v>8</v>
      </c>
      <c r="AH35" s="190">
        <v>2</v>
      </c>
      <c r="AI35" s="190">
        <f>AF35</f>
        <v>4.0999999999999996</v>
      </c>
      <c r="AJ35" s="190">
        <f>16*(AB35/1000)</f>
        <v>0.32</v>
      </c>
      <c r="AK35" s="190"/>
      <c r="AL35" s="190"/>
      <c r="AM35" s="190"/>
      <c r="AN35" s="190">
        <f>SUM(AI35:AM35)</f>
        <v>4.42</v>
      </c>
      <c r="AO35" s="190">
        <f>AG35*AN35*AH35</f>
        <v>70.72</v>
      </c>
      <c r="AP35" s="190">
        <f t="shared" si="94"/>
        <v>2.4661502330679874</v>
      </c>
      <c r="AQ35" s="190">
        <f>AO35*AP35</f>
        <v>174.40614448256807</v>
      </c>
      <c r="AT35" s="285"/>
      <c r="AU35" s="285"/>
      <c r="AV35" s="217" t="s">
        <v>451</v>
      </c>
      <c r="AW35" s="218">
        <v>12</v>
      </c>
      <c r="AX35" s="223">
        <v>0</v>
      </c>
      <c r="AY35" s="220">
        <f>AY34</f>
        <v>0.2</v>
      </c>
      <c r="AZ35" s="220">
        <f>AZ34</f>
        <v>0.55000000000000004</v>
      </c>
      <c r="BA35" s="220">
        <v>2.85</v>
      </c>
      <c r="BB35" s="220">
        <v>2</v>
      </c>
      <c r="BC35" s="220">
        <v>1</v>
      </c>
      <c r="BD35" s="220">
        <f>BA35</f>
        <v>2.85</v>
      </c>
      <c r="BE35" s="220"/>
      <c r="BF35" s="220"/>
      <c r="BG35" s="220"/>
      <c r="BH35" s="220"/>
      <c r="BI35" s="220">
        <f t="shared" ref="BI35" si="154">SUM(BD35:BH35)</f>
        <v>2.85</v>
      </c>
      <c r="BJ35" s="220">
        <f>BB35*BI35*BC35</f>
        <v>5.7</v>
      </c>
      <c r="BK35" s="220">
        <f t="shared" si="1"/>
        <v>0.88781408390447547</v>
      </c>
      <c r="BL35" s="220">
        <f t="shared" ref="BL35:BL39" si="155">BJ35*BK35</f>
        <v>5.0605402782555107</v>
      </c>
      <c r="BO35" s="203" t="s">
        <v>76</v>
      </c>
      <c r="BP35" s="197" t="s">
        <v>427</v>
      </c>
      <c r="BQ35" s="197" t="s">
        <v>41</v>
      </c>
      <c r="BR35" s="197" t="s">
        <v>415</v>
      </c>
    </row>
    <row r="36" spans="2:70" x14ac:dyDescent="0.25">
      <c r="B36" s="178"/>
      <c r="D36" s="281"/>
      <c r="E36" s="281"/>
      <c r="F36" s="191" t="s">
        <v>438</v>
      </c>
      <c r="G36" s="192">
        <v>10</v>
      </c>
      <c r="H36" s="193">
        <v>200</v>
      </c>
      <c r="I36" s="194">
        <v>0.6</v>
      </c>
      <c r="J36" s="194">
        <v>0.25</v>
      </c>
      <c r="K36" s="194">
        <v>4.5</v>
      </c>
      <c r="L36" s="194">
        <f t="shared" si="43"/>
        <v>24</v>
      </c>
      <c r="M36" s="194">
        <v>1</v>
      </c>
      <c r="N36" s="194">
        <f>Q36</f>
        <v>0.16999999999999998</v>
      </c>
      <c r="O36" s="194">
        <f>J36-0.04*2</f>
        <v>0.16999999999999998</v>
      </c>
      <c r="P36" s="194">
        <f t="shared" si="149"/>
        <v>0.16999999999999998</v>
      </c>
      <c r="Q36" s="194">
        <f>O36</f>
        <v>0.16999999999999998</v>
      </c>
      <c r="R36" s="194">
        <f>10*(G36/1000)</f>
        <v>0.1</v>
      </c>
      <c r="S36" s="194">
        <f t="shared" si="153"/>
        <v>0.77999999999999992</v>
      </c>
      <c r="T36" s="194">
        <f t="shared" si="137"/>
        <v>18.72</v>
      </c>
      <c r="U36" s="194">
        <f t="shared" si="7"/>
        <v>0.61653755826699685</v>
      </c>
      <c r="V36" s="194">
        <f t="shared" si="150"/>
        <v>11.541583090758181</v>
      </c>
      <c r="Y36" s="206"/>
      <c r="Z36" s="206"/>
      <c r="AA36" s="187" t="s">
        <v>445</v>
      </c>
      <c r="AB36" s="188">
        <v>16</v>
      </c>
      <c r="AC36" s="189" t="s">
        <v>440</v>
      </c>
      <c r="AD36" s="190"/>
      <c r="AE36" s="190"/>
      <c r="AF36" s="190">
        <f>AF24</f>
        <v>4.0999999999999996</v>
      </c>
      <c r="AG36" s="190">
        <v>10</v>
      </c>
      <c r="AH36" s="190">
        <v>1</v>
      </c>
      <c r="AI36" s="190">
        <f>AF36</f>
        <v>4.0999999999999996</v>
      </c>
      <c r="AJ36" s="190">
        <f>16*(AB36/1000)</f>
        <v>0.25600000000000001</v>
      </c>
      <c r="AK36" s="190"/>
      <c r="AL36" s="190"/>
      <c r="AM36" s="190"/>
      <c r="AN36" s="190">
        <f>SUM(AI36:AM36)</f>
        <v>4.3559999999999999</v>
      </c>
      <c r="AO36" s="190">
        <f>AG36*AN36*AH36</f>
        <v>43.56</v>
      </c>
      <c r="AP36" s="190">
        <f t="shared" si="94"/>
        <v>1.5783361491635119</v>
      </c>
      <c r="AQ36" s="190">
        <f t="shared" ref="AQ36:AQ39" si="156">AO36*AP36</f>
        <v>68.752322657562587</v>
      </c>
      <c r="AT36" s="285"/>
      <c r="AU36" s="285"/>
      <c r="AV36" s="217" t="s">
        <v>452</v>
      </c>
      <c r="AW36" s="218">
        <v>16</v>
      </c>
      <c r="AX36" s="223">
        <v>0</v>
      </c>
      <c r="AY36" s="220">
        <f t="shared" ref="AY36:AZ39" si="157">AY35</f>
        <v>0.2</v>
      </c>
      <c r="AZ36" s="220">
        <f t="shared" si="157"/>
        <v>0.55000000000000004</v>
      </c>
      <c r="BA36" s="220">
        <v>2.85</v>
      </c>
      <c r="BB36" s="220">
        <v>2</v>
      </c>
      <c r="BC36" s="220">
        <v>1</v>
      </c>
      <c r="BD36" s="220">
        <f>BA36</f>
        <v>2.85</v>
      </c>
      <c r="BE36" s="220"/>
      <c r="BF36" s="220"/>
      <c r="BG36" s="220"/>
      <c r="BH36" s="220"/>
      <c r="BI36" s="220">
        <f>SUM(BD36:BH36)</f>
        <v>2.85</v>
      </c>
      <c r="BJ36" s="220">
        <f t="shared" ref="BJ36" si="158">BB36*BI36*BC36</f>
        <v>5.7</v>
      </c>
      <c r="BK36" s="220">
        <f t="shared" si="1"/>
        <v>1.5783361491635119</v>
      </c>
      <c r="BL36" s="220">
        <f>BJ36*BK36</f>
        <v>8.9965160502320192</v>
      </c>
      <c r="BO36" s="204" t="s">
        <v>193</v>
      </c>
      <c r="BP36" s="198">
        <f>SUM(CG6:CG32)</f>
        <v>3324.5313071708433</v>
      </c>
      <c r="BQ36" s="198">
        <v>1</v>
      </c>
      <c r="BR36" s="198">
        <f>BP36*BQ36</f>
        <v>3324.5313071708433</v>
      </c>
    </row>
    <row r="37" spans="2:70" x14ac:dyDescent="0.25">
      <c r="B37" s="178"/>
      <c r="D37" s="282" t="s">
        <v>82</v>
      </c>
      <c r="E37" s="282" t="s">
        <v>109</v>
      </c>
      <c r="F37" s="187" t="s">
        <v>437</v>
      </c>
      <c r="G37" s="188">
        <v>16</v>
      </c>
      <c r="H37" s="189" t="s">
        <v>440</v>
      </c>
      <c r="I37" s="190">
        <v>0.6</v>
      </c>
      <c r="J37" s="190">
        <v>0.25</v>
      </c>
      <c r="K37" s="190">
        <v>4.5</v>
      </c>
      <c r="L37" s="190">
        <v>10</v>
      </c>
      <c r="M37" s="190">
        <v>1</v>
      </c>
      <c r="N37" s="190">
        <f>K37</f>
        <v>4.5</v>
      </c>
      <c r="O37" s="190">
        <v>0.6</v>
      </c>
      <c r="P37" s="190"/>
      <c r="Q37" s="190"/>
      <c r="R37" s="190"/>
      <c r="S37" s="190">
        <f>SUM(N37:R37)</f>
        <v>5.0999999999999996</v>
      </c>
      <c r="T37" s="190">
        <f>L37*S37*M37</f>
        <v>51</v>
      </c>
      <c r="U37" s="190">
        <f t="shared" si="7"/>
        <v>1.5783361491635119</v>
      </c>
      <c r="V37" s="190">
        <f>T37*U37</f>
        <v>80.495143607339116</v>
      </c>
      <c r="Y37" s="206"/>
      <c r="Z37" s="206"/>
      <c r="AA37" s="187" t="s">
        <v>446</v>
      </c>
      <c r="AB37" s="188">
        <v>10</v>
      </c>
      <c r="AC37" s="189">
        <v>200</v>
      </c>
      <c r="AD37" s="190">
        <v>1.3</v>
      </c>
      <c r="AE37" s="190">
        <v>0.25</v>
      </c>
      <c r="AF37" s="190">
        <f>AF24</f>
        <v>4.0999999999999996</v>
      </c>
      <c r="AG37" s="190">
        <f t="shared" ref="AG37:AG39" si="159">ROUND((AF37/(AC37/1000))+1,0)</f>
        <v>22</v>
      </c>
      <c r="AH37" s="190">
        <v>1</v>
      </c>
      <c r="AI37" s="190">
        <f>AD37-0.04*2</f>
        <v>1.22</v>
      </c>
      <c r="AJ37" s="190">
        <f>AE37-0.04*2</f>
        <v>0.16999999999999998</v>
      </c>
      <c r="AK37" s="190">
        <f t="shared" ref="AK37" si="160">AI37</f>
        <v>1.22</v>
      </c>
      <c r="AL37" s="190">
        <f>AJ37</f>
        <v>0.16999999999999998</v>
      </c>
      <c r="AM37" s="190">
        <f>10*(AB37/1000)</f>
        <v>0.1</v>
      </c>
      <c r="AN37" s="190">
        <f t="shared" ref="AN37:AN39" si="161">SUM(AI37:AM37)</f>
        <v>2.88</v>
      </c>
      <c r="AO37" s="190">
        <f t="shared" ref="AO37:AO39" si="162">AG37*AN37*AH37</f>
        <v>63.36</v>
      </c>
      <c r="AP37" s="190">
        <f t="shared" si="94"/>
        <v>0.61653755826699685</v>
      </c>
      <c r="AQ37" s="190">
        <f t="shared" si="156"/>
        <v>39.063819691796922</v>
      </c>
      <c r="AT37" s="285"/>
      <c r="AU37" s="285"/>
      <c r="AV37" s="217" t="s">
        <v>452</v>
      </c>
      <c r="AW37" s="218">
        <v>12</v>
      </c>
      <c r="AX37" s="223">
        <v>0</v>
      </c>
      <c r="AY37" s="220">
        <f t="shared" si="157"/>
        <v>0.2</v>
      </c>
      <c r="AZ37" s="220">
        <f t="shared" si="157"/>
        <v>0.55000000000000004</v>
      </c>
      <c r="BA37" s="220">
        <v>2.85</v>
      </c>
      <c r="BB37" s="220">
        <v>2</v>
      </c>
      <c r="BC37" s="220">
        <v>1</v>
      </c>
      <c r="BD37" s="220">
        <f>BA37</f>
        <v>2.85</v>
      </c>
      <c r="BE37" s="220"/>
      <c r="BF37" s="220"/>
      <c r="BG37" s="220"/>
      <c r="BH37" s="220"/>
      <c r="BI37" s="220">
        <f t="shared" ref="BI37" si="163">SUM(BD37:BH37)</f>
        <v>2.85</v>
      </c>
      <c r="BJ37" s="220">
        <f>BB37*BI37*BC37</f>
        <v>5.7</v>
      </c>
      <c r="BK37" s="220">
        <f t="shared" si="1"/>
        <v>0.88781408390447547</v>
      </c>
      <c r="BL37" s="220">
        <f t="shared" ref="BL37" si="164">BJ37*BK37</f>
        <v>5.0605402782555107</v>
      </c>
      <c r="BO37" s="212" t="s">
        <v>443</v>
      </c>
      <c r="BP37" s="210"/>
      <c r="BQ37" s="210"/>
      <c r="BR37" s="214">
        <f>SUM(BR36:BR36)</f>
        <v>3324.5313071708433</v>
      </c>
    </row>
    <row r="38" spans="2:70" x14ac:dyDescent="0.25">
      <c r="B38" s="178"/>
      <c r="D38" s="282"/>
      <c r="E38" s="282"/>
      <c r="F38" s="187" t="s">
        <v>438</v>
      </c>
      <c r="G38" s="188">
        <v>10</v>
      </c>
      <c r="H38" s="189">
        <v>200</v>
      </c>
      <c r="I38" s="190">
        <v>0.6</v>
      </c>
      <c r="J38" s="190">
        <v>0.25</v>
      </c>
      <c r="K38" s="190">
        <v>4.5</v>
      </c>
      <c r="L38" s="190">
        <f t="shared" si="43"/>
        <v>24</v>
      </c>
      <c r="M38" s="190">
        <v>1</v>
      </c>
      <c r="N38" s="190">
        <f>I38-0.04*2</f>
        <v>0.52</v>
      </c>
      <c r="O38" s="190">
        <f>J38-0.04*2</f>
        <v>0.16999999999999998</v>
      </c>
      <c r="P38" s="190">
        <f t="shared" ref="P38:P39" si="165">N38</f>
        <v>0.52</v>
      </c>
      <c r="Q38" s="190">
        <f>O38</f>
        <v>0.16999999999999998</v>
      </c>
      <c r="R38" s="190">
        <f>10*(G38/1000)</f>
        <v>0.1</v>
      </c>
      <c r="S38" s="190">
        <f>SUM(N38:R38)</f>
        <v>1.48</v>
      </c>
      <c r="T38" s="190">
        <f>L38*S38*M38</f>
        <v>35.519999999999996</v>
      </c>
      <c r="U38" s="190">
        <f t="shared" si="7"/>
        <v>0.61653755826699685</v>
      </c>
      <c r="V38" s="190">
        <f t="shared" ref="V38:V39" si="166">T38*U38</f>
        <v>21.899414069643726</v>
      </c>
      <c r="Y38" s="206"/>
      <c r="Z38" s="206"/>
      <c r="AA38" s="187" t="s">
        <v>446</v>
      </c>
      <c r="AB38" s="188">
        <v>10</v>
      </c>
      <c r="AC38" s="189">
        <v>200</v>
      </c>
      <c r="AD38" s="190">
        <v>0.25</v>
      </c>
      <c r="AE38" s="190">
        <v>0.25</v>
      </c>
      <c r="AF38" s="190">
        <f>AF24</f>
        <v>4.0999999999999996</v>
      </c>
      <c r="AG38" s="190">
        <f t="shared" si="159"/>
        <v>22</v>
      </c>
      <c r="AH38" s="190">
        <v>2</v>
      </c>
      <c r="AI38" s="190">
        <f>AD38-0.04</f>
        <v>0.21</v>
      </c>
      <c r="AJ38" s="190">
        <f>AE38-0.04*2</f>
        <v>0.16999999999999998</v>
      </c>
      <c r="AK38" s="190">
        <f>AI38</f>
        <v>0.21</v>
      </c>
      <c r="AL38" s="190">
        <f>AJ38</f>
        <v>0.16999999999999998</v>
      </c>
      <c r="AM38" s="190">
        <f>10*(AB38/1000)</f>
        <v>0.1</v>
      </c>
      <c r="AN38" s="190">
        <f t="shared" si="161"/>
        <v>0.86</v>
      </c>
      <c r="AO38" s="190">
        <f t="shared" si="162"/>
        <v>37.839999999999996</v>
      </c>
      <c r="AP38" s="190">
        <f t="shared" si="94"/>
        <v>0.61653755826699685</v>
      </c>
      <c r="AQ38" s="190">
        <f t="shared" si="156"/>
        <v>23.32978120482316</v>
      </c>
      <c r="AT38" s="285"/>
      <c r="AU38" s="285"/>
      <c r="AV38" s="217" t="s">
        <v>456</v>
      </c>
      <c r="AW38" s="218">
        <v>10</v>
      </c>
      <c r="AX38" s="219">
        <v>200</v>
      </c>
      <c r="AY38" s="220">
        <f t="shared" si="157"/>
        <v>0.2</v>
      </c>
      <c r="AZ38" s="220">
        <f t="shared" si="157"/>
        <v>0.55000000000000004</v>
      </c>
      <c r="BA38" s="220">
        <v>2.85</v>
      </c>
      <c r="BB38" s="220">
        <f>ROUND((BA38/(AX38/1000))+1,0)</f>
        <v>15</v>
      </c>
      <c r="BC38" s="220">
        <v>1</v>
      </c>
      <c r="BD38" s="220">
        <f>AY38-0.04*2</f>
        <v>0.12000000000000001</v>
      </c>
      <c r="BE38" s="220">
        <f>AZ38-0.04*2</f>
        <v>0.47000000000000003</v>
      </c>
      <c r="BF38" s="220">
        <f>BD38</f>
        <v>0.12000000000000001</v>
      </c>
      <c r="BG38" s="220">
        <f>BE38</f>
        <v>0.47000000000000003</v>
      </c>
      <c r="BH38" s="220">
        <f>(10*AW38)/1000</f>
        <v>0.1</v>
      </c>
      <c r="BI38" s="220">
        <f>SUM(BD38:BH38)</f>
        <v>1.2800000000000002</v>
      </c>
      <c r="BJ38" s="220">
        <f>BB38*BI38*BC38</f>
        <v>19.200000000000003</v>
      </c>
      <c r="BK38" s="220">
        <f t="shared" si="1"/>
        <v>0.61653755826699685</v>
      </c>
      <c r="BL38" s="220">
        <f t="shared" si="155"/>
        <v>11.837521118726341</v>
      </c>
    </row>
    <row r="39" spans="2:70" x14ac:dyDescent="0.25">
      <c r="B39" s="178"/>
      <c r="D39" s="282"/>
      <c r="E39" s="282"/>
      <c r="F39" s="187" t="s">
        <v>438</v>
      </c>
      <c r="G39" s="188">
        <v>10</v>
      </c>
      <c r="H39" s="189">
        <v>200</v>
      </c>
      <c r="I39" s="190">
        <v>0.6</v>
      </c>
      <c r="J39" s="190">
        <v>0.25</v>
      </c>
      <c r="K39" s="190">
        <v>4.5</v>
      </c>
      <c r="L39" s="190">
        <f t="shared" si="43"/>
        <v>24</v>
      </c>
      <c r="M39" s="190">
        <v>1</v>
      </c>
      <c r="N39" s="190">
        <f t="shared" ref="N39" si="167">10*(G39/1000)</f>
        <v>0.1</v>
      </c>
      <c r="O39" s="190">
        <f t="shared" ref="O39" si="168">J39-0.04*2</f>
        <v>0.16999999999999998</v>
      </c>
      <c r="P39" s="190">
        <f t="shared" si="165"/>
        <v>0.1</v>
      </c>
      <c r="Q39" s="190"/>
      <c r="R39" s="190"/>
      <c r="S39" s="190">
        <f t="shared" ref="S39" si="169">SUM(N39:R39)</f>
        <v>0.37</v>
      </c>
      <c r="T39" s="190">
        <f t="shared" ref="T39:T41" si="170">L39*S39*M39</f>
        <v>8.879999999999999</v>
      </c>
      <c r="U39" s="190">
        <f t="shared" si="7"/>
        <v>0.61653755826699685</v>
      </c>
      <c r="V39" s="190">
        <f t="shared" si="166"/>
        <v>5.4748535174109314</v>
      </c>
      <c r="Y39" s="206"/>
      <c r="Z39" s="206"/>
      <c r="AA39" s="187" t="s">
        <v>448</v>
      </c>
      <c r="AB39" s="188">
        <v>10</v>
      </c>
      <c r="AC39" s="189">
        <v>200</v>
      </c>
      <c r="AD39" s="190">
        <v>0.55000000000000004</v>
      </c>
      <c r="AE39" s="190">
        <v>0.3</v>
      </c>
      <c r="AF39" s="190">
        <f>AF24</f>
        <v>4.0999999999999996</v>
      </c>
      <c r="AG39" s="190">
        <f t="shared" si="159"/>
        <v>22</v>
      </c>
      <c r="AH39" s="190">
        <v>2</v>
      </c>
      <c r="AI39" s="190">
        <v>0.1</v>
      </c>
      <c r="AJ39" s="190">
        <f t="shared" ref="AJ39" si="171">AE39-0.04*2</f>
        <v>0.21999999999999997</v>
      </c>
      <c r="AK39" s="190">
        <v>0.1</v>
      </c>
      <c r="AL39" s="190"/>
      <c r="AM39" s="190"/>
      <c r="AN39" s="190">
        <f t="shared" si="161"/>
        <v>0.41999999999999993</v>
      </c>
      <c r="AO39" s="190">
        <f t="shared" si="162"/>
        <v>18.479999999999997</v>
      </c>
      <c r="AP39" s="190">
        <f t="shared" si="94"/>
        <v>0.61653755826699685</v>
      </c>
      <c r="AQ39" s="190">
        <f t="shared" si="156"/>
        <v>11.393614076774099</v>
      </c>
      <c r="AT39" s="285"/>
      <c r="AU39" s="285"/>
      <c r="AV39" s="217" t="s">
        <v>453</v>
      </c>
      <c r="AW39" s="218">
        <v>10</v>
      </c>
      <c r="AX39" s="223">
        <v>0</v>
      </c>
      <c r="AY39" s="220">
        <f t="shared" si="157"/>
        <v>0.2</v>
      </c>
      <c r="AZ39" s="220">
        <f t="shared" si="157"/>
        <v>0.55000000000000004</v>
      </c>
      <c r="BA39" s="220">
        <v>2.85</v>
      </c>
      <c r="BB39" s="220">
        <v>1</v>
      </c>
      <c r="BC39" s="220">
        <v>1</v>
      </c>
      <c r="BD39" s="220">
        <f>BA39</f>
        <v>2.85</v>
      </c>
      <c r="BE39" s="220"/>
      <c r="BF39" s="220"/>
      <c r="BG39" s="220"/>
      <c r="BH39" s="220"/>
      <c r="BI39" s="220">
        <f t="shared" ref="BI39" si="172">SUM(BD39:BH39)</f>
        <v>2.85</v>
      </c>
      <c r="BJ39" s="220">
        <f>BB39*BI39*BC39</f>
        <v>2.85</v>
      </c>
      <c r="BK39" s="220">
        <f t="shared" si="1"/>
        <v>0.61653755826699685</v>
      </c>
      <c r="BL39" s="220">
        <f t="shared" si="155"/>
        <v>1.757132041060941</v>
      </c>
    </row>
    <row r="40" spans="2:70" x14ac:dyDescent="0.25">
      <c r="B40" s="178"/>
      <c r="D40" s="281" t="s">
        <v>81</v>
      </c>
      <c r="E40" s="281" t="s">
        <v>109</v>
      </c>
      <c r="F40" s="191" t="s">
        <v>437</v>
      </c>
      <c r="G40" s="192">
        <v>16</v>
      </c>
      <c r="H40" s="193" t="s">
        <v>440</v>
      </c>
      <c r="I40" s="194">
        <v>0.25</v>
      </c>
      <c r="J40" s="194">
        <v>0.25</v>
      </c>
      <c r="K40" s="194">
        <v>4.5</v>
      </c>
      <c r="L40" s="194">
        <v>6</v>
      </c>
      <c r="M40" s="194">
        <v>1</v>
      </c>
      <c r="N40" s="194">
        <f>K40</f>
        <v>4.5</v>
      </c>
      <c r="O40" s="194"/>
      <c r="P40" s="194"/>
      <c r="Q40" s="194"/>
      <c r="R40" s="194"/>
      <c r="S40" s="194">
        <f>SUM(N40:R40)</f>
        <v>4.5</v>
      </c>
      <c r="T40" s="194">
        <f t="shared" si="170"/>
        <v>27</v>
      </c>
      <c r="U40" s="194">
        <f t="shared" si="7"/>
        <v>1.5783361491635119</v>
      </c>
      <c r="V40" s="194">
        <f>T40*U40</f>
        <v>42.615076027414823</v>
      </c>
      <c r="Y40" s="195" t="s">
        <v>450</v>
      </c>
      <c r="Z40" s="202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6"/>
      <c r="AT40" s="282" t="s">
        <v>463</v>
      </c>
      <c r="AU40" s="282" t="s">
        <v>464</v>
      </c>
      <c r="AV40" s="187" t="s">
        <v>451</v>
      </c>
      <c r="AW40" s="188">
        <v>16</v>
      </c>
      <c r="AX40" s="222">
        <v>0</v>
      </c>
      <c r="AY40" s="190">
        <v>0.25</v>
      </c>
      <c r="AZ40" s="190">
        <v>0.6</v>
      </c>
      <c r="BA40" s="190">
        <v>4.49</v>
      </c>
      <c r="BB40" s="190">
        <v>5</v>
      </c>
      <c r="BC40" s="190">
        <v>1</v>
      </c>
      <c r="BD40" s="190">
        <f>BA40</f>
        <v>4.49</v>
      </c>
      <c r="BE40" s="190"/>
      <c r="BF40" s="190"/>
      <c r="BG40" s="190"/>
      <c r="BH40" s="190"/>
      <c r="BI40" s="190">
        <f>SUM(BD40:BH40)</f>
        <v>4.49</v>
      </c>
      <c r="BJ40" s="190">
        <f t="shared" ref="BJ40" si="173">BB40*BI40*BC40</f>
        <v>22.450000000000003</v>
      </c>
      <c r="BK40" s="190">
        <f t="shared" si="1"/>
        <v>1.5783361491635119</v>
      </c>
      <c r="BL40" s="190">
        <f>BJ40*BK40</f>
        <v>35.433646548720844</v>
      </c>
    </row>
    <row r="41" spans="2:70" x14ac:dyDescent="0.25">
      <c r="B41" s="178"/>
      <c r="D41" s="281"/>
      <c r="E41" s="281"/>
      <c r="F41" s="191" t="s">
        <v>438</v>
      </c>
      <c r="G41" s="192">
        <v>10</v>
      </c>
      <c r="H41" s="193">
        <v>200</v>
      </c>
      <c r="I41" s="194">
        <v>0.25</v>
      </c>
      <c r="J41" s="194">
        <v>0.25</v>
      </c>
      <c r="K41" s="194">
        <v>4.5</v>
      </c>
      <c r="L41" s="194">
        <f t="shared" si="43"/>
        <v>24</v>
      </c>
      <c r="M41" s="194">
        <v>1</v>
      </c>
      <c r="N41" s="194">
        <f>I41-0.04*2</f>
        <v>0.16999999999999998</v>
      </c>
      <c r="O41" s="194">
        <f>J41-0.04*2</f>
        <v>0.16999999999999998</v>
      </c>
      <c r="P41" s="194">
        <f>N41</f>
        <v>0.16999999999999998</v>
      </c>
      <c r="Q41" s="194">
        <f>O41</f>
        <v>0.16999999999999998</v>
      </c>
      <c r="R41" s="194">
        <f>10*(G41/1000)</f>
        <v>0.1</v>
      </c>
      <c r="S41" s="194">
        <f>SUM(N41:R41)</f>
        <v>0.77999999999999992</v>
      </c>
      <c r="T41" s="194">
        <f t="shared" si="170"/>
        <v>18.72</v>
      </c>
      <c r="U41" s="194">
        <f t="shared" si="7"/>
        <v>0.61653755826699685</v>
      </c>
      <c r="V41" s="194">
        <f t="shared" ref="V41" si="174">T41*U41</f>
        <v>11.541583090758181</v>
      </c>
      <c r="Y41" s="178"/>
      <c r="Z41" s="199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T41" s="282"/>
      <c r="AU41" s="282"/>
      <c r="AV41" s="187" t="s">
        <v>452</v>
      </c>
      <c r="AW41" s="188">
        <v>16</v>
      </c>
      <c r="AX41" s="222">
        <v>0</v>
      </c>
      <c r="AY41" s="190">
        <v>0.25</v>
      </c>
      <c r="AZ41" s="190">
        <f>AZ40</f>
        <v>0.6</v>
      </c>
      <c r="BA41" s="190">
        <v>4.49</v>
      </c>
      <c r="BB41" s="190">
        <v>5</v>
      </c>
      <c r="BC41" s="190">
        <v>1</v>
      </c>
      <c r="BD41" s="190">
        <f>BA41</f>
        <v>4.49</v>
      </c>
      <c r="BE41" s="190"/>
      <c r="BF41" s="190"/>
      <c r="BG41" s="190"/>
      <c r="BH41" s="190"/>
      <c r="BI41" s="190">
        <f t="shared" ref="BI41" si="175">SUM(BD41:BH41)</f>
        <v>4.49</v>
      </c>
      <c r="BJ41" s="190">
        <f>BB41*BI41*BC41</f>
        <v>22.450000000000003</v>
      </c>
      <c r="BK41" s="190">
        <f t="shared" si="1"/>
        <v>1.5783361491635119</v>
      </c>
      <c r="BL41" s="190">
        <f t="shared" ref="BL41:BL42" si="176">BJ41*BK41</f>
        <v>35.433646548720844</v>
      </c>
    </row>
    <row r="42" spans="2:70" x14ac:dyDescent="0.25">
      <c r="B42" s="178"/>
      <c r="D42" s="282" t="s">
        <v>83</v>
      </c>
      <c r="E42" s="282" t="s">
        <v>109</v>
      </c>
      <c r="F42" s="187" t="s">
        <v>437</v>
      </c>
      <c r="G42" s="188">
        <v>16</v>
      </c>
      <c r="H42" s="189" t="s">
        <v>440</v>
      </c>
      <c r="I42" s="190">
        <v>0.2</v>
      </c>
      <c r="J42" s="190">
        <v>0.2</v>
      </c>
      <c r="K42" s="190">
        <v>2.2000000000000002</v>
      </c>
      <c r="L42" s="190">
        <v>4</v>
      </c>
      <c r="M42" s="190">
        <v>1</v>
      </c>
      <c r="N42" s="190">
        <f>K42</f>
        <v>2.2000000000000002</v>
      </c>
      <c r="O42" s="190"/>
      <c r="P42" s="190"/>
      <c r="Q42" s="190"/>
      <c r="R42" s="190"/>
      <c r="S42" s="190">
        <f>SUM(N42:R42)</f>
        <v>2.2000000000000002</v>
      </c>
      <c r="T42" s="190">
        <f>L42*S42*M42</f>
        <v>8.8000000000000007</v>
      </c>
      <c r="U42" s="190">
        <f t="shared" si="7"/>
        <v>1.5783361491635119</v>
      </c>
      <c r="V42" s="190">
        <f>T42*U42</f>
        <v>13.889358112638906</v>
      </c>
      <c r="Y42" s="178"/>
      <c r="Z42" s="283" t="s">
        <v>425</v>
      </c>
      <c r="AA42" s="283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T42" s="282"/>
      <c r="AU42" s="282"/>
      <c r="AV42" s="187" t="s">
        <v>456</v>
      </c>
      <c r="AW42" s="188">
        <v>10</v>
      </c>
      <c r="AX42" s="189">
        <v>150</v>
      </c>
      <c r="AY42" s="190">
        <v>0.25</v>
      </c>
      <c r="AZ42" s="190">
        <f>AZ41</f>
        <v>0.6</v>
      </c>
      <c r="BA42" s="190">
        <v>4.49</v>
      </c>
      <c r="BB42" s="190">
        <f>ROUND((BA42/(AX42/1000))+1,0)</f>
        <v>31</v>
      </c>
      <c r="BC42" s="190">
        <v>1</v>
      </c>
      <c r="BD42" s="190">
        <f>AY42-0.04*2</f>
        <v>0.16999999999999998</v>
      </c>
      <c r="BE42" s="190">
        <f>AZ42-0.04*2</f>
        <v>0.52</v>
      </c>
      <c r="BF42" s="190">
        <f>BD42</f>
        <v>0.16999999999999998</v>
      </c>
      <c r="BG42" s="190">
        <f>BE42</f>
        <v>0.52</v>
      </c>
      <c r="BH42" s="190">
        <f>(10*AW42)/1000</f>
        <v>0.1</v>
      </c>
      <c r="BI42" s="190">
        <f>SUM(BD42:BH42)</f>
        <v>1.48</v>
      </c>
      <c r="BJ42" s="190">
        <f>BB42*BI42*BC42</f>
        <v>45.88</v>
      </c>
      <c r="BK42" s="190">
        <f t="shared" si="1"/>
        <v>0.61653755826699685</v>
      </c>
      <c r="BL42" s="190">
        <f t="shared" si="176"/>
        <v>28.286743173289818</v>
      </c>
    </row>
    <row r="43" spans="2:70" ht="15" customHeight="1" x14ac:dyDescent="0.25">
      <c r="B43" s="178"/>
      <c r="D43" s="282"/>
      <c r="E43" s="282"/>
      <c r="F43" s="187" t="s">
        <v>438</v>
      </c>
      <c r="G43" s="188">
        <v>10</v>
      </c>
      <c r="H43" s="189">
        <v>200</v>
      </c>
      <c r="I43" s="190">
        <v>0.2</v>
      </c>
      <c r="J43" s="190">
        <v>0.2</v>
      </c>
      <c r="K43" s="190">
        <v>2.2000000000000002</v>
      </c>
      <c r="L43" s="190">
        <f>ROUND((K43/(H43/1000))+1,0)</f>
        <v>12</v>
      </c>
      <c r="M43" s="190">
        <v>1</v>
      </c>
      <c r="N43" s="190">
        <f>I43-0.04*2</f>
        <v>0.12000000000000001</v>
      </c>
      <c r="O43" s="190">
        <f>J43-0.04*2</f>
        <v>0.12000000000000001</v>
      </c>
      <c r="P43" s="190">
        <f t="shared" ref="P43" si="177">N43</f>
        <v>0.12000000000000001</v>
      </c>
      <c r="Q43" s="190">
        <f>O43</f>
        <v>0.12000000000000001</v>
      </c>
      <c r="R43" s="190">
        <f>10*(G43/1000)</f>
        <v>0.1</v>
      </c>
      <c r="S43" s="190">
        <f>SUM(N43:R43)</f>
        <v>0.58000000000000007</v>
      </c>
      <c r="T43" s="190">
        <f>L43*S43*M43</f>
        <v>6.9600000000000009</v>
      </c>
      <c r="U43" s="190">
        <f t="shared" si="7"/>
        <v>0.61653755826699685</v>
      </c>
      <c r="V43" s="190">
        <f t="shared" ref="V43:V44" si="178">T43*U43</f>
        <v>4.2911014055382983</v>
      </c>
      <c r="Y43" s="178"/>
      <c r="Z43" s="203" t="s">
        <v>449</v>
      </c>
      <c r="AA43" s="197" t="s">
        <v>427</v>
      </c>
      <c r="AB43" s="197" t="s">
        <v>40</v>
      </c>
      <c r="AC43" s="197" t="s">
        <v>415</v>
      </c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</row>
    <row r="44" spans="2:70" x14ac:dyDescent="0.25">
      <c r="B44" s="178"/>
      <c r="D44" s="282"/>
      <c r="E44" s="282"/>
      <c r="F44" s="187" t="s">
        <v>438</v>
      </c>
      <c r="G44" s="188">
        <v>10</v>
      </c>
      <c r="H44" s="189">
        <v>200</v>
      </c>
      <c r="I44" s="190">
        <v>0.6</v>
      </c>
      <c r="J44" s="190">
        <v>0.25</v>
      </c>
      <c r="K44" s="190">
        <v>2.2000000000000002</v>
      </c>
      <c r="L44" s="190">
        <f t="shared" ref="L44" si="179">ROUND(((1.5-0.075)/(H44/1000))+1,0)</f>
        <v>8</v>
      </c>
      <c r="M44" s="190"/>
      <c r="N44" s="190"/>
      <c r="O44" s="190"/>
      <c r="P44" s="190"/>
      <c r="Q44" s="190"/>
      <c r="R44" s="190"/>
      <c r="S44" s="190">
        <f t="shared" ref="S44" si="180">SUM(N44:R44)</f>
        <v>0</v>
      </c>
      <c r="T44" s="190">
        <f t="shared" ref="T44" si="181">L44*S44*M44</f>
        <v>0</v>
      </c>
      <c r="U44" s="190">
        <f t="shared" si="7"/>
        <v>0.61653755826699685</v>
      </c>
      <c r="V44" s="190">
        <f t="shared" si="178"/>
        <v>0</v>
      </c>
      <c r="Y44" s="178"/>
      <c r="Z44" s="204" t="s">
        <v>195</v>
      </c>
      <c r="AA44" s="198">
        <f>SUM(AQ7:AQ12)+SUM(AQ24:AQ29)</f>
        <v>872.94891946761607</v>
      </c>
      <c r="AB44" s="198">
        <f>'Concrete Substructure'!F60</f>
        <v>1</v>
      </c>
      <c r="AC44" s="198">
        <f>AA44*AB44</f>
        <v>872.94891946761607</v>
      </c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T44" s="283" t="s">
        <v>425</v>
      </c>
      <c r="AU44" s="283"/>
    </row>
    <row r="45" spans="2:70" ht="15" customHeight="1" x14ac:dyDescent="0.25">
      <c r="B45" s="178"/>
      <c r="D45" s="195"/>
      <c r="E45" s="202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6"/>
      <c r="Y45" s="178"/>
      <c r="Z45" s="204" t="s">
        <v>196</v>
      </c>
      <c r="AA45" s="198">
        <f>SUM(AQ13:AQ17)+SUM(AQ30:AQ34)</f>
        <v>341.33452687443673</v>
      </c>
      <c r="AB45" s="198">
        <f>'Concrete Substructure'!F61</f>
        <v>2</v>
      </c>
      <c r="AC45" s="198">
        <f t="shared" ref="AC45:AC46" si="182">AA45*AB45</f>
        <v>682.66905374887347</v>
      </c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T45" s="203" t="s">
        <v>465</v>
      </c>
      <c r="AU45" s="197" t="s">
        <v>427</v>
      </c>
      <c r="AV45" s="197" t="s">
        <v>41</v>
      </c>
      <c r="AW45" s="197" t="s">
        <v>415</v>
      </c>
    </row>
    <row r="46" spans="2:70" x14ac:dyDescent="0.25">
      <c r="B46" s="178"/>
      <c r="D46" s="178"/>
      <c r="E46" s="199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Y46" s="178"/>
      <c r="Z46" s="204" t="s">
        <v>197</v>
      </c>
      <c r="AA46" s="198">
        <f>SUM(AQ18:AQ22)+SUM(AQ35:AQ39)</f>
        <v>559.20213014440856</v>
      </c>
      <c r="AB46" s="198">
        <f>'Concrete Substructure'!F62</f>
        <v>2</v>
      </c>
      <c r="AC46" s="198">
        <f t="shared" si="182"/>
        <v>1118.4042602888171</v>
      </c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T46" s="204" t="s">
        <v>85</v>
      </c>
      <c r="AU46" s="198">
        <f>SUM(BL6:BL9)/BA6</f>
        <v>21.09212734028841</v>
      </c>
      <c r="AV46" s="198">
        <f>'Concrete Substructure'!G31</f>
        <v>164.4</v>
      </c>
      <c r="AW46" s="198">
        <f>AU46*AV46*1.1</f>
        <v>3814.3003082177565</v>
      </c>
    </row>
    <row r="47" spans="2:70" x14ac:dyDescent="0.25">
      <c r="B47" s="178"/>
      <c r="D47" s="282" t="s">
        <v>181</v>
      </c>
      <c r="E47" s="282" t="s">
        <v>481</v>
      </c>
      <c r="F47" s="187" t="s">
        <v>437</v>
      </c>
      <c r="G47" s="286" t="s">
        <v>482</v>
      </c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Y47" s="178"/>
      <c r="Z47" s="212" t="s">
        <v>443</v>
      </c>
      <c r="AA47" s="210"/>
      <c r="AB47" s="210"/>
      <c r="AC47" s="214">
        <f>SUM(AC44:AC46)</f>
        <v>2674.0222335053068</v>
      </c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T47" s="204" t="s">
        <v>86</v>
      </c>
      <c r="AU47" s="198">
        <f>SUM(BL10:BL13)/BA10</f>
        <v>22.821267973666604</v>
      </c>
      <c r="AV47" s="198">
        <f>'Concrete Substructure'!G32</f>
        <v>18.399999999999999</v>
      </c>
      <c r="AW47" s="198">
        <f t="shared" ref="AW47:AW54" si="183">AU47*AV47*1.1</f>
        <v>461.90246378701204</v>
      </c>
    </row>
    <row r="48" spans="2:70" x14ac:dyDescent="0.25">
      <c r="B48" s="178"/>
      <c r="D48" s="282"/>
      <c r="E48" s="282"/>
      <c r="F48" s="187" t="s">
        <v>438</v>
      </c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Y48" s="178"/>
      <c r="Z48" s="199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T48" s="204" t="s">
        <v>87</v>
      </c>
      <c r="AU48" s="198">
        <f>SUM(BL14:BL17)/BA14</f>
        <v>22.886547514470394</v>
      </c>
      <c r="AV48" s="198">
        <f>'Concrete Substructure'!G33</f>
        <v>13.2</v>
      </c>
      <c r="AW48" s="198">
        <f t="shared" si="183"/>
        <v>332.31266991011012</v>
      </c>
    </row>
    <row r="49" spans="2:49" x14ac:dyDescent="0.25">
      <c r="B49" s="178"/>
      <c r="D49" s="281" t="s">
        <v>190</v>
      </c>
      <c r="E49" s="281" t="s">
        <v>481</v>
      </c>
      <c r="F49" s="191" t="s">
        <v>437</v>
      </c>
      <c r="G49" s="192">
        <v>16</v>
      </c>
      <c r="H49" s="193" t="s">
        <v>440</v>
      </c>
      <c r="I49" s="194">
        <v>0.4</v>
      </c>
      <c r="J49" s="194">
        <v>0.25</v>
      </c>
      <c r="K49" s="194">
        <f>8.6-4.5</f>
        <v>4.0999999999999996</v>
      </c>
      <c r="L49" s="194">
        <v>6</v>
      </c>
      <c r="M49" s="194">
        <v>1</v>
      </c>
      <c r="N49" s="194">
        <f>K49</f>
        <v>4.0999999999999996</v>
      </c>
      <c r="O49" s="194">
        <v>0.3</v>
      </c>
      <c r="P49" s="194"/>
      <c r="Q49" s="194"/>
      <c r="R49" s="194"/>
      <c r="S49" s="194">
        <f>SUM(N49:R49)</f>
        <v>4.3999999999999995</v>
      </c>
      <c r="T49" s="194">
        <f t="shared" ref="T49:T50" si="184">L49*S49*M49</f>
        <v>26.4</v>
      </c>
      <c r="U49" s="194">
        <f t="shared" ref="U49:U85" si="185">PI()*(G49/1000)^2*0.25*1*7850</f>
        <v>1.5783361491635119</v>
      </c>
      <c r="V49" s="194">
        <f>T49*U49</f>
        <v>41.668074337916714</v>
      </c>
      <c r="Y49" s="178"/>
      <c r="Z49" s="199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T49" s="204" t="s">
        <v>88</v>
      </c>
      <c r="AU49" s="198">
        <f>SUM(BL18:BL21)/BA18</f>
        <v>18.534987297137036</v>
      </c>
      <c r="AV49" s="198">
        <f>'Concrete Substructure'!G34</f>
        <v>14.9</v>
      </c>
      <c r="AW49" s="198">
        <f t="shared" si="183"/>
        <v>303.78844180007604</v>
      </c>
    </row>
    <row r="50" spans="2:49" x14ac:dyDescent="0.25">
      <c r="B50" s="178"/>
      <c r="D50" s="281"/>
      <c r="E50" s="281"/>
      <c r="F50" s="191" t="s">
        <v>438</v>
      </c>
      <c r="G50" s="192">
        <v>10</v>
      </c>
      <c r="H50" s="193">
        <v>200</v>
      </c>
      <c r="I50" s="194">
        <v>0.4</v>
      </c>
      <c r="J50" s="194">
        <v>0.25</v>
      </c>
      <c r="K50" s="194">
        <f>8.6-4.5</f>
        <v>4.0999999999999996</v>
      </c>
      <c r="L50" s="194">
        <f>ROUND((K50/(H50/1000))+1,0)</f>
        <v>22</v>
      </c>
      <c r="M50" s="194">
        <v>1</v>
      </c>
      <c r="N50" s="194">
        <f>I50-0.04*2</f>
        <v>0.32</v>
      </c>
      <c r="O50" s="194">
        <f>J50-0.04*2</f>
        <v>0.16999999999999998</v>
      </c>
      <c r="P50" s="194">
        <f t="shared" ref="P50" si="186">N50</f>
        <v>0.32</v>
      </c>
      <c r="Q50" s="194">
        <f>O50</f>
        <v>0.16999999999999998</v>
      </c>
      <c r="R50" s="194">
        <f>10*(G50/1000)</f>
        <v>0.1</v>
      </c>
      <c r="S50" s="194">
        <f>SUM(N50:R50)</f>
        <v>1.08</v>
      </c>
      <c r="T50" s="194">
        <f t="shared" si="184"/>
        <v>23.76</v>
      </c>
      <c r="U50" s="194">
        <f t="shared" si="185"/>
        <v>0.61653755826699685</v>
      </c>
      <c r="V50" s="194">
        <f t="shared" ref="V50" si="187">T50*U50</f>
        <v>14.648932384423846</v>
      </c>
      <c r="Y50" s="178"/>
      <c r="Z50" s="199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T50" s="204" t="s">
        <v>154</v>
      </c>
      <c r="AU50" s="198">
        <f>SUM(BL22:BL25)/BA22</f>
        <v>20.942244770993586</v>
      </c>
      <c r="AV50" s="198">
        <f>'Concrete Substructure'!G35</f>
        <v>21.3</v>
      </c>
      <c r="AW50" s="198">
        <f t="shared" si="183"/>
        <v>490.6767949843798</v>
      </c>
    </row>
    <row r="51" spans="2:49" x14ac:dyDescent="0.25">
      <c r="B51" s="178"/>
      <c r="D51" s="282" t="s">
        <v>188</v>
      </c>
      <c r="E51" s="282" t="s">
        <v>481</v>
      </c>
      <c r="F51" s="187" t="s">
        <v>437</v>
      </c>
      <c r="G51" s="286" t="s">
        <v>482</v>
      </c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Y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T51" s="204" t="s">
        <v>155</v>
      </c>
      <c r="AU51" s="198">
        <f>SUM(BL26:BL29)/BA26</f>
        <v>19.490077154265904</v>
      </c>
      <c r="AV51" s="198">
        <f>'Concrete Substructure'!G36</f>
        <v>3.5</v>
      </c>
      <c r="AW51" s="198">
        <f t="shared" si="183"/>
        <v>75.036797043923727</v>
      </c>
    </row>
    <row r="52" spans="2:49" x14ac:dyDescent="0.25">
      <c r="B52" s="178"/>
      <c r="D52" s="282"/>
      <c r="E52" s="282"/>
      <c r="F52" s="187" t="s">
        <v>438</v>
      </c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Y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T52" s="204" t="s">
        <v>156</v>
      </c>
      <c r="AU52" s="198">
        <f>SUM(BL30:BL33)/BA30</f>
        <v>21.536537678206582</v>
      </c>
      <c r="AV52" s="198">
        <f>'Concrete Substructure'!G37</f>
        <v>1.5</v>
      </c>
      <c r="AW52" s="198">
        <f t="shared" si="183"/>
        <v>35.535287169040863</v>
      </c>
    </row>
    <row r="53" spans="2:49" x14ac:dyDescent="0.25">
      <c r="B53" s="178"/>
      <c r="D53" s="282"/>
      <c r="E53" s="282"/>
      <c r="F53" s="187" t="s">
        <v>438</v>
      </c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Y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T53" s="204" t="s">
        <v>141</v>
      </c>
      <c r="AU53" s="198">
        <f>SUM(BL34:BL39)/BA34</f>
        <v>14.634654672548191</v>
      </c>
      <c r="AV53" s="198">
        <f>'Concrete Substructure'!G38</f>
        <v>110.3</v>
      </c>
      <c r="AW53" s="198">
        <f t="shared" si="183"/>
        <v>1775.6226514202722</v>
      </c>
    </row>
    <row r="54" spans="2:49" x14ac:dyDescent="0.25">
      <c r="B54" s="178"/>
      <c r="D54" s="281" t="s">
        <v>189</v>
      </c>
      <c r="E54" s="281" t="s">
        <v>481</v>
      </c>
      <c r="F54" s="191" t="s">
        <v>437</v>
      </c>
      <c r="G54" s="192">
        <v>16</v>
      </c>
      <c r="H54" s="193" t="s">
        <v>440</v>
      </c>
      <c r="I54" s="194">
        <v>0.8</v>
      </c>
      <c r="J54" s="194">
        <v>0.25</v>
      </c>
      <c r="K54" s="194">
        <f t="shared" ref="K54:K56" si="188">8.6-4.5</f>
        <v>4.0999999999999996</v>
      </c>
      <c r="L54" s="194">
        <v>12</v>
      </c>
      <c r="M54" s="194">
        <v>1</v>
      </c>
      <c r="N54" s="194">
        <f>K54</f>
        <v>4.0999999999999996</v>
      </c>
      <c r="O54" s="194">
        <v>0.3</v>
      </c>
      <c r="P54" s="194"/>
      <c r="Q54" s="194"/>
      <c r="R54" s="194"/>
      <c r="S54" s="194">
        <f>SUM(N54:R54)</f>
        <v>4.3999999999999995</v>
      </c>
      <c r="T54" s="194">
        <f t="shared" ref="T54:T56" si="189">L54*S54*M54</f>
        <v>52.8</v>
      </c>
      <c r="U54" s="194">
        <f t="shared" si="185"/>
        <v>1.5783361491635119</v>
      </c>
      <c r="V54" s="194">
        <f>T54*U54</f>
        <v>83.336148675833428</v>
      </c>
      <c r="Y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T54" s="204" t="s">
        <v>89</v>
      </c>
      <c r="AU54" s="198">
        <f>SUM(BL40:BL42)/BA40</f>
        <v>22.083304291922385</v>
      </c>
      <c r="AV54" s="198">
        <f>'Concrete Substructure'!G29</f>
        <v>8.5</v>
      </c>
      <c r="AW54" s="198">
        <f t="shared" si="183"/>
        <v>206.47889512947432</v>
      </c>
    </row>
    <row r="55" spans="2:49" x14ac:dyDescent="0.25">
      <c r="B55" s="178"/>
      <c r="D55" s="281"/>
      <c r="E55" s="281"/>
      <c r="F55" s="191" t="s">
        <v>438</v>
      </c>
      <c r="G55" s="192">
        <v>10</v>
      </c>
      <c r="H55" s="193">
        <v>200</v>
      </c>
      <c r="I55" s="194">
        <v>0.8</v>
      </c>
      <c r="J55" s="194">
        <v>0.25</v>
      </c>
      <c r="K55" s="194">
        <f t="shared" si="188"/>
        <v>4.0999999999999996</v>
      </c>
      <c r="L55" s="194">
        <f t="shared" ref="L55:L56" si="190">ROUND((K55/(H55/1000))+1,0)</f>
        <v>22</v>
      </c>
      <c r="M55" s="194">
        <v>1</v>
      </c>
      <c r="N55" s="194">
        <f>I55-0.04*2</f>
        <v>0.72000000000000008</v>
      </c>
      <c r="O55" s="194">
        <f>J55-0.04*2</f>
        <v>0.16999999999999998</v>
      </c>
      <c r="P55" s="194">
        <f t="shared" ref="P55:P56" si="191">N55</f>
        <v>0.72000000000000008</v>
      </c>
      <c r="Q55" s="194">
        <f>O55</f>
        <v>0.16999999999999998</v>
      </c>
      <c r="R55" s="194">
        <f>10*(G55/1000)</f>
        <v>0.1</v>
      </c>
      <c r="S55" s="194">
        <f>SUM(N55:R55)</f>
        <v>1.8800000000000003</v>
      </c>
      <c r="T55" s="194">
        <f t="shared" si="189"/>
        <v>41.360000000000007</v>
      </c>
      <c r="U55" s="194">
        <f t="shared" si="185"/>
        <v>0.61653755826699685</v>
      </c>
      <c r="V55" s="194">
        <f t="shared" ref="V55:V56" si="192">T55*U55</f>
        <v>25.499993409922993</v>
      </c>
      <c r="Y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T55" s="212" t="s">
        <v>443</v>
      </c>
      <c r="AU55" s="210"/>
      <c r="AV55" s="210"/>
      <c r="AW55" s="214">
        <f>SUM(AW46:AW54)</f>
        <v>7495.6543094620447</v>
      </c>
    </row>
    <row r="56" spans="2:49" x14ac:dyDescent="0.25">
      <c r="B56" s="178"/>
      <c r="D56" s="281"/>
      <c r="E56" s="281"/>
      <c r="F56" s="191" t="s">
        <v>438</v>
      </c>
      <c r="G56" s="192">
        <v>10</v>
      </c>
      <c r="H56" s="193">
        <v>200</v>
      </c>
      <c r="I56" s="194">
        <v>0.8</v>
      </c>
      <c r="J56" s="194">
        <v>0.25</v>
      </c>
      <c r="K56" s="194">
        <f t="shared" si="188"/>
        <v>4.0999999999999996</v>
      </c>
      <c r="L56" s="194">
        <f t="shared" si="190"/>
        <v>22</v>
      </c>
      <c r="M56" s="194">
        <v>1</v>
      </c>
      <c r="N56" s="194">
        <f>Q56</f>
        <v>0.16999999999999998</v>
      </c>
      <c r="O56" s="194">
        <f>J56-0.04*2</f>
        <v>0.16999999999999998</v>
      </c>
      <c r="P56" s="194">
        <f t="shared" si="191"/>
        <v>0.16999999999999998</v>
      </c>
      <c r="Q56" s="194">
        <f>O56</f>
        <v>0.16999999999999998</v>
      </c>
      <c r="R56" s="194">
        <f>10*(G56/1000)</f>
        <v>0.1</v>
      </c>
      <c r="S56" s="194">
        <f t="shared" ref="S56" si="193">SUM(N56:R56)</f>
        <v>0.77999999999999992</v>
      </c>
      <c r="T56" s="194">
        <f t="shared" si="189"/>
        <v>17.159999999999997</v>
      </c>
      <c r="U56" s="194">
        <f t="shared" si="185"/>
        <v>0.61653755826699685</v>
      </c>
      <c r="V56" s="194">
        <f t="shared" si="192"/>
        <v>10.579784499861663</v>
      </c>
      <c r="Y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</row>
    <row r="57" spans="2:49" x14ac:dyDescent="0.25">
      <c r="B57" s="178"/>
      <c r="D57" s="282" t="s">
        <v>182</v>
      </c>
      <c r="E57" s="282" t="s">
        <v>481</v>
      </c>
      <c r="F57" s="187" t="s">
        <v>437</v>
      </c>
      <c r="G57" s="286" t="s">
        <v>482</v>
      </c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Y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</row>
    <row r="58" spans="2:49" x14ac:dyDescent="0.25">
      <c r="B58" s="178"/>
      <c r="D58" s="282"/>
      <c r="E58" s="282"/>
      <c r="F58" s="187" t="s">
        <v>438</v>
      </c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Y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</row>
    <row r="59" spans="2:49" x14ac:dyDescent="0.25">
      <c r="B59" s="178"/>
      <c r="D59" s="282"/>
      <c r="E59" s="282"/>
      <c r="F59" s="187" t="s">
        <v>438</v>
      </c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Y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</row>
    <row r="60" spans="2:49" x14ac:dyDescent="0.25">
      <c r="B60" s="178"/>
      <c r="D60" s="281" t="s">
        <v>184</v>
      </c>
      <c r="E60" s="281" t="s">
        <v>481</v>
      </c>
      <c r="F60" s="191" t="s">
        <v>437</v>
      </c>
      <c r="G60" s="192">
        <v>16</v>
      </c>
      <c r="H60" s="193" t="s">
        <v>440</v>
      </c>
      <c r="I60" s="194">
        <v>0.6</v>
      </c>
      <c r="J60" s="194">
        <v>0.25</v>
      </c>
      <c r="K60" s="194">
        <f t="shared" ref="K60:K68" si="194">8.6-4.5</f>
        <v>4.0999999999999996</v>
      </c>
      <c r="L60" s="194">
        <v>10</v>
      </c>
      <c r="M60" s="194">
        <v>1</v>
      </c>
      <c r="N60" s="194">
        <f>K60</f>
        <v>4.0999999999999996</v>
      </c>
      <c r="O60" s="194">
        <v>0.3</v>
      </c>
      <c r="P60" s="194"/>
      <c r="Q60" s="194"/>
      <c r="R60" s="194"/>
      <c r="S60" s="194">
        <f>SUM(N60:R60)</f>
        <v>4.3999999999999995</v>
      </c>
      <c r="T60" s="194">
        <f t="shared" ref="T60:T62" si="195">L60*S60*M60</f>
        <v>43.999999999999993</v>
      </c>
      <c r="U60" s="194">
        <f t="shared" si="185"/>
        <v>1.5783361491635119</v>
      </c>
      <c r="V60" s="194">
        <f>T60*U60</f>
        <v>69.446790563194511</v>
      </c>
      <c r="Y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</row>
    <row r="61" spans="2:49" x14ac:dyDescent="0.25">
      <c r="B61" s="178"/>
      <c r="D61" s="281"/>
      <c r="E61" s="281"/>
      <c r="F61" s="191" t="s">
        <v>438</v>
      </c>
      <c r="G61" s="192">
        <v>10</v>
      </c>
      <c r="H61" s="193">
        <v>200</v>
      </c>
      <c r="I61" s="194">
        <v>0.6</v>
      </c>
      <c r="J61" s="194">
        <v>0.25</v>
      </c>
      <c r="K61" s="194">
        <f t="shared" si="194"/>
        <v>4.0999999999999996</v>
      </c>
      <c r="L61" s="194">
        <f t="shared" ref="L61:L62" si="196">ROUND((K61/(H61/1000))+1,0)</f>
        <v>22</v>
      </c>
      <c r="M61" s="194">
        <v>1</v>
      </c>
      <c r="N61" s="194">
        <f>I61-0.04*2</f>
        <v>0.52</v>
      </c>
      <c r="O61" s="194">
        <f>J61-0.04*2</f>
        <v>0.16999999999999998</v>
      </c>
      <c r="P61" s="194">
        <f t="shared" ref="P61:P62" si="197">N61</f>
        <v>0.52</v>
      </c>
      <c r="Q61" s="194">
        <f>O61</f>
        <v>0.16999999999999998</v>
      </c>
      <c r="R61" s="194">
        <f>10*(G61/1000)</f>
        <v>0.1</v>
      </c>
      <c r="S61" s="194">
        <f>SUM(N61:R61)</f>
        <v>1.48</v>
      </c>
      <c r="T61" s="194">
        <f t="shared" si="195"/>
        <v>32.56</v>
      </c>
      <c r="U61" s="194">
        <f t="shared" si="185"/>
        <v>0.61653755826699685</v>
      </c>
      <c r="V61" s="194">
        <f t="shared" ref="V61:V62" si="198">T61*U61</f>
        <v>20.074462897173419</v>
      </c>
      <c r="Y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</row>
    <row r="62" spans="2:49" x14ac:dyDescent="0.25">
      <c r="B62" s="178"/>
      <c r="D62" s="281"/>
      <c r="E62" s="281"/>
      <c r="F62" s="191" t="s">
        <v>438</v>
      </c>
      <c r="G62" s="192">
        <v>10</v>
      </c>
      <c r="H62" s="193">
        <v>200</v>
      </c>
      <c r="I62" s="194">
        <v>0.6</v>
      </c>
      <c r="J62" s="194">
        <v>0.25</v>
      </c>
      <c r="K62" s="194">
        <f t="shared" si="194"/>
        <v>4.0999999999999996</v>
      </c>
      <c r="L62" s="194">
        <f t="shared" si="196"/>
        <v>22</v>
      </c>
      <c r="M62" s="194">
        <v>1</v>
      </c>
      <c r="N62" s="194">
        <f t="shared" ref="N62" si="199">10*(G62/1000)</f>
        <v>0.1</v>
      </c>
      <c r="O62" s="194">
        <f t="shared" ref="O62" si="200">J62-0.04*2</f>
        <v>0.16999999999999998</v>
      </c>
      <c r="P62" s="194">
        <f t="shared" si="197"/>
        <v>0.1</v>
      </c>
      <c r="Q62" s="194"/>
      <c r="R62" s="194"/>
      <c r="S62" s="194">
        <f t="shared" ref="S62" si="201">SUM(N62:R62)</f>
        <v>0.37</v>
      </c>
      <c r="T62" s="194">
        <f t="shared" si="195"/>
        <v>8.14</v>
      </c>
      <c r="U62" s="194">
        <f t="shared" si="185"/>
        <v>0.61653755826699685</v>
      </c>
      <c r="V62" s="194">
        <f t="shared" si="198"/>
        <v>5.0186157242933547</v>
      </c>
      <c r="Y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</row>
    <row r="63" spans="2:49" x14ac:dyDescent="0.25">
      <c r="B63" s="178"/>
      <c r="D63" s="282" t="s">
        <v>185</v>
      </c>
      <c r="E63" s="282" t="s">
        <v>481</v>
      </c>
      <c r="F63" s="187" t="s">
        <v>437</v>
      </c>
      <c r="G63" s="188">
        <v>16</v>
      </c>
      <c r="H63" s="189" t="s">
        <v>440</v>
      </c>
      <c r="I63" s="190">
        <v>0.6</v>
      </c>
      <c r="J63" s="190">
        <v>0.25</v>
      </c>
      <c r="K63" s="190">
        <f t="shared" si="194"/>
        <v>4.0999999999999996</v>
      </c>
      <c r="L63" s="190">
        <v>10</v>
      </c>
      <c r="M63" s="190">
        <v>1</v>
      </c>
      <c r="N63" s="190">
        <f>K63</f>
        <v>4.0999999999999996</v>
      </c>
      <c r="O63" s="190">
        <v>0.3</v>
      </c>
      <c r="P63" s="190"/>
      <c r="Q63" s="190"/>
      <c r="R63" s="190"/>
      <c r="S63" s="190">
        <f>SUM(N63:R63)</f>
        <v>4.3999999999999995</v>
      </c>
      <c r="T63" s="190">
        <f>L63*S63*M63</f>
        <v>43.999999999999993</v>
      </c>
      <c r="U63" s="190">
        <f t="shared" si="185"/>
        <v>1.5783361491635119</v>
      </c>
      <c r="V63" s="190">
        <f>T63*U63</f>
        <v>69.446790563194511</v>
      </c>
    </row>
    <row r="64" spans="2:49" x14ac:dyDescent="0.25">
      <c r="B64" s="178"/>
      <c r="D64" s="282"/>
      <c r="E64" s="282"/>
      <c r="F64" s="187" t="s">
        <v>438</v>
      </c>
      <c r="G64" s="188">
        <v>10</v>
      </c>
      <c r="H64" s="189">
        <v>200</v>
      </c>
      <c r="I64" s="190">
        <v>0.6</v>
      </c>
      <c r="J64" s="190">
        <v>0.25</v>
      </c>
      <c r="K64" s="190">
        <f t="shared" si="194"/>
        <v>4.0999999999999996</v>
      </c>
      <c r="L64" s="190">
        <f t="shared" ref="L64:L65" si="202">ROUND((K64/(H64/1000))+1,0)</f>
        <v>22</v>
      </c>
      <c r="M64" s="190">
        <v>1</v>
      </c>
      <c r="N64" s="190">
        <f>I64-0.04*2</f>
        <v>0.52</v>
      </c>
      <c r="O64" s="190">
        <f>J64-0.04*2</f>
        <v>0.16999999999999998</v>
      </c>
      <c r="P64" s="190">
        <f t="shared" ref="P64:P65" si="203">N64</f>
        <v>0.52</v>
      </c>
      <c r="Q64" s="190">
        <f>O64</f>
        <v>0.16999999999999998</v>
      </c>
      <c r="R64" s="190">
        <f>10*(G64/1000)</f>
        <v>0.1</v>
      </c>
      <c r="S64" s="190">
        <f>SUM(N64:R64)</f>
        <v>1.48</v>
      </c>
      <c r="T64" s="190">
        <f>L64*S64*M64</f>
        <v>32.56</v>
      </c>
      <c r="U64" s="190">
        <f t="shared" si="185"/>
        <v>0.61653755826699685</v>
      </c>
      <c r="V64" s="190">
        <f t="shared" ref="V64:V65" si="204">T64*U64</f>
        <v>20.074462897173419</v>
      </c>
    </row>
    <row r="65" spans="2:22" x14ac:dyDescent="0.25">
      <c r="B65" s="178"/>
      <c r="D65" s="282"/>
      <c r="E65" s="282"/>
      <c r="F65" s="187" t="s">
        <v>438</v>
      </c>
      <c r="G65" s="188">
        <v>10</v>
      </c>
      <c r="H65" s="189">
        <v>200</v>
      </c>
      <c r="I65" s="190">
        <v>0.6</v>
      </c>
      <c r="J65" s="190">
        <v>0.25</v>
      </c>
      <c r="K65" s="190">
        <f t="shared" si="194"/>
        <v>4.0999999999999996</v>
      </c>
      <c r="L65" s="190">
        <f t="shared" si="202"/>
        <v>22</v>
      </c>
      <c r="M65" s="190">
        <v>1</v>
      </c>
      <c r="N65" s="190">
        <f t="shared" ref="N65" si="205">10*(G65/1000)</f>
        <v>0.1</v>
      </c>
      <c r="O65" s="190">
        <f t="shared" ref="O65" si="206">J65-0.04*2</f>
        <v>0.16999999999999998</v>
      </c>
      <c r="P65" s="190">
        <f t="shared" si="203"/>
        <v>0.1</v>
      </c>
      <c r="Q65" s="190"/>
      <c r="R65" s="190"/>
      <c r="S65" s="190">
        <f t="shared" ref="S65" si="207">SUM(N65:R65)</f>
        <v>0.37</v>
      </c>
      <c r="T65" s="190">
        <f t="shared" ref="T65:T68" si="208">L65*S65*M65</f>
        <v>8.14</v>
      </c>
      <c r="U65" s="190">
        <f t="shared" si="185"/>
        <v>0.61653755826699685</v>
      </c>
      <c r="V65" s="190">
        <f t="shared" si="204"/>
        <v>5.0186157242933547</v>
      </c>
    </row>
    <row r="66" spans="2:22" x14ac:dyDescent="0.25">
      <c r="B66" s="178"/>
      <c r="D66" s="281" t="s">
        <v>183</v>
      </c>
      <c r="E66" s="281" t="s">
        <v>481</v>
      </c>
      <c r="F66" s="191" t="s">
        <v>437</v>
      </c>
      <c r="G66" s="192">
        <v>16</v>
      </c>
      <c r="H66" s="193" t="s">
        <v>440</v>
      </c>
      <c r="I66" s="194">
        <v>0.6</v>
      </c>
      <c r="J66" s="194">
        <v>0.2</v>
      </c>
      <c r="K66" s="194">
        <f t="shared" si="194"/>
        <v>4.0999999999999996</v>
      </c>
      <c r="L66" s="194">
        <v>10</v>
      </c>
      <c r="M66" s="194">
        <v>1</v>
      </c>
      <c r="N66" s="194">
        <f>K66</f>
        <v>4.0999999999999996</v>
      </c>
      <c r="O66" s="194">
        <v>0.3</v>
      </c>
      <c r="P66" s="194"/>
      <c r="Q66" s="194"/>
      <c r="R66" s="194"/>
      <c r="S66" s="194">
        <f>SUM(N66:R66)</f>
        <v>4.3999999999999995</v>
      </c>
      <c r="T66" s="194">
        <f t="shared" si="208"/>
        <v>43.999999999999993</v>
      </c>
      <c r="U66" s="194">
        <f t="shared" si="185"/>
        <v>1.5783361491635119</v>
      </c>
      <c r="V66" s="194">
        <f>T66*U66</f>
        <v>69.446790563194511</v>
      </c>
    </row>
    <row r="67" spans="2:22" x14ac:dyDescent="0.25">
      <c r="B67" s="178"/>
      <c r="D67" s="281"/>
      <c r="E67" s="281"/>
      <c r="F67" s="191" t="s">
        <v>438</v>
      </c>
      <c r="G67" s="192">
        <v>10</v>
      </c>
      <c r="H67" s="193">
        <v>200</v>
      </c>
      <c r="I67" s="194">
        <v>0.6</v>
      </c>
      <c r="J67" s="194">
        <v>0.2</v>
      </c>
      <c r="K67" s="194">
        <f t="shared" si="194"/>
        <v>4.0999999999999996</v>
      </c>
      <c r="L67" s="194">
        <f t="shared" ref="L67:L68" si="209">ROUND((K67/(H67/1000))+1,0)</f>
        <v>22</v>
      </c>
      <c r="M67" s="194">
        <v>1</v>
      </c>
      <c r="N67" s="194">
        <f>I67-0.04*2</f>
        <v>0.52</v>
      </c>
      <c r="O67" s="194">
        <f>J67-0.04*2</f>
        <v>0.12000000000000001</v>
      </c>
      <c r="P67" s="194">
        <f t="shared" ref="P67:P68" si="210">N67</f>
        <v>0.52</v>
      </c>
      <c r="Q67" s="194">
        <f>O67</f>
        <v>0.12000000000000001</v>
      </c>
      <c r="R67" s="194">
        <f>10*(G67/1000)</f>
        <v>0.1</v>
      </c>
      <c r="S67" s="194">
        <f>SUM(N67:R67)</f>
        <v>1.3800000000000003</v>
      </c>
      <c r="T67" s="194">
        <f t="shared" si="208"/>
        <v>30.360000000000007</v>
      </c>
      <c r="U67" s="194">
        <f t="shared" si="185"/>
        <v>0.61653755826699685</v>
      </c>
      <c r="V67" s="194">
        <f t="shared" ref="V67:V68" si="211">T67*U67</f>
        <v>18.718080268986029</v>
      </c>
    </row>
    <row r="68" spans="2:22" x14ac:dyDescent="0.25">
      <c r="B68" s="178"/>
      <c r="D68" s="281"/>
      <c r="E68" s="281"/>
      <c r="F68" s="191" t="s">
        <v>438</v>
      </c>
      <c r="G68" s="192">
        <v>10</v>
      </c>
      <c r="H68" s="193">
        <v>200</v>
      </c>
      <c r="I68" s="194">
        <v>0.6</v>
      </c>
      <c r="J68" s="194">
        <v>0.25</v>
      </c>
      <c r="K68" s="194">
        <f t="shared" si="194"/>
        <v>4.0999999999999996</v>
      </c>
      <c r="L68" s="194">
        <f t="shared" si="209"/>
        <v>22</v>
      </c>
      <c r="M68" s="194">
        <v>1</v>
      </c>
      <c r="N68" s="194">
        <f t="shared" ref="N68" si="212">10*(G68/1000)</f>
        <v>0.1</v>
      </c>
      <c r="O68" s="194">
        <f t="shared" ref="O68" si="213">J68-0.04*2</f>
        <v>0.16999999999999998</v>
      </c>
      <c r="P68" s="194">
        <f t="shared" si="210"/>
        <v>0.1</v>
      </c>
      <c r="Q68" s="194"/>
      <c r="R68" s="194"/>
      <c r="S68" s="194">
        <f t="shared" ref="S68" si="214">SUM(N68:R68)</f>
        <v>0.37</v>
      </c>
      <c r="T68" s="194">
        <f t="shared" si="208"/>
        <v>8.14</v>
      </c>
      <c r="U68" s="194">
        <f t="shared" si="185"/>
        <v>0.61653755826699685</v>
      </c>
      <c r="V68" s="194">
        <f t="shared" si="211"/>
        <v>5.0186157242933547</v>
      </c>
    </row>
    <row r="69" spans="2:22" x14ac:dyDescent="0.25">
      <c r="B69" s="178"/>
      <c r="D69" s="282" t="s">
        <v>187</v>
      </c>
      <c r="E69" s="282" t="s">
        <v>481</v>
      </c>
      <c r="F69" s="187" t="s">
        <v>437</v>
      </c>
      <c r="G69" s="286" t="s">
        <v>482</v>
      </c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</row>
    <row r="70" spans="2:22" x14ac:dyDescent="0.25">
      <c r="B70" s="178"/>
      <c r="D70" s="282"/>
      <c r="E70" s="282"/>
      <c r="F70" s="187" t="s">
        <v>438</v>
      </c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</row>
    <row r="71" spans="2:22" x14ac:dyDescent="0.25">
      <c r="B71" s="178"/>
      <c r="D71" s="282"/>
      <c r="E71" s="282"/>
      <c r="F71" s="187" t="s">
        <v>438</v>
      </c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</row>
    <row r="72" spans="2:22" x14ac:dyDescent="0.25">
      <c r="B72" s="178"/>
      <c r="D72" s="282"/>
      <c r="E72" s="282"/>
      <c r="F72" s="187" t="s">
        <v>438</v>
      </c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</row>
    <row r="73" spans="2:22" x14ac:dyDescent="0.25">
      <c r="B73" s="178"/>
      <c r="D73" s="281" t="s">
        <v>186</v>
      </c>
      <c r="E73" s="281" t="s">
        <v>481</v>
      </c>
      <c r="F73" s="191" t="s">
        <v>437</v>
      </c>
      <c r="G73" s="192">
        <v>20</v>
      </c>
      <c r="H73" s="193" t="s">
        <v>440</v>
      </c>
      <c r="I73" s="194">
        <v>1</v>
      </c>
      <c r="J73" s="194">
        <v>0.25</v>
      </c>
      <c r="K73" s="194">
        <f t="shared" ref="K73:K79" si="215">8.6-4.5</f>
        <v>4.0999999999999996</v>
      </c>
      <c r="L73" s="194">
        <v>14</v>
      </c>
      <c r="M73" s="194">
        <v>1</v>
      </c>
      <c r="N73" s="194">
        <f>K73</f>
        <v>4.0999999999999996</v>
      </c>
      <c r="O73" s="194">
        <v>0.3</v>
      </c>
      <c r="P73" s="194"/>
      <c r="Q73" s="194"/>
      <c r="R73" s="194"/>
      <c r="S73" s="194">
        <f>SUM(N73:R73)</f>
        <v>4.3999999999999995</v>
      </c>
      <c r="T73" s="194">
        <f t="shared" ref="T73:T76" si="216">L73*S73*M73</f>
        <v>61.599999999999994</v>
      </c>
      <c r="U73" s="194">
        <f t="shared" si="185"/>
        <v>2.4661502330679874</v>
      </c>
      <c r="V73" s="194">
        <f>T73*U73</f>
        <v>151.914854356988</v>
      </c>
    </row>
    <row r="74" spans="2:22" x14ac:dyDescent="0.25">
      <c r="B74" s="178"/>
      <c r="D74" s="281"/>
      <c r="E74" s="281"/>
      <c r="F74" s="191" t="s">
        <v>438</v>
      </c>
      <c r="G74" s="192">
        <v>10</v>
      </c>
      <c r="H74" s="193">
        <v>200</v>
      </c>
      <c r="I74" s="194">
        <v>1</v>
      </c>
      <c r="J74" s="194">
        <v>0.25</v>
      </c>
      <c r="K74" s="194">
        <f t="shared" si="215"/>
        <v>4.0999999999999996</v>
      </c>
      <c r="L74" s="194">
        <f t="shared" ref="L74:L76" si="217">ROUND((K74/(H74/1000))+1,0)</f>
        <v>22</v>
      </c>
      <c r="M74" s="194">
        <v>1</v>
      </c>
      <c r="N74" s="194">
        <f>I74-0.04*2</f>
        <v>0.92</v>
      </c>
      <c r="O74" s="194">
        <f>J74-0.04*2</f>
        <v>0.16999999999999998</v>
      </c>
      <c r="P74" s="194">
        <f t="shared" ref="P74:P76" si="218">N74</f>
        <v>0.92</v>
      </c>
      <c r="Q74" s="194">
        <f>O74</f>
        <v>0.16999999999999998</v>
      </c>
      <c r="R74" s="194">
        <f>10*(G74/1000)</f>
        <v>0.1</v>
      </c>
      <c r="S74" s="194">
        <f>SUM(N74:R74)</f>
        <v>2.2800000000000002</v>
      </c>
      <c r="T74" s="194">
        <f t="shared" si="216"/>
        <v>50.160000000000004</v>
      </c>
      <c r="U74" s="194">
        <f t="shared" si="185"/>
        <v>0.61653755826699685</v>
      </c>
      <c r="V74" s="194">
        <f t="shared" ref="V74:V76" si="219">T74*U74</f>
        <v>30.925523922672564</v>
      </c>
    </row>
    <row r="75" spans="2:22" x14ac:dyDescent="0.25">
      <c r="B75" s="178"/>
      <c r="D75" s="281"/>
      <c r="E75" s="281"/>
      <c r="F75" s="191" t="s">
        <v>438</v>
      </c>
      <c r="G75" s="192">
        <v>10</v>
      </c>
      <c r="H75" s="193">
        <v>200</v>
      </c>
      <c r="I75" s="194">
        <v>0.6</v>
      </c>
      <c r="J75" s="194">
        <v>0.25</v>
      </c>
      <c r="K75" s="194">
        <f t="shared" si="215"/>
        <v>4.0999999999999996</v>
      </c>
      <c r="L75" s="194">
        <f t="shared" si="217"/>
        <v>22</v>
      </c>
      <c r="M75" s="194">
        <v>2</v>
      </c>
      <c r="N75" s="194">
        <f t="shared" ref="N75" si="220">10*(G75/1000)</f>
        <v>0.1</v>
      </c>
      <c r="O75" s="194">
        <f t="shared" ref="O75" si="221">J75-0.04*2</f>
        <v>0.16999999999999998</v>
      </c>
      <c r="P75" s="194">
        <f t="shared" si="218"/>
        <v>0.1</v>
      </c>
      <c r="Q75" s="194"/>
      <c r="R75" s="194"/>
      <c r="S75" s="194">
        <f t="shared" ref="S75:S76" si="222">SUM(N75:R75)</f>
        <v>0.37</v>
      </c>
      <c r="T75" s="194">
        <f t="shared" si="216"/>
        <v>16.28</v>
      </c>
      <c r="U75" s="194">
        <f t="shared" si="185"/>
        <v>0.61653755826699685</v>
      </c>
      <c r="V75" s="194">
        <f t="shared" si="219"/>
        <v>10.037231448586709</v>
      </c>
    </row>
    <row r="76" spans="2:22" x14ac:dyDescent="0.25">
      <c r="B76" s="178"/>
      <c r="D76" s="281"/>
      <c r="E76" s="281"/>
      <c r="F76" s="191" t="s">
        <v>438</v>
      </c>
      <c r="G76" s="192">
        <v>10</v>
      </c>
      <c r="H76" s="193">
        <v>200</v>
      </c>
      <c r="I76" s="194">
        <v>0.6</v>
      </c>
      <c r="J76" s="194">
        <v>0.25</v>
      </c>
      <c r="K76" s="194">
        <f t="shared" si="215"/>
        <v>4.0999999999999996</v>
      </c>
      <c r="L76" s="194">
        <f t="shared" si="217"/>
        <v>22</v>
      </c>
      <c r="M76" s="194">
        <v>1</v>
      </c>
      <c r="N76" s="194">
        <f>Q76</f>
        <v>0.16999999999999998</v>
      </c>
      <c r="O76" s="194">
        <f>J76-0.04*2</f>
        <v>0.16999999999999998</v>
      </c>
      <c r="P76" s="194">
        <f t="shared" si="218"/>
        <v>0.16999999999999998</v>
      </c>
      <c r="Q76" s="194">
        <f>O76</f>
        <v>0.16999999999999998</v>
      </c>
      <c r="R76" s="194">
        <f>10*(G76/1000)</f>
        <v>0.1</v>
      </c>
      <c r="S76" s="194">
        <f t="shared" si="222"/>
        <v>0.77999999999999992</v>
      </c>
      <c r="T76" s="194">
        <f t="shared" si="216"/>
        <v>17.159999999999997</v>
      </c>
      <c r="U76" s="194">
        <f t="shared" si="185"/>
        <v>0.61653755826699685</v>
      </c>
      <c r="V76" s="194">
        <f t="shared" si="219"/>
        <v>10.579784499861663</v>
      </c>
    </row>
    <row r="77" spans="2:22" x14ac:dyDescent="0.25">
      <c r="B77" s="178"/>
      <c r="D77" s="282" t="s">
        <v>202</v>
      </c>
      <c r="E77" s="282" t="s">
        <v>483</v>
      </c>
      <c r="F77" s="187" t="s">
        <v>437</v>
      </c>
      <c r="G77" s="188">
        <v>16</v>
      </c>
      <c r="H77" s="189" t="s">
        <v>440</v>
      </c>
      <c r="I77" s="190">
        <v>0.6</v>
      </c>
      <c r="J77" s="190">
        <v>0.25</v>
      </c>
      <c r="K77" s="190">
        <f t="shared" si="215"/>
        <v>4.0999999999999996</v>
      </c>
      <c r="L77" s="190">
        <v>10</v>
      </c>
      <c r="M77" s="190">
        <v>1</v>
      </c>
      <c r="N77" s="190">
        <f>K77</f>
        <v>4.0999999999999996</v>
      </c>
      <c r="O77" s="190">
        <v>0.6</v>
      </c>
      <c r="P77" s="190"/>
      <c r="Q77" s="190"/>
      <c r="R77" s="190"/>
      <c r="S77" s="190">
        <f>SUM(N77:R77)</f>
        <v>4.6999999999999993</v>
      </c>
      <c r="T77" s="190">
        <f>L77*S77*M77</f>
        <v>46.999999999999993</v>
      </c>
      <c r="U77" s="190">
        <f t="shared" ref="U77:U79" si="223">PI()*(G77/1000)^2*0.25*1*7850</f>
        <v>1.5783361491635119</v>
      </c>
      <c r="V77" s="190">
        <f>T77*U77</f>
        <v>74.181799010685054</v>
      </c>
    </row>
    <row r="78" spans="2:22" x14ac:dyDescent="0.25">
      <c r="B78" s="178"/>
      <c r="D78" s="282"/>
      <c r="E78" s="282"/>
      <c r="F78" s="187" t="s">
        <v>438</v>
      </c>
      <c r="G78" s="188">
        <v>10</v>
      </c>
      <c r="H78" s="189">
        <v>200</v>
      </c>
      <c r="I78" s="190">
        <v>0.6</v>
      </c>
      <c r="J78" s="190">
        <v>0.25</v>
      </c>
      <c r="K78" s="190">
        <f t="shared" si="215"/>
        <v>4.0999999999999996</v>
      </c>
      <c r="L78" s="190">
        <f t="shared" ref="L78:L79" si="224">ROUND((K78/(H78/1000))+1,0)</f>
        <v>22</v>
      </c>
      <c r="M78" s="190">
        <v>1</v>
      </c>
      <c r="N78" s="190">
        <f>I78-0.04*2</f>
        <v>0.52</v>
      </c>
      <c r="O78" s="190">
        <f>J78-0.04*2</f>
        <v>0.16999999999999998</v>
      </c>
      <c r="P78" s="190">
        <f t="shared" ref="P78:P79" si="225">N78</f>
        <v>0.52</v>
      </c>
      <c r="Q78" s="190">
        <f>O78</f>
        <v>0.16999999999999998</v>
      </c>
      <c r="R78" s="190">
        <f>10*(G78/1000)</f>
        <v>0.1</v>
      </c>
      <c r="S78" s="190">
        <f>SUM(N78:R78)</f>
        <v>1.48</v>
      </c>
      <c r="T78" s="190">
        <f>L78*S78*M78</f>
        <v>32.56</v>
      </c>
      <c r="U78" s="190">
        <f t="shared" si="223"/>
        <v>0.61653755826699685</v>
      </c>
      <c r="V78" s="190">
        <f t="shared" ref="V78:V79" si="226">T78*U78</f>
        <v>20.074462897173419</v>
      </c>
    </row>
    <row r="79" spans="2:22" x14ac:dyDescent="0.25">
      <c r="B79" s="178"/>
      <c r="D79" s="282"/>
      <c r="E79" s="282"/>
      <c r="F79" s="187" t="s">
        <v>438</v>
      </c>
      <c r="G79" s="188">
        <v>10</v>
      </c>
      <c r="H79" s="189">
        <v>200</v>
      </c>
      <c r="I79" s="190">
        <v>0.6</v>
      </c>
      <c r="J79" s="190">
        <v>0.25</v>
      </c>
      <c r="K79" s="190">
        <f t="shared" si="215"/>
        <v>4.0999999999999996</v>
      </c>
      <c r="L79" s="190">
        <f t="shared" si="224"/>
        <v>22</v>
      </c>
      <c r="M79" s="190">
        <v>1</v>
      </c>
      <c r="N79" s="190">
        <f t="shared" ref="N79" si="227">10*(G79/1000)</f>
        <v>0.1</v>
      </c>
      <c r="O79" s="190">
        <f t="shared" ref="O79" si="228">J79-0.04*2</f>
        <v>0.16999999999999998</v>
      </c>
      <c r="P79" s="190">
        <f t="shared" si="225"/>
        <v>0.1</v>
      </c>
      <c r="Q79" s="190"/>
      <c r="R79" s="190"/>
      <c r="S79" s="190">
        <f t="shared" ref="S79" si="229">SUM(N79:R79)</f>
        <v>0.37</v>
      </c>
      <c r="T79" s="190">
        <f t="shared" ref="T79" si="230">L79*S79*M79</f>
        <v>8.14</v>
      </c>
      <c r="U79" s="190">
        <f t="shared" si="223"/>
        <v>0.61653755826699685</v>
      </c>
      <c r="V79" s="190">
        <f t="shared" si="226"/>
        <v>5.0186157242933547</v>
      </c>
    </row>
    <row r="80" spans="2:22" x14ac:dyDescent="0.25">
      <c r="B80" s="178"/>
      <c r="D80" s="282"/>
      <c r="E80" s="282"/>
      <c r="F80" s="187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</row>
    <row r="81" spans="2:25" x14ac:dyDescent="0.25">
      <c r="B81" s="178"/>
      <c r="D81" s="282" t="s">
        <v>82</v>
      </c>
      <c r="E81" s="282" t="s">
        <v>481</v>
      </c>
      <c r="F81" s="187" t="s">
        <v>437</v>
      </c>
      <c r="G81" s="188">
        <v>20</v>
      </c>
      <c r="H81" s="189" t="s">
        <v>440</v>
      </c>
      <c r="I81" s="190">
        <v>0.6</v>
      </c>
      <c r="J81" s="190">
        <v>0.25</v>
      </c>
      <c r="K81" s="250">
        <f t="shared" ref="K81:K85" si="231">8.6-4.5</f>
        <v>4.0999999999999996</v>
      </c>
      <c r="L81" s="190">
        <v>10</v>
      </c>
      <c r="M81" s="190">
        <v>1</v>
      </c>
      <c r="N81" s="190">
        <f>K81</f>
        <v>4.0999999999999996</v>
      </c>
      <c r="O81" s="190">
        <v>0.3</v>
      </c>
      <c r="P81" s="190"/>
      <c r="Q81" s="190"/>
      <c r="R81" s="190"/>
      <c r="S81" s="190">
        <f>SUM(N81:R81)</f>
        <v>4.3999999999999995</v>
      </c>
      <c r="T81" s="190">
        <f>L81*S81*M81</f>
        <v>43.999999999999993</v>
      </c>
      <c r="U81" s="190">
        <f t="shared" si="185"/>
        <v>2.4661502330679874</v>
      </c>
      <c r="V81" s="190">
        <f>T81*U81</f>
        <v>108.51061025499143</v>
      </c>
      <c r="X81" t="s">
        <v>573</v>
      </c>
    </row>
    <row r="82" spans="2:25" x14ac:dyDescent="0.25">
      <c r="B82" s="178"/>
      <c r="D82" s="282"/>
      <c r="E82" s="282"/>
      <c r="F82" s="187" t="s">
        <v>438</v>
      </c>
      <c r="G82" s="188">
        <v>10</v>
      </c>
      <c r="H82" s="189">
        <v>200</v>
      </c>
      <c r="I82" s="190">
        <v>0.6</v>
      </c>
      <c r="J82" s="190">
        <v>0.25</v>
      </c>
      <c r="K82" s="250">
        <f t="shared" si="231"/>
        <v>4.0999999999999996</v>
      </c>
      <c r="L82" s="190">
        <f t="shared" ref="L82:L83" si="232">ROUND((K82/(H82/1000))+1,0)</f>
        <v>22</v>
      </c>
      <c r="M82" s="190">
        <v>1</v>
      </c>
      <c r="N82" s="190">
        <f>I82-0.04*2</f>
        <v>0.52</v>
      </c>
      <c r="O82" s="190">
        <f>J82-0.04*2</f>
        <v>0.16999999999999998</v>
      </c>
      <c r="P82" s="190">
        <f t="shared" ref="P82:P83" si="233">N82</f>
        <v>0.52</v>
      </c>
      <c r="Q82" s="190">
        <f>O82</f>
        <v>0.16999999999999998</v>
      </c>
      <c r="R82" s="190">
        <f>10*(G82/1000)</f>
        <v>0.1</v>
      </c>
      <c r="S82" s="190">
        <f>SUM(N82:R82)</f>
        <v>1.48</v>
      </c>
      <c r="T82" s="190">
        <f>L82*S82*M82</f>
        <v>32.56</v>
      </c>
      <c r="U82" s="190">
        <f t="shared" si="185"/>
        <v>0.61653755826699685</v>
      </c>
      <c r="V82" s="190">
        <f t="shared" ref="V82:V83" si="234">T82*U82</f>
        <v>20.074462897173419</v>
      </c>
      <c r="X82">
        <f>6.55-4.5</f>
        <v>2.0499999999999998</v>
      </c>
      <c r="Y82" t="s">
        <v>574</v>
      </c>
    </row>
    <row r="83" spans="2:25" x14ac:dyDescent="0.25">
      <c r="B83" s="178"/>
      <c r="D83" s="282"/>
      <c r="E83" s="282"/>
      <c r="F83" s="187" t="s">
        <v>438</v>
      </c>
      <c r="G83" s="188">
        <v>10</v>
      </c>
      <c r="H83" s="189">
        <v>200</v>
      </c>
      <c r="I83" s="190">
        <v>0.6</v>
      </c>
      <c r="J83" s="190">
        <v>0.25</v>
      </c>
      <c r="K83" s="250">
        <f t="shared" si="231"/>
        <v>4.0999999999999996</v>
      </c>
      <c r="L83" s="190">
        <f t="shared" si="232"/>
        <v>22</v>
      </c>
      <c r="M83" s="190">
        <v>1</v>
      </c>
      <c r="N83" s="190">
        <f t="shared" ref="N83" si="235">10*(G83/1000)</f>
        <v>0.1</v>
      </c>
      <c r="O83" s="190">
        <f t="shared" ref="O83" si="236">J83-0.04*2</f>
        <v>0.16999999999999998</v>
      </c>
      <c r="P83" s="190">
        <f t="shared" si="233"/>
        <v>0.1</v>
      </c>
      <c r="Q83" s="190"/>
      <c r="R83" s="190"/>
      <c r="S83" s="190">
        <f t="shared" ref="S83" si="237">SUM(N83:R83)</f>
        <v>0.37</v>
      </c>
      <c r="T83" s="190">
        <f t="shared" ref="T83:T85" si="238">L83*S83*M83</f>
        <v>8.14</v>
      </c>
      <c r="U83" s="190">
        <f t="shared" si="185"/>
        <v>0.61653755826699685</v>
      </c>
      <c r="V83" s="190">
        <f t="shared" si="234"/>
        <v>5.0186157242933547</v>
      </c>
    </row>
    <row r="84" spans="2:25" x14ac:dyDescent="0.25">
      <c r="B84" s="178"/>
      <c r="D84" s="281" t="s">
        <v>81</v>
      </c>
      <c r="E84" s="281" t="s">
        <v>481</v>
      </c>
      <c r="F84" s="191" t="s">
        <v>437</v>
      </c>
      <c r="G84" s="192">
        <v>16</v>
      </c>
      <c r="H84" s="193" t="s">
        <v>440</v>
      </c>
      <c r="I84" s="194">
        <v>0.25</v>
      </c>
      <c r="J84" s="194">
        <v>0.25</v>
      </c>
      <c r="K84" s="194">
        <f t="shared" si="231"/>
        <v>4.0999999999999996</v>
      </c>
      <c r="L84" s="194">
        <v>6</v>
      </c>
      <c r="M84" s="194">
        <v>1</v>
      </c>
      <c r="N84" s="194">
        <f>K84</f>
        <v>4.0999999999999996</v>
      </c>
      <c r="O84" s="194"/>
      <c r="P84" s="194"/>
      <c r="Q84" s="194"/>
      <c r="R84" s="194"/>
      <c r="S84" s="194">
        <f>SUM(N84:R84)</f>
        <v>4.0999999999999996</v>
      </c>
      <c r="T84" s="194">
        <f t="shared" si="238"/>
        <v>24.599999999999998</v>
      </c>
      <c r="U84" s="194">
        <f t="shared" si="185"/>
        <v>1.5783361491635119</v>
      </c>
      <c r="V84" s="194">
        <f>T84*U84</f>
        <v>38.827069269422388</v>
      </c>
    </row>
    <row r="85" spans="2:25" x14ac:dyDescent="0.25">
      <c r="B85" s="178"/>
      <c r="D85" s="281"/>
      <c r="E85" s="281"/>
      <c r="F85" s="191" t="s">
        <v>438</v>
      </c>
      <c r="G85" s="192">
        <v>10</v>
      </c>
      <c r="H85" s="193">
        <v>200</v>
      </c>
      <c r="I85" s="194">
        <v>0.25</v>
      </c>
      <c r="J85" s="194">
        <v>0.25</v>
      </c>
      <c r="K85" s="194">
        <f t="shared" si="231"/>
        <v>4.0999999999999996</v>
      </c>
      <c r="L85" s="194">
        <f t="shared" ref="L85" si="239">ROUND((K85/(H85/1000))+1,0)</f>
        <v>22</v>
      </c>
      <c r="M85" s="194">
        <v>1</v>
      </c>
      <c r="N85" s="194">
        <f>I85-0.04*2</f>
        <v>0.16999999999999998</v>
      </c>
      <c r="O85" s="194">
        <f>J85-0.04*2</f>
        <v>0.16999999999999998</v>
      </c>
      <c r="P85" s="194">
        <f>N85</f>
        <v>0.16999999999999998</v>
      </c>
      <c r="Q85" s="194">
        <f>O85</f>
        <v>0.16999999999999998</v>
      </c>
      <c r="R85" s="194">
        <f>10*(G85/1000)</f>
        <v>0.1</v>
      </c>
      <c r="S85" s="194">
        <f>SUM(N85:R85)</f>
        <v>0.77999999999999992</v>
      </c>
      <c r="T85" s="194">
        <f t="shared" si="238"/>
        <v>17.159999999999997</v>
      </c>
      <c r="U85" s="194">
        <f t="shared" si="185"/>
        <v>0.61653755826699685</v>
      </c>
      <c r="V85" s="194">
        <f t="shared" ref="V85" si="240">T85*U85</f>
        <v>10.579784499861663</v>
      </c>
    </row>
    <row r="86" spans="2:25" x14ac:dyDescent="0.25">
      <c r="B86" s="178"/>
      <c r="D86" s="195"/>
      <c r="E86" s="202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6"/>
    </row>
    <row r="87" spans="2:25" x14ac:dyDescent="0.25">
      <c r="D87" s="178"/>
      <c r="E87" s="199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</row>
    <row r="88" spans="2:25" x14ac:dyDescent="0.25">
      <c r="D88" s="282" t="s">
        <v>181</v>
      </c>
      <c r="E88" s="282" t="s">
        <v>484</v>
      </c>
      <c r="F88" s="187" t="s">
        <v>437</v>
      </c>
      <c r="G88" s="286" t="s">
        <v>482</v>
      </c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</row>
    <row r="89" spans="2:25" x14ac:dyDescent="0.25">
      <c r="D89" s="282"/>
      <c r="E89" s="282"/>
      <c r="F89" s="187" t="s">
        <v>438</v>
      </c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</row>
    <row r="90" spans="2:25" x14ac:dyDescent="0.25">
      <c r="D90" s="281" t="s">
        <v>190</v>
      </c>
      <c r="E90" s="281" t="s">
        <v>484</v>
      </c>
      <c r="F90" s="191" t="s">
        <v>437</v>
      </c>
      <c r="G90" s="287" t="s">
        <v>482</v>
      </c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</row>
    <row r="91" spans="2:25" x14ac:dyDescent="0.25">
      <c r="D91" s="281"/>
      <c r="E91" s="281"/>
      <c r="F91" s="191" t="s">
        <v>438</v>
      </c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</row>
    <row r="92" spans="2:25" x14ac:dyDescent="0.25">
      <c r="D92" s="282" t="s">
        <v>188</v>
      </c>
      <c r="E92" s="282" t="s">
        <v>484</v>
      </c>
      <c r="F92" s="187" t="s">
        <v>437</v>
      </c>
      <c r="G92" s="286" t="s">
        <v>482</v>
      </c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</row>
    <row r="93" spans="2:25" x14ac:dyDescent="0.25">
      <c r="D93" s="282"/>
      <c r="E93" s="282"/>
      <c r="F93" s="187" t="s">
        <v>438</v>
      </c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</row>
    <row r="94" spans="2:25" x14ac:dyDescent="0.25">
      <c r="D94" s="282"/>
      <c r="E94" s="282"/>
      <c r="F94" s="187" t="s">
        <v>438</v>
      </c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</row>
    <row r="95" spans="2:25" x14ac:dyDescent="0.25">
      <c r="D95" s="281" t="s">
        <v>189</v>
      </c>
      <c r="E95" s="281" t="s">
        <v>484</v>
      </c>
      <c r="F95" s="191" t="s">
        <v>437</v>
      </c>
      <c r="G95" s="288" t="s">
        <v>482</v>
      </c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</row>
    <row r="96" spans="2:25" x14ac:dyDescent="0.25">
      <c r="D96" s="281"/>
      <c r="E96" s="281"/>
      <c r="F96" s="191" t="s">
        <v>438</v>
      </c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</row>
    <row r="97" spans="4:22" x14ac:dyDescent="0.25">
      <c r="D97" s="281"/>
      <c r="E97" s="281"/>
      <c r="F97" s="191" t="s">
        <v>438</v>
      </c>
      <c r="G97" s="288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  <c r="V97" s="288"/>
    </row>
    <row r="98" spans="4:22" x14ac:dyDescent="0.25">
      <c r="D98" s="282" t="s">
        <v>182</v>
      </c>
      <c r="E98" s="282" t="s">
        <v>484</v>
      </c>
      <c r="F98" s="187" t="s">
        <v>437</v>
      </c>
      <c r="G98" s="286" t="s">
        <v>482</v>
      </c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</row>
    <row r="99" spans="4:22" x14ac:dyDescent="0.25">
      <c r="D99" s="282"/>
      <c r="E99" s="282"/>
      <c r="F99" s="187" t="s">
        <v>438</v>
      </c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</row>
    <row r="100" spans="4:22" x14ac:dyDescent="0.25">
      <c r="D100" s="282"/>
      <c r="E100" s="282"/>
      <c r="F100" s="187" t="s">
        <v>438</v>
      </c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</row>
    <row r="101" spans="4:22" x14ac:dyDescent="0.25">
      <c r="D101" s="281" t="s">
        <v>184</v>
      </c>
      <c r="E101" s="281" t="s">
        <v>484</v>
      </c>
      <c r="F101" s="191" t="s">
        <v>437</v>
      </c>
      <c r="G101" s="288" t="s">
        <v>482</v>
      </c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</row>
    <row r="102" spans="4:22" x14ac:dyDescent="0.25">
      <c r="D102" s="281"/>
      <c r="E102" s="281"/>
      <c r="F102" s="191" t="s">
        <v>438</v>
      </c>
      <c r="G102" s="288"/>
      <c r="H102" s="288"/>
      <c r="I102" s="288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288"/>
      <c r="U102" s="288"/>
      <c r="V102" s="288"/>
    </row>
    <row r="103" spans="4:22" x14ac:dyDescent="0.25">
      <c r="D103" s="281"/>
      <c r="E103" s="281"/>
      <c r="F103" s="191" t="s">
        <v>438</v>
      </c>
      <c r="G103" s="288"/>
      <c r="H103" s="288"/>
      <c r="I103" s="288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</row>
    <row r="104" spans="4:22" x14ac:dyDescent="0.25">
      <c r="D104" s="282" t="s">
        <v>185</v>
      </c>
      <c r="E104" s="282" t="s">
        <v>484</v>
      </c>
      <c r="F104" s="187" t="s">
        <v>437</v>
      </c>
      <c r="G104" s="188">
        <v>25</v>
      </c>
      <c r="H104" s="189" t="s">
        <v>440</v>
      </c>
      <c r="I104" s="190">
        <v>0.6</v>
      </c>
      <c r="J104" s="190">
        <v>0.25</v>
      </c>
      <c r="K104" s="190">
        <f t="shared" ref="K104:K106" si="241">12.37-8.6</f>
        <v>3.7699999999999996</v>
      </c>
      <c r="L104" s="190">
        <v>8</v>
      </c>
      <c r="M104" s="190">
        <v>1</v>
      </c>
      <c r="N104" s="190">
        <f>K104</f>
        <v>3.7699999999999996</v>
      </c>
      <c r="O104" s="190">
        <v>0.3</v>
      </c>
      <c r="P104" s="190"/>
      <c r="Q104" s="190"/>
      <c r="R104" s="190"/>
      <c r="S104" s="190">
        <f>SUM(N104:R104)</f>
        <v>4.0699999999999994</v>
      </c>
      <c r="T104" s="190">
        <f>L104*S104*M104</f>
        <v>32.559999999999995</v>
      </c>
      <c r="U104" s="190">
        <f t="shared" ref="U104:U106" si="242">PI()*(G104/1000)^2*0.25*1*7850</f>
        <v>3.8533597391687309</v>
      </c>
      <c r="V104" s="190">
        <f>T104*U104</f>
        <v>125.46539310733385</v>
      </c>
    </row>
    <row r="105" spans="4:22" x14ac:dyDescent="0.25">
      <c r="D105" s="282"/>
      <c r="E105" s="282"/>
      <c r="F105" s="187" t="s">
        <v>438</v>
      </c>
      <c r="G105" s="188">
        <v>10</v>
      </c>
      <c r="H105" s="189">
        <v>200</v>
      </c>
      <c r="I105" s="190">
        <v>0.6</v>
      </c>
      <c r="J105" s="190">
        <v>0.25</v>
      </c>
      <c r="K105" s="190">
        <f t="shared" si="241"/>
        <v>3.7699999999999996</v>
      </c>
      <c r="L105" s="190">
        <f t="shared" ref="L105:L106" si="243">ROUND((K105/(H105/1000))+1,0)</f>
        <v>20</v>
      </c>
      <c r="M105" s="190">
        <v>1</v>
      </c>
      <c r="N105" s="190">
        <f>I105-0.04*2</f>
        <v>0.52</v>
      </c>
      <c r="O105" s="190">
        <f>J105-0.04*2</f>
        <v>0.16999999999999998</v>
      </c>
      <c r="P105" s="190">
        <f t="shared" ref="P105:P106" si="244">N105</f>
        <v>0.52</v>
      </c>
      <c r="Q105" s="190">
        <f>O105</f>
        <v>0.16999999999999998</v>
      </c>
      <c r="R105" s="190">
        <f>10*(G105/1000)</f>
        <v>0.1</v>
      </c>
      <c r="S105" s="190">
        <f>SUM(N105:R105)</f>
        <v>1.48</v>
      </c>
      <c r="T105" s="190">
        <f>L105*S105*M105</f>
        <v>29.6</v>
      </c>
      <c r="U105" s="190">
        <f t="shared" si="242"/>
        <v>0.61653755826699685</v>
      </c>
      <c r="V105" s="190">
        <f t="shared" ref="V105:V106" si="245">T105*U105</f>
        <v>18.249511724703108</v>
      </c>
    </row>
    <row r="106" spans="4:22" x14ac:dyDescent="0.25">
      <c r="D106" s="282"/>
      <c r="E106" s="282"/>
      <c r="F106" s="187" t="s">
        <v>438</v>
      </c>
      <c r="G106" s="188">
        <v>10</v>
      </c>
      <c r="H106" s="189">
        <v>200</v>
      </c>
      <c r="I106" s="190">
        <v>0.6</v>
      </c>
      <c r="J106" s="190">
        <v>0.25</v>
      </c>
      <c r="K106" s="190">
        <f t="shared" si="241"/>
        <v>3.7699999999999996</v>
      </c>
      <c r="L106" s="190">
        <f t="shared" si="243"/>
        <v>20</v>
      </c>
      <c r="M106" s="190">
        <v>1</v>
      </c>
      <c r="N106" s="190">
        <f t="shared" ref="N106" si="246">10*(G106/1000)</f>
        <v>0.1</v>
      </c>
      <c r="O106" s="190">
        <f t="shared" ref="O106" si="247">J106-0.04*2</f>
        <v>0.16999999999999998</v>
      </c>
      <c r="P106" s="190">
        <f t="shared" si="244"/>
        <v>0.1</v>
      </c>
      <c r="Q106" s="190"/>
      <c r="R106" s="190"/>
      <c r="S106" s="190">
        <f t="shared" ref="S106" si="248">SUM(N106:R106)</f>
        <v>0.37</v>
      </c>
      <c r="T106" s="190">
        <f t="shared" ref="T106" si="249">L106*S106*M106</f>
        <v>7.4</v>
      </c>
      <c r="U106" s="190">
        <f t="shared" si="242"/>
        <v>0.61653755826699685</v>
      </c>
      <c r="V106" s="190">
        <f t="shared" si="245"/>
        <v>4.5623779311757771</v>
      </c>
    </row>
    <row r="107" spans="4:22" x14ac:dyDescent="0.25">
      <c r="D107" s="281" t="s">
        <v>183</v>
      </c>
      <c r="E107" s="281" t="s">
        <v>484</v>
      </c>
      <c r="F107" s="191" t="s">
        <v>437</v>
      </c>
      <c r="G107" s="288" t="s">
        <v>482</v>
      </c>
      <c r="H107" s="288"/>
      <c r="I107" s="288"/>
      <c r="J107" s="288"/>
      <c r="K107" s="288"/>
      <c r="L107" s="288"/>
      <c r="M107" s="288"/>
      <c r="N107" s="288"/>
      <c r="O107" s="288"/>
      <c r="P107" s="288"/>
      <c r="Q107" s="288"/>
      <c r="R107" s="288"/>
      <c r="S107" s="288"/>
      <c r="T107" s="288"/>
      <c r="U107" s="288"/>
      <c r="V107" s="288"/>
    </row>
    <row r="108" spans="4:22" x14ac:dyDescent="0.25">
      <c r="D108" s="281"/>
      <c r="E108" s="281"/>
      <c r="F108" s="191" t="s">
        <v>438</v>
      </c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</row>
    <row r="109" spans="4:22" x14ac:dyDescent="0.25">
      <c r="D109" s="281"/>
      <c r="E109" s="281"/>
      <c r="F109" s="191" t="s">
        <v>438</v>
      </c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</row>
    <row r="110" spans="4:22" x14ac:dyDescent="0.25">
      <c r="D110" s="282" t="s">
        <v>187</v>
      </c>
      <c r="E110" s="282" t="s">
        <v>484</v>
      </c>
      <c r="F110" s="187" t="s">
        <v>437</v>
      </c>
      <c r="G110" s="286" t="s">
        <v>482</v>
      </c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</row>
    <row r="111" spans="4:22" x14ac:dyDescent="0.25">
      <c r="D111" s="282"/>
      <c r="E111" s="282"/>
      <c r="F111" s="187" t="s">
        <v>438</v>
      </c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</row>
    <row r="112" spans="4:22" x14ac:dyDescent="0.25">
      <c r="D112" s="282"/>
      <c r="E112" s="282"/>
      <c r="F112" s="187" t="s">
        <v>438</v>
      </c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</row>
    <row r="113" spans="3:86" x14ac:dyDescent="0.25">
      <c r="D113" s="282"/>
      <c r="E113" s="282"/>
      <c r="F113" s="187" t="s">
        <v>438</v>
      </c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</row>
    <row r="114" spans="3:86" x14ac:dyDescent="0.25">
      <c r="D114" s="281" t="s">
        <v>186</v>
      </c>
      <c r="E114" s="281" t="s">
        <v>484</v>
      </c>
      <c r="F114" s="191" t="s">
        <v>437</v>
      </c>
      <c r="G114" s="288" t="s">
        <v>482</v>
      </c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</row>
    <row r="115" spans="3:86" x14ac:dyDescent="0.25">
      <c r="D115" s="281"/>
      <c r="E115" s="281"/>
      <c r="F115" s="191" t="s">
        <v>438</v>
      </c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</row>
    <row r="116" spans="3:86" x14ac:dyDescent="0.25">
      <c r="D116" s="281"/>
      <c r="E116" s="281"/>
      <c r="F116" s="191" t="s">
        <v>438</v>
      </c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</row>
    <row r="117" spans="3:86" x14ac:dyDescent="0.25">
      <c r="D117" s="281"/>
      <c r="E117" s="281"/>
      <c r="F117" s="191" t="s">
        <v>438</v>
      </c>
      <c r="G117" s="288"/>
      <c r="H117" s="288"/>
      <c r="I117" s="288"/>
      <c r="J117" s="288"/>
      <c r="K117" s="288"/>
      <c r="L117" s="288"/>
      <c r="M117" s="288"/>
      <c r="N117" s="288"/>
      <c r="O117" s="288"/>
      <c r="P117" s="288"/>
      <c r="Q117" s="288"/>
      <c r="R117" s="288"/>
      <c r="S117" s="288"/>
      <c r="T117" s="288"/>
      <c r="U117" s="288"/>
      <c r="V117" s="288"/>
    </row>
    <row r="118" spans="3:86" x14ac:dyDescent="0.25">
      <c r="D118" s="282" t="s">
        <v>202</v>
      </c>
      <c r="E118" s="282" t="s">
        <v>485</v>
      </c>
      <c r="F118" s="187" t="s">
        <v>437</v>
      </c>
      <c r="G118" s="286" t="s">
        <v>482</v>
      </c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</row>
    <row r="119" spans="3:86" x14ac:dyDescent="0.25">
      <c r="D119" s="282"/>
      <c r="E119" s="282"/>
      <c r="F119" s="187" t="s">
        <v>438</v>
      </c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</row>
    <row r="120" spans="3:86" x14ac:dyDescent="0.25">
      <c r="D120" s="282"/>
      <c r="E120" s="282"/>
      <c r="F120" s="187" t="s">
        <v>438</v>
      </c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</row>
    <row r="121" spans="3:86" x14ac:dyDescent="0.25">
      <c r="D121" s="282"/>
      <c r="E121" s="282"/>
      <c r="F121" s="187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</row>
    <row r="122" spans="3:86" s="178" customFormat="1" x14ac:dyDescent="0.25">
      <c r="C122"/>
      <c r="D122" s="281" t="s">
        <v>205</v>
      </c>
      <c r="E122" s="281" t="s">
        <v>484</v>
      </c>
      <c r="F122" s="191" t="s">
        <v>437</v>
      </c>
      <c r="G122" s="192">
        <v>25</v>
      </c>
      <c r="H122" s="193" t="s">
        <v>440</v>
      </c>
      <c r="I122" s="194">
        <v>0.8</v>
      </c>
      <c r="J122" s="194">
        <v>0.25</v>
      </c>
      <c r="K122" s="194">
        <f>12.37-8.6</f>
        <v>3.7699999999999996</v>
      </c>
      <c r="L122" s="194">
        <v>14</v>
      </c>
      <c r="M122" s="194">
        <v>1</v>
      </c>
      <c r="N122" s="194">
        <f>K122</f>
        <v>3.7699999999999996</v>
      </c>
      <c r="O122" s="194">
        <v>0.3</v>
      </c>
      <c r="P122" s="194">
        <v>0.3</v>
      </c>
      <c r="Q122" s="194"/>
      <c r="R122" s="194"/>
      <c r="S122" s="194">
        <f>SUM(N122:R122)</f>
        <v>4.3699999999999992</v>
      </c>
      <c r="T122" s="194">
        <f t="shared" ref="T122:T123" si="250">L122*S122*M122</f>
        <v>61.179999999999993</v>
      </c>
      <c r="U122" s="194">
        <f t="shared" ref="U122:U129" si="251">PI()*(G122/1000)^2*0.25*1*7850</f>
        <v>3.8533597391687309</v>
      </c>
      <c r="V122" s="194">
        <f>T122*U122</f>
        <v>235.74854884234293</v>
      </c>
      <c r="W122"/>
      <c r="X122"/>
      <c r="Y122"/>
      <c r="Z122" s="205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BM122"/>
      <c r="BN122"/>
      <c r="CH122"/>
    </row>
    <row r="123" spans="3:86" s="178" customFormat="1" x14ac:dyDescent="0.25">
      <c r="C123"/>
      <c r="D123" s="281"/>
      <c r="E123" s="281"/>
      <c r="F123" s="191" t="s">
        <v>438</v>
      </c>
      <c r="G123" s="192">
        <v>10</v>
      </c>
      <c r="H123" s="193">
        <v>200</v>
      </c>
      <c r="I123" s="194">
        <v>0.8</v>
      </c>
      <c r="J123" s="194">
        <v>0.25</v>
      </c>
      <c r="K123" s="194">
        <f t="shared" ref="K123:K129" si="252">12.37-8.6</f>
        <v>3.7699999999999996</v>
      </c>
      <c r="L123" s="194">
        <f t="shared" ref="L123:L124" si="253">ROUND((K123/(H123/1000))+1,0)</f>
        <v>20</v>
      </c>
      <c r="M123" s="194">
        <v>1</v>
      </c>
      <c r="N123" s="194">
        <f>I123-0.04*2</f>
        <v>0.72000000000000008</v>
      </c>
      <c r="O123" s="194">
        <f>J123-0.04*2</f>
        <v>0.16999999999999998</v>
      </c>
      <c r="P123" s="194">
        <f t="shared" ref="P123:P124" si="254">N123</f>
        <v>0.72000000000000008</v>
      </c>
      <c r="Q123" s="194">
        <f>O123</f>
        <v>0.16999999999999998</v>
      </c>
      <c r="R123" s="194">
        <f>10*(G123/1000)</f>
        <v>0.1</v>
      </c>
      <c r="S123" s="194">
        <f>SUM(N123:R123)</f>
        <v>1.8800000000000003</v>
      </c>
      <c r="T123" s="194">
        <f t="shared" si="250"/>
        <v>37.600000000000009</v>
      </c>
      <c r="U123" s="194">
        <f t="shared" si="251"/>
        <v>0.61653755826699685</v>
      </c>
      <c r="V123" s="194">
        <f t="shared" ref="V123:V124" si="255">T123*U123</f>
        <v>23.181812190839086</v>
      </c>
      <c r="W123"/>
      <c r="X123"/>
      <c r="Y123"/>
      <c r="Z123" s="205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BM123"/>
      <c r="BN123"/>
      <c r="CH123"/>
    </row>
    <row r="124" spans="3:86" s="178" customFormat="1" x14ac:dyDescent="0.25">
      <c r="C124"/>
      <c r="D124" s="281"/>
      <c r="E124" s="281"/>
      <c r="F124" s="191" t="s">
        <v>438</v>
      </c>
      <c r="G124" s="192">
        <v>10</v>
      </c>
      <c r="H124" s="193">
        <v>200</v>
      </c>
      <c r="I124" s="194">
        <v>0.8</v>
      </c>
      <c r="J124" s="194">
        <v>0.25</v>
      </c>
      <c r="K124" s="194">
        <f t="shared" si="252"/>
        <v>3.7699999999999996</v>
      </c>
      <c r="L124" s="194">
        <f t="shared" si="253"/>
        <v>20</v>
      </c>
      <c r="M124" s="194">
        <v>2</v>
      </c>
      <c r="N124" s="194">
        <f t="shared" ref="N124" si="256">10*(G124/1000)</f>
        <v>0.1</v>
      </c>
      <c r="O124" s="194">
        <f t="shared" ref="O124" si="257">J124-0.04*2</f>
        <v>0.16999999999999998</v>
      </c>
      <c r="P124" s="194">
        <f t="shared" si="254"/>
        <v>0.1</v>
      </c>
      <c r="Q124" s="194"/>
      <c r="R124" s="194"/>
      <c r="S124" s="194">
        <f t="shared" ref="S124" si="258">SUM(N124:R124)</f>
        <v>0.37</v>
      </c>
      <c r="T124" s="194">
        <f>L124*S124*M124</f>
        <v>14.8</v>
      </c>
      <c r="U124" s="194">
        <f t="shared" si="251"/>
        <v>0.61653755826699685</v>
      </c>
      <c r="V124" s="194">
        <f t="shared" si="255"/>
        <v>9.1247558623515541</v>
      </c>
      <c r="W124"/>
      <c r="X124"/>
      <c r="Y124"/>
      <c r="Z124" s="205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BM124"/>
      <c r="BN124"/>
      <c r="CH124"/>
    </row>
    <row r="125" spans="3:86" s="178" customFormat="1" x14ac:dyDescent="0.25">
      <c r="C125"/>
      <c r="D125" s="282" t="s">
        <v>206</v>
      </c>
      <c r="E125" s="282" t="s">
        <v>484</v>
      </c>
      <c r="F125" s="187" t="s">
        <v>437</v>
      </c>
      <c r="G125" s="188">
        <v>20</v>
      </c>
      <c r="H125" s="189" t="s">
        <v>440</v>
      </c>
      <c r="I125" s="190">
        <v>0.6</v>
      </c>
      <c r="J125" s="190">
        <v>0.2</v>
      </c>
      <c r="K125" s="190">
        <f t="shared" si="252"/>
        <v>3.7699999999999996</v>
      </c>
      <c r="L125" s="190">
        <v>10</v>
      </c>
      <c r="M125" s="190">
        <v>1</v>
      </c>
      <c r="N125" s="190">
        <f>K125</f>
        <v>3.7699999999999996</v>
      </c>
      <c r="O125" s="190">
        <v>0.3</v>
      </c>
      <c r="P125" s="190">
        <v>0.3</v>
      </c>
      <c r="Q125" s="190"/>
      <c r="R125" s="190"/>
      <c r="S125" s="190">
        <f>SUM(N125:R125)</f>
        <v>4.3699999999999992</v>
      </c>
      <c r="T125" s="190">
        <f>L125*S125*M125</f>
        <v>43.699999999999989</v>
      </c>
      <c r="U125" s="190">
        <f t="shared" si="251"/>
        <v>2.4661502330679874</v>
      </c>
      <c r="V125" s="190">
        <f>T125*U125</f>
        <v>107.77076518507103</v>
      </c>
      <c r="W125"/>
      <c r="X125"/>
      <c r="Y125"/>
      <c r="Z125" s="20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BM125"/>
      <c r="BN125"/>
      <c r="CH125"/>
    </row>
    <row r="126" spans="3:86" s="178" customFormat="1" x14ac:dyDescent="0.25">
      <c r="C126"/>
      <c r="D126" s="282"/>
      <c r="E126" s="282"/>
      <c r="F126" s="187" t="s">
        <v>438</v>
      </c>
      <c r="G126" s="188">
        <v>10</v>
      </c>
      <c r="H126" s="189">
        <v>200</v>
      </c>
      <c r="I126" s="190">
        <v>0.6</v>
      </c>
      <c r="J126" s="190">
        <v>0.2</v>
      </c>
      <c r="K126" s="190">
        <f t="shared" si="252"/>
        <v>3.7699999999999996</v>
      </c>
      <c r="L126" s="190">
        <f t="shared" ref="L126:L127" si="259">ROUND((K126/(H126/1000))+1,0)</f>
        <v>20</v>
      </c>
      <c r="M126" s="190">
        <v>1</v>
      </c>
      <c r="N126" s="190">
        <f>I126-0.04*2</f>
        <v>0.52</v>
      </c>
      <c r="O126" s="190">
        <f>J126-0.04*2</f>
        <v>0.12000000000000001</v>
      </c>
      <c r="P126" s="190">
        <f t="shared" ref="P126:P127" si="260">N126</f>
        <v>0.52</v>
      </c>
      <c r="Q126" s="190">
        <f>O126</f>
        <v>0.12000000000000001</v>
      </c>
      <c r="R126" s="190">
        <f>10*(G126/1000)</f>
        <v>0.1</v>
      </c>
      <c r="S126" s="190">
        <f>SUM(N126:R126)</f>
        <v>1.3800000000000003</v>
      </c>
      <c r="T126" s="190">
        <f>L126*S126*M126</f>
        <v>27.600000000000009</v>
      </c>
      <c r="U126" s="190">
        <f t="shared" si="251"/>
        <v>0.61653755826699685</v>
      </c>
      <c r="V126" s="190">
        <f t="shared" ref="V126:V127" si="261">T126*U126</f>
        <v>17.016436608169119</v>
      </c>
      <c r="W126"/>
      <c r="X126"/>
      <c r="Y126"/>
      <c r="Z126" s="205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BM126"/>
      <c r="BN126"/>
      <c r="CH126"/>
    </row>
    <row r="127" spans="3:86" s="178" customFormat="1" x14ac:dyDescent="0.25">
      <c r="C127"/>
      <c r="D127" s="282"/>
      <c r="E127" s="282"/>
      <c r="F127" s="187" t="s">
        <v>438</v>
      </c>
      <c r="G127" s="188">
        <v>10</v>
      </c>
      <c r="H127" s="189">
        <v>200</v>
      </c>
      <c r="I127" s="190">
        <v>0.6</v>
      </c>
      <c r="J127" s="190">
        <v>0.2</v>
      </c>
      <c r="K127" s="190">
        <f t="shared" si="252"/>
        <v>3.7699999999999996</v>
      </c>
      <c r="L127" s="190">
        <f t="shared" si="259"/>
        <v>20</v>
      </c>
      <c r="M127" s="190">
        <v>1</v>
      </c>
      <c r="N127" s="190">
        <f t="shared" ref="N127" si="262">10*(G127/1000)</f>
        <v>0.1</v>
      </c>
      <c r="O127" s="190">
        <f t="shared" ref="O127" si="263">J127-0.04*2</f>
        <v>0.12000000000000001</v>
      </c>
      <c r="P127" s="190">
        <f t="shared" si="260"/>
        <v>0.1</v>
      </c>
      <c r="Q127" s="190"/>
      <c r="R127" s="190"/>
      <c r="S127" s="190">
        <f t="shared" ref="S127" si="264">SUM(N127:R127)</f>
        <v>0.32000000000000006</v>
      </c>
      <c r="T127" s="190">
        <f t="shared" ref="T127:T129" si="265">L127*S127*M127</f>
        <v>6.4000000000000012</v>
      </c>
      <c r="U127" s="190">
        <f t="shared" si="251"/>
        <v>0.61653755826699685</v>
      </c>
      <c r="V127" s="190">
        <f t="shared" si="261"/>
        <v>3.9458403729087808</v>
      </c>
      <c r="W127"/>
      <c r="X127"/>
      <c r="Y127"/>
      <c r="Z127" s="205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BM127"/>
      <c r="BN127"/>
      <c r="CH127"/>
    </row>
    <row r="128" spans="3:86" s="178" customFormat="1" x14ac:dyDescent="0.25">
      <c r="C128"/>
      <c r="D128" s="281" t="s">
        <v>80</v>
      </c>
      <c r="E128" s="281" t="s">
        <v>484</v>
      </c>
      <c r="F128" s="191" t="s">
        <v>437</v>
      </c>
      <c r="G128" s="192">
        <v>16</v>
      </c>
      <c r="H128" s="193" t="s">
        <v>440</v>
      </c>
      <c r="I128" s="194">
        <v>0.6</v>
      </c>
      <c r="J128" s="194">
        <v>0.2</v>
      </c>
      <c r="K128" s="194">
        <f t="shared" si="252"/>
        <v>3.7699999999999996</v>
      </c>
      <c r="L128" s="194">
        <v>6</v>
      </c>
      <c r="M128" s="194">
        <v>1</v>
      </c>
      <c r="N128" s="194">
        <f>K128</f>
        <v>3.7699999999999996</v>
      </c>
      <c r="O128" s="194">
        <v>0.3</v>
      </c>
      <c r="P128" s="194">
        <v>0.3</v>
      </c>
      <c r="Q128" s="194"/>
      <c r="R128" s="194"/>
      <c r="S128" s="194">
        <f>SUM(N128:R128)</f>
        <v>4.3699999999999992</v>
      </c>
      <c r="T128" s="194">
        <f t="shared" si="265"/>
        <v>26.219999999999995</v>
      </c>
      <c r="U128" s="194">
        <f t="shared" si="251"/>
        <v>1.5783361491635119</v>
      </c>
      <c r="V128" s="194">
        <f>T128*U128</f>
        <v>41.383973831067273</v>
      </c>
      <c r="W128"/>
      <c r="X128"/>
      <c r="Y128"/>
      <c r="Z128" s="205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BM128"/>
      <c r="BN128"/>
      <c r="CH128"/>
    </row>
    <row r="129" spans="3:86" s="178" customFormat="1" x14ac:dyDescent="0.25">
      <c r="C129"/>
      <c r="D129" s="281"/>
      <c r="E129" s="281"/>
      <c r="F129" s="191" t="s">
        <v>486</v>
      </c>
      <c r="G129" s="192">
        <v>10</v>
      </c>
      <c r="H129" s="193">
        <v>200</v>
      </c>
      <c r="I129" s="194">
        <v>0.6</v>
      </c>
      <c r="J129" s="194">
        <v>0.2</v>
      </c>
      <c r="K129" s="194">
        <f t="shared" si="252"/>
        <v>3.7699999999999996</v>
      </c>
      <c r="L129" s="194">
        <f t="shared" ref="L129" si="266">ROUND((K129/(H129/1000))+1,0)</f>
        <v>20</v>
      </c>
      <c r="M129" s="194">
        <v>1</v>
      </c>
      <c r="N129" s="194">
        <f>PI()*(0.25-0.04*2)</f>
        <v>0.53407075111026481</v>
      </c>
      <c r="O129" s="194"/>
      <c r="P129" s="194"/>
      <c r="Q129" s="194"/>
      <c r="R129" s="194">
        <f>10*(G129/1000)</f>
        <v>0.1</v>
      </c>
      <c r="S129" s="194">
        <f>SUM(N129:R129)</f>
        <v>0.63407075111026479</v>
      </c>
      <c r="T129" s="194">
        <f t="shared" si="265"/>
        <v>12.681415022205297</v>
      </c>
      <c r="U129" s="194">
        <f t="shared" si="251"/>
        <v>0.61653755826699685</v>
      </c>
      <c r="V129" s="194">
        <f t="shared" ref="V129" si="267">T129*U129</f>
        <v>7.8185686531608676</v>
      </c>
      <c r="W129"/>
      <c r="X129"/>
      <c r="Y129"/>
      <c r="Z129" s="205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BM129"/>
      <c r="BN129"/>
      <c r="CH129"/>
    </row>
    <row r="130" spans="3:86" s="178" customFormat="1" x14ac:dyDescent="0.25">
      <c r="C130"/>
      <c r="D130" s="281"/>
      <c r="E130" s="281"/>
      <c r="F130" s="191"/>
      <c r="G130" s="192"/>
      <c r="H130" s="193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/>
      <c r="X130"/>
      <c r="Y130"/>
      <c r="Z130" s="205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BM130"/>
      <c r="BN130"/>
      <c r="CH130"/>
    </row>
    <row r="131" spans="3:86" x14ac:dyDescent="0.25">
      <c r="D131" s="282" t="s">
        <v>82</v>
      </c>
      <c r="E131" s="282" t="s">
        <v>484</v>
      </c>
      <c r="F131" s="187" t="s">
        <v>437</v>
      </c>
      <c r="G131" s="286" t="s">
        <v>482</v>
      </c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</row>
    <row r="132" spans="3:86" x14ac:dyDescent="0.25">
      <c r="D132" s="282"/>
      <c r="E132" s="282"/>
      <c r="F132" s="187" t="s">
        <v>438</v>
      </c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</row>
    <row r="133" spans="3:86" x14ac:dyDescent="0.25">
      <c r="D133" s="282"/>
      <c r="E133" s="282"/>
      <c r="F133" s="187" t="s">
        <v>438</v>
      </c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</row>
    <row r="134" spans="3:86" x14ac:dyDescent="0.25">
      <c r="D134" s="281" t="s">
        <v>81</v>
      </c>
      <c r="E134" s="281" t="s">
        <v>484</v>
      </c>
      <c r="F134" s="191" t="s">
        <v>437</v>
      </c>
      <c r="G134" s="288" t="s">
        <v>482</v>
      </c>
      <c r="H134" s="288"/>
      <c r="I134" s="288"/>
      <c r="J134" s="288"/>
      <c r="K134" s="288"/>
      <c r="L134" s="288"/>
      <c r="M134" s="288"/>
      <c r="N134" s="288"/>
      <c r="O134" s="288"/>
      <c r="P134" s="288"/>
      <c r="Q134" s="288"/>
      <c r="R134" s="288"/>
      <c r="S134" s="288"/>
      <c r="T134" s="288"/>
      <c r="U134" s="288"/>
      <c r="V134" s="288"/>
    </row>
    <row r="135" spans="3:86" x14ac:dyDescent="0.25">
      <c r="D135" s="281"/>
      <c r="E135" s="281"/>
      <c r="F135" s="191" t="s">
        <v>438</v>
      </c>
      <c r="G135" s="288"/>
      <c r="H135" s="288"/>
      <c r="I135" s="288"/>
      <c r="J135" s="288"/>
      <c r="K135" s="288"/>
      <c r="L135" s="288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</row>
    <row r="136" spans="3:86" x14ac:dyDescent="0.25">
      <c r="D136" s="195"/>
      <c r="E136" s="202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6"/>
    </row>
    <row r="137" spans="3:86" x14ac:dyDescent="0.25">
      <c r="D137" s="178"/>
      <c r="E137" s="283" t="s">
        <v>425</v>
      </c>
      <c r="F137" s="283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</row>
    <row r="138" spans="3:86" x14ac:dyDescent="0.25">
      <c r="D138" s="178"/>
      <c r="E138" s="203" t="s">
        <v>229</v>
      </c>
      <c r="F138" s="197" t="s">
        <v>427</v>
      </c>
      <c r="G138" s="197" t="s">
        <v>40</v>
      </c>
      <c r="H138" s="197" t="s">
        <v>415</v>
      </c>
      <c r="I138" s="178"/>
      <c r="J138" s="178"/>
      <c r="K138" s="178">
        <v>1.5</v>
      </c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</row>
    <row r="139" spans="3:86" x14ac:dyDescent="0.25">
      <c r="D139" s="178"/>
      <c r="E139" s="204" t="s">
        <v>181</v>
      </c>
      <c r="F139" s="198">
        <f>SUM(V7:V8)</f>
        <v>64.277739674684014</v>
      </c>
      <c r="G139" s="198">
        <v>6</v>
      </c>
      <c r="H139" s="198">
        <f>F139*G139</f>
        <v>385.66643804810406</v>
      </c>
      <c r="I139" s="178"/>
      <c r="J139" s="178">
        <f>'Rebar-Substructure'!AA49</f>
        <v>21.245982903890035</v>
      </c>
      <c r="K139" s="247">
        <f>J139/$K$138</f>
        <v>14.163988602593356</v>
      </c>
      <c r="L139" s="247">
        <f>K139*$K$7</f>
        <v>63.7379487116701</v>
      </c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</row>
    <row r="140" spans="3:86" x14ac:dyDescent="0.25">
      <c r="D140" s="178"/>
      <c r="E140" s="204" t="s">
        <v>190</v>
      </c>
      <c r="F140" s="198">
        <f>SUM(V9:V10)</f>
        <v>64.277739674684014</v>
      </c>
      <c r="G140" s="198">
        <f>'Concrete Substructure'!F57</f>
        <v>1</v>
      </c>
      <c r="H140" s="198">
        <f t="shared" ref="H140:H151" si="268">F140*G140</f>
        <v>64.277739674684014</v>
      </c>
      <c r="I140" s="178"/>
      <c r="J140" s="178">
        <f>'Rebar-Substructure'!AA50</f>
        <v>21.245982903890035</v>
      </c>
      <c r="K140" s="247">
        <f t="shared" ref="K140:K151" si="269">J140/$K$138</f>
        <v>14.163988602593356</v>
      </c>
      <c r="L140" s="247">
        <f t="shared" ref="L140:L151" si="270">K140*$K$7</f>
        <v>63.7379487116701</v>
      </c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</row>
    <row r="141" spans="3:86" x14ac:dyDescent="0.25">
      <c r="D141" s="178"/>
      <c r="E141" s="204" t="s">
        <v>188</v>
      </c>
      <c r="F141" s="198">
        <f>SUM(V11:V13)</f>
        <v>229.81437484402312</v>
      </c>
      <c r="G141" s="198">
        <f>'Concrete Substructure'!F55</f>
        <v>1</v>
      </c>
      <c r="H141" s="198">
        <f t="shared" si="268"/>
        <v>229.81437484402312</v>
      </c>
      <c r="I141" s="178"/>
      <c r="J141" s="178">
        <f>'Rebar-Substructure'!AA51</f>
        <v>81.421491288635281</v>
      </c>
      <c r="K141" s="247">
        <f t="shared" si="269"/>
        <v>54.28099419242352</v>
      </c>
      <c r="L141" s="247">
        <f t="shared" si="270"/>
        <v>244.26447386590584</v>
      </c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</row>
    <row r="142" spans="3:86" x14ac:dyDescent="0.25">
      <c r="D142" s="178"/>
      <c r="E142" s="204" t="s">
        <v>189</v>
      </c>
      <c r="F142" s="198">
        <f>SUM(V14:V16)</f>
        <v>124.58990977459473</v>
      </c>
      <c r="G142" s="198">
        <f>'Concrete Substructure'!F56</f>
        <v>1</v>
      </c>
      <c r="H142" s="198">
        <f t="shared" si="268"/>
        <v>124.58990977459473</v>
      </c>
      <c r="I142" s="178"/>
      <c r="J142" s="178">
        <f>'Rebar-Substructure'!AA52</f>
        <v>44.958116040848061</v>
      </c>
      <c r="K142" s="247">
        <f t="shared" si="269"/>
        <v>29.972077360565375</v>
      </c>
      <c r="L142" s="247">
        <f t="shared" si="270"/>
        <v>134.87434812254418</v>
      </c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</row>
    <row r="143" spans="3:86" x14ac:dyDescent="0.25">
      <c r="D143" s="178"/>
      <c r="E143" s="204" t="s">
        <v>182</v>
      </c>
      <c r="F143" s="198">
        <f>SUM(V17:V19)</f>
        <v>107.86941119439378</v>
      </c>
      <c r="G143" s="198">
        <f>'Concrete Substructure'!F46</f>
        <v>6</v>
      </c>
      <c r="H143" s="198">
        <f t="shared" si="268"/>
        <v>647.21646716636269</v>
      </c>
      <c r="I143" s="178"/>
      <c r="J143" s="178">
        <f>'Rebar-Substructure'!AA53</f>
        <v>35.656586529790196</v>
      </c>
      <c r="K143" s="247">
        <f>J143/$K$138</f>
        <v>23.771057686526799</v>
      </c>
      <c r="L143" s="247">
        <f t="shared" si="270"/>
        <v>106.9697595893706</v>
      </c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</row>
    <row r="144" spans="3:86" x14ac:dyDescent="0.25">
      <c r="D144" s="178"/>
      <c r="E144" s="204" t="s">
        <v>184</v>
      </c>
      <c r="F144" s="198">
        <f>SUM(V20:V22)</f>
        <v>107.86941119439378</v>
      </c>
      <c r="G144" s="198">
        <f>'Concrete Substructure'!F49</f>
        <v>8</v>
      </c>
      <c r="H144" s="198">
        <f t="shared" si="268"/>
        <v>862.95528955515022</v>
      </c>
      <c r="I144" s="178"/>
      <c r="J144" s="178">
        <f>'Rebar-Substructure'!AA54</f>
        <v>35.656586529790196</v>
      </c>
      <c r="K144" s="247">
        <f t="shared" si="269"/>
        <v>23.771057686526799</v>
      </c>
      <c r="L144" s="248">
        <f>K144*$K$7</f>
        <v>106.9697595893706</v>
      </c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</row>
    <row r="145" spans="4:22" x14ac:dyDescent="0.25">
      <c r="D145" s="178"/>
      <c r="E145" s="204" t="s">
        <v>185</v>
      </c>
      <c r="F145" s="198">
        <f>SUM(V23:V25)</f>
        <v>107.86941119439378</v>
      </c>
      <c r="G145" s="198">
        <f>'Concrete Substructure'!F50</f>
        <v>2</v>
      </c>
      <c r="H145" s="198">
        <f t="shared" si="268"/>
        <v>215.73882238878755</v>
      </c>
      <c r="I145" s="178"/>
      <c r="J145" s="178">
        <f>'Rebar-Substructure'!AA55</f>
        <v>35.656586529790196</v>
      </c>
      <c r="K145" s="247">
        <f t="shared" si="269"/>
        <v>23.771057686526799</v>
      </c>
      <c r="L145" s="248">
        <f t="shared" si="270"/>
        <v>106.9697595893706</v>
      </c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</row>
    <row r="146" spans="4:22" x14ac:dyDescent="0.25">
      <c r="D146" s="178"/>
      <c r="E146" s="204" t="s">
        <v>183</v>
      </c>
      <c r="F146" s="198">
        <f>SUM(V26:V28)</f>
        <v>106.38972105455299</v>
      </c>
      <c r="G146" s="198">
        <f>'Concrete Substructure'!F48</f>
        <v>3</v>
      </c>
      <c r="H146" s="198">
        <f t="shared" si="268"/>
        <v>319.16916316365899</v>
      </c>
      <c r="I146" s="178"/>
      <c r="J146" s="178">
        <f>'Rebar-Substructure'!AA56</f>
        <v>35.163356483176599</v>
      </c>
      <c r="K146" s="247">
        <f t="shared" si="269"/>
        <v>23.442237655451066</v>
      </c>
      <c r="L146" s="248">
        <f t="shared" si="270"/>
        <v>105.4900694495298</v>
      </c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</row>
    <row r="147" spans="4:22" x14ac:dyDescent="0.25">
      <c r="D147" s="178"/>
      <c r="E147" s="204" t="s">
        <v>187</v>
      </c>
      <c r="F147" s="198">
        <f>SUM(V29:V32)</f>
        <v>449.2709187091607</v>
      </c>
      <c r="G147" s="198">
        <f>'Concrete Substructure'!F54</f>
        <v>1</v>
      </c>
      <c r="H147" s="198">
        <f t="shared" si="268"/>
        <v>449.2709187091607</v>
      </c>
      <c r="I147" s="178"/>
      <c r="J147" s="178">
        <f>'Rebar-Substructure'!AA57</f>
        <v>159.39037225097539</v>
      </c>
      <c r="K147" s="247">
        <f t="shared" si="269"/>
        <v>106.26024816731693</v>
      </c>
      <c r="L147" s="247">
        <f t="shared" si="270"/>
        <v>478.1711167529262</v>
      </c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</row>
    <row r="148" spans="4:22" x14ac:dyDescent="0.25">
      <c r="D148" s="178"/>
      <c r="E148" s="204" t="s">
        <v>186</v>
      </c>
      <c r="F148" s="198">
        <f>SUM(V33:V36)</f>
        <v>403.0306018391359</v>
      </c>
      <c r="G148" s="198">
        <f>'Concrete Substructure'!F53</f>
        <v>1</v>
      </c>
      <c r="H148" s="198">
        <f t="shared" si="268"/>
        <v>403.0306018391359</v>
      </c>
      <c r="I148" s="178"/>
      <c r="J148" s="178">
        <f>'Rebar-Substructure'!AA58</f>
        <v>159.39037225097539</v>
      </c>
      <c r="K148" s="247">
        <f t="shared" si="269"/>
        <v>106.26024816731693</v>
      </c>
      <c r="L148" s="247">
        <f t="shared" si="270"/>
        <v>478.1711167529262</v>
      </c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</row>
    <row r="149" spans="4:22" x14ac:dyDescent="0.25">
      <c r="D149" s="178"/>
      <c r="E149" s="204" t="s">
        <v>82</v>
      </c>
      <c r="F149" s="198">
        <f>SUM(V37:V39)</f>
        <v>107.86941119439378</v>
      </c>
      <c r="G149" s="198">
        <f>'Concrete Substructure'!F52</f>
        <v>2</v>
      </c>
      <c r="H149" s="198">
        <f t="shared" si="268"/>
        <v>215.73882238878755</v>
      </c>
      <c r="I149" s="178"/>
      <c r="J149" s="178">
        <f>'Rebar-Substructure'!AA59</f>
        <v>35.656586529790196</v>
      </c>
      <c r="K149" s="247">
        <f t="shared" si="269"/>
        <v>23.771057686526799</v>
      </c>
      <c r="L149" s="248">
        <f t="shared" si="270"/>
        <v>106.9697595893706</v>
      </c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</row>
    <row r="150" spans="4:22" x14ac:dyDescent="0.25">
      <c r="D150" s="178"/>
      <c r="E150" s="204" t="s">
        <v>81</v>
      </c>
      <c r="F150" s="198">
        <f>SUM(V40:V41)</f>
        <v>54.156659118173003</v>
      </c>
      <c r="G150" s="198">
        <f>'Concrete Substructure'!F51</f>
        <v>2</v>
      </c>
      <c r="H150" s="198">
        <f t="shared" si="268"/>
        <v>108.31331823634601</v>
      </c>
      <c r="I150" s="178"/>
      <c r="J150" s="178">
        <f>'Rebar-Substructure'!AA60</f>
        <v>19.766292764049243</v>
      </c>
      <c r="K150" s="247">
        <f t="shared" si="269"/>
        <v>13.177528509366162</v>
      </c>
      <c r="L150" s="247">
        <f t="shared" si="270"/>
        <v>59.298878292147734</v>
      </c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</row>
    <row r="151" spans="4:22" x14ac:dyDescent="0.25">
      <c r="D151" s="178"/>
      <c r="E151" s="204" t="s">
        <v>83</v>
      </c>
      <c r="F151" s="198">
        <f>V42+V43</f>
        <v>18.180459518177205</v>
      </c>
      <c r="G151" s="198">
        <f>'Concrete Substructure'!F47</f>
        <v>40</v>
      </c>
      <c r="H151" s="198">
        <f t="shared" si="268"/>
        <v>727.21838072708817</v>
      </c>
      <c r="I151" s="178"/>
      <c r="J151" s="178">
        <f>'Rebar-Substructure'!AA61</f>
        <v>13.473466537334321</v>
      </c>
      <c r="K151" s="247">
        <f t="shared" si="269"/>
        <v>8.9823110248895475</v>
      </c>
      <c r="L151" s="247">
        <f t="shared" si="270"/>
        <v>40.420399612002967</v>
      </c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</row>
    <row r="152" spans="4:22" x14ac:dyDescent="0.25">
      <c r="D152" s="178"/>
      <c r="E152" s="212" t="s">
        <v>325</v>
      </c>
      <c r="F152" s="210"/>
      <c r="G152" s="210"/>
      <c r="H152" s="227">
        <f>SUM(H139:H151)</f>
        <v>4753.0002465158832</v>
      </c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</row>
    <row r="153" spans="4:22" x14ac:dyDescent="0.25">
      <c r="D153" s="178"/>
      <c r="E153" s="204" t="s">
        <v>190</v>
      </c>
      <c r="F153" s="198">
        <f>SUM(V49:V50)</f>
        <v>56.317006722340558</v>
      </c>
      <c r="G153" s="198">
        <f>'Concrete SuperStructure'!F40</f>
        <v>1</v>
      </c>
      <c r="H153" s="198">
        <f>F153*G153</f>
        <v>56.317006722340558</v>
      </c>
      <c r="I153" s="178"/>
      <c r="J153" s="178"/>
      <c r="K153" s="249">
        <f>K140</f>
        <v>14.163988602593356</v>
      </c>
      <c r="L153" s="178">
        <f>K153*$K$49</f>
        <v>58.072353270632753</v>
      </c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</row>
    <row r="154" spans="4:22" x14ac:dyDescent="0.25">
      <c r="D154" s="178"/>
      <c r="E154" s="204" t="s">
        <v>189</v>
      </c>
      <c r="F154" s="198">
        <f>SUM(V54:V56)</f>
        <v>119.41592658561808</v>
      </c>
      <c r="G154" s="198">
        <f>'Concrete SuperStructure'!F39</f>
        <v>1</v>
      </c>
      <c r="H154" s="198">
        <f t="shared" ref="H154:H161" si="271">F154*G154</f>
        <v>119.41592658561808</v>
      </c>
      <c r="I154" s="178"/>
      <c r="J154" s="178"/>
      <c r="K154" s="249">
        <f>K142</f>
        <v>29.972077360565375</v>
      </c>
      <c r="L154" s="178">
        <f>K154*$K$49</f>
        <v>122.88551717831803</v>
      </c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</row>
    <row r="155" spans="4:22" x14ac:dyDescent="0.25">
      <c r="D155" s="178"/>
      <c r="E155" s="204" t="s">
        <v>184</v>
      </c>
      <c r="F155" s="198">
        <f>SUM(V60:V62)</f>
        <v>94.539869184661285</v>
      </c>
      <c r="G155" s="198">
        <f>'Concrete SuperStructure'!F32</f>
        <v>8</v>
      </c>
      <c r="H155" s="198">
        <f t="shared" si="271"/>
        <v>756.31895347729028</v>
      </c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</row>
    <row r="156" spans="4:22" x14ac:dyDescent="0.25">
      <c r="D156" s="178"/>
      <c r="E156" s="204" t="s">
        <v>185</v>
      </c>
      <c r="F156" s="198">
        <f>SUM(V63:V65)</f>
        <v>94.539869184661285</v>
      </c>
      <c r="G156" s="198">
        <f>'Concrete SuperStructure'!F33</f>
        <v>2</v>
      </c>
      <c r="H156" s="198">
        <f t="shared" si="271"/>
        <v>189.07973836932257</v>
      </c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</row>
    <row r="157" spans="4:22" x14ac:dyDescent="0.25">
      <c r="D157" s="178"/>
      <c r="E157" s="204" t="s">
        <v>183</v>
      </c>
      <c r="F157" s="198">
        <f>SUM(V66:V68)</f>
        <v>93.183486556473895</v>
      </c>
      <c r="G157" s="198">
        <f>'Concrete SuperStructure'!F31</f>
        <v>2</v>
      </c>
      <c r="H157" s="198">
        <f t="shared" si="271"/>
        <v>186.36697311294779</v>
      </c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</row>
    <row r="158" spans="4:22" x14ac:dyDescent="0.25">
      <c r="E158" s="204" t="s">
        <v>186</v>
      </c>
      <c r="F158" s="198">
        <f>SUM(V73:V76)</f>
        <v>203.45739422810894</v>
      </c>
      <c r="G158" s="198">
        <f>'Concrete SuperStructure'!F36</f>
        <v>1</v>
      </c>
      <c r="H158" s="198">
        <f t="shared" si="271"/>
        <v>203.45739422810894</v>
      </c>
    </row>
    <row r="159" spans="4:22" x14ac:dyDescent="0.25">
      <c r="E159" s="204" t="s">
        <v>202</v>
      </c>
      <c r="F159" s="198">
        <f>SUM(V77:V79)</f>
        <v>99.274877632151828</v>
      </c>
      <c r="G159" s="198">
        <f>'Concrete SuperStructure'!F37</f>
        <v>2</v>
      </c>
      <c r="H159" s="198">
        <f t="shared" si="271"/>
        <v>198.54975526430366</v>
      </c>
    </row>
    <row r="160" spans="4:22" x14ac:dyDescent="0.25">
      <c r="E160" s="204" t="s">
        <v>82</v>
      </c>
      <c r="F160" s="198">
        <f>SUM(V81:V83)</f>
        <v>133.60368887645819</v>
      </c>
      <c r="G160" s="198">
        <f>'Concrete SuperStructure'!F35</f>
        <v>2</v>
      </c>
      <c r="H160" s="198">
        <f t="shared" si="271"/>
        <v>267.20737775291639</v>
      </c>
    </row>
    <row r="161" spans="5:8" x14ac:dyDescent="0.25">
      <c r="E161" s="204" t="s">
        <v>81</v>
      </c>
      <c r="F161" s="198">
        <f>SUM(V84:V85)</f>
        <v>49.406853769284055</v>
      </c>
      <c r="G161" s="198">
        <f>'Concrete SuperStructure'!F34</f>
        <v>2</v>
      </c>
      <c r="H161" s="198">
        <f t="shared" si="271"/>
        <v>98.81370753856811</v>
      </c>
    </row>
    <row r="162" spans="5:8" x14ac:dyDescent="0.25">
      <c r="E162" s="212" t="s">
        <v>487</v>
      </c>
      <c r="F162" s="210"/>
      <c r="G162" s="210"/>
      <c r="H162" s="227">
        <f>SUM(H153:H161)</f>
        <v>2075.5268330514164</v>
      </c>
    </row>
    <row r="163" spans="5:8" x14ac:dyDescent="0.25">
      <c r="E163" s="204" t="s">
        <v>185</v>
      </c>
      <c r="F163" s="198">
        <f>'Concrete SuperStructure'!F46</f>
        <v>2</v>
      </c>
      <c r="G163" s="198">
        <f>SUM(V104:V106)</f>
        <v>148.27728276321272</v>
      </c>
      <c r="H163" s="198">
        <f>F163*G163</f>
        <v>296.55456552642545</v>
      </c>
    </row>
    <row r="164" spans="5:8" x14ac:dyDescent="0.25">
      <c r="E164" s="204" t="s">
        <v>205</v>
      </c>
      <c r="F164" s="198">
        <f>'Concrete SuperStructure'!F43</f>
        <v>1</v>
      </c>
      <c r="G164" s="198">
        <f>SUM(V122:V124)</f>
        <v>268.05511689553356</v>
      </c>
      <c r="H164" s="198">
        <f t="shared" ref="H164:H166" si="272">F164*G164</f>
        <v>268.05511689553356</v>
      </c>
    </row>
    <row r="165" spans="5:8" x14ac:dyDescent="0.25">
      <c r="E165" s="204" t="s">
        <v>206</v>
      </c>
      <c r="F165" s="198">
        <f>'Concrete SuperStructure'!F44</f>
        <v>3</v>
      </c>
      <c r="G165" s="198">
        <f>SUM(V125:V127)</f>
        <v>128.73304216614892</v>
      </c>
      <c r="H165" s="198">
        <f t="shared" si="272"/>
        <v>386.19912649844673</v>
      </c>
    </row>
    <row r="166" spans="5:8" x14ac:dyDescent="0.25">
      <c r="E166" s="204" t="s">
        <v>80</v>
      </c>
      <c r="F166" s="198">
        <f>'Concrete SuperStructure'!F45</f>
        <v>1</v>
      </c>
      <c r="G166" s="198">
        <f>SUM(V128:V130)</f>
        <v>49.20254248422814</v>
      </c>
      <c r="H166" s="198">
        <f t="shared" si="272"/>
        <v>49.20254248422814</v>
      </c>
    </row>
    <row r="167" spans="5:8" x14ac:dyDescent="0.25">
      <c r="E167" s="212" t="s">
        <v>487</v>
      </c>
      <c r="F167" s="210"/>
      <c r="G167" s="210"/>
      <c r="H167" s="227">
        <f>SUM(H163:H166)</f>
        <v>1000.0113514046338</v>
      </c>
    </row>
    <row r="168" spans="5:8" x14ac:dyDescent="0.25">
      <c r="E168" s="225" t="s">
        <v>488</v>
      </c>
      <c r="F168" s="226"/>
      <c r="G168" s="226"/>
      <c r="H168" s="228">
        <f>H152+H162+H167</f>
        <v>7828.5384309719338</v>
      </c>
    </row>
  </sheetData>
  <mergeCells count="124">
    <mergeCell ref="G118:V120"/>
    <mergeCell ref="D101:D103"/>
    <mergeCell ref="E101:E103"/>
    <mergeCell ref="D104:D106"/>
    <mergeCell ref="E104:E106"/>
    <mergeCell ref="D107:D109"/>
    <mergeCell ref="E107:E109"/>
    <mergeCell ref="G131:V133"/>
    <mergeCell ref="G134:V135"/>
    <mergeCell ref="D122:D124"/>
    <mergeCell ref="E122:E124"/>
    <mergeCell ref="D125:D127"/>
    <mergeCell ref="E125:E127"/>
    <mergeCell ref="D131:D133"/>
    <mergeCell ref="E131:E133"/>
    <mergeCell ref="D134:D135"/>
    <mergeCell ref="E134:E135"/>
    <mergeCell ref="G90:V91"/>
    <mergeCell ref="G95:V97"/>
    <mergeCell ref="G101:V103"/>
    <mergeCell ref="G107:V109"/>
    <mergeCell ref="G114:V117"/>
    <mergeCell ref="D110:D113"/>
    <mergeCell ref="E110:E113"/>
    <mergeCell ref="G110:V113"/>
    <mergeCell ref="D114:D117"/>
    <mergeCell ref="E114:E117"/>
    <mergeCell ref="D92:D94"/>
    <mergeCell ref="E92:E94"/>
    <mergeCell ref="G92:V94"/>
    <mergeCell ref="D95:D97"/>
    <mergeCell ref="E95:E97"/>
    <mergeCell ref="D98:D100"/>
    <mergeCell ref="E98:E100"/>
    <mergeCell ref="G98:V100"/>
    <mergeCell ref="G88:V89"/>
    <mergeCell ref="D90:D91"/>
    <mergeCell ref="E90:E91"/>
    <mergeCell ref="D84:D85"/>
    <mergeCell ref="E84:E85"/>
    <mergeCell ref="G47:V48"/>
    <mergeCell ref="G51:V53"/>
    <mergeCell ref="G57:V59"/>
    <mergeCell ref="G69:V72"/>
    <mergeCell ref="D77:D80"/>
    <mergeCell ref="E77:E80"/>
    <mergeCell ref="D69:D72"/>
    <mergeCell ref="E69:E72"/>
    <mergeCell ref="D73:D76"/>
    <mergeCell ref="E73:E76"/>
    <mergeCell ref="D81:D83"/>
    <mergeCell ref="E81:E83"/>
    <mergeCell ref="D60:D62"/>
    <mergeCell ref="E60:E62"/>
    <mergeCell ref="D63:D65"/>
    <mergeCell ref="E63:E65"/>
    <mergeCell ref="D66:D68"/>
    <mergeCell ref="E66:E68"/>
    <mergeCell ref="D47:D48"/>
    <mergeCell ref="E47:E48"/>
    <mergeCell ref="D49:D50"/>
    <mergeCell ref="E49:E50"/>
    <mergeCell ref="D51:D53"/>
    <mergeCell ref="E51:E53"/>
    <mergeCell ref="D54:D56"/>
    <mergeCell ref="E137:F137"/>
    <mergeCell ref="E54:E56"/>
    <mergeCell ref="D57:D59"/>
    <mergeCell ref="E57:E59"/>
    <mergeCell ref="D88:D89"/>
    <mergeCell ref="E88:E89"/>
    <mergeCell ref="D118:D121"/>
    <mergeCell ref="E118:E121"/>
    <mergeCell ref="D128:D130"/>
    <mergeCell ref="E128:E130"/>
    <mergeCell ref="E23:E25"/>
    <mergeCell ref="AU40:AU42"/>
    <mergeCell ref="D42:D44"/>
    <mergeCell ref="E42:E44"/>
    <mergeCell ref="AT44:AU44"/>
    <mergeCell ref="E37:E39"/>
    <mergeCell ref="D40:D41"/>
    <mergeCell ref="E40:E41"/>
    <mergeCell ref="AT40:AT42"/>
    <mergeCell ref="AU30:AU32"/>
    <mergeCell ref="D33:D36"/>
    <mergeCell ref="E33:E36"/>
    <mergeCell ref="AT34:AT39"/>
    <mergeCell ref="AU34:AU39"/>
    <mergeCell ref="D37:D39"/>
    <mergeCell ref="Z42:AA42"/>
    <mergeCell ref="BO34:BP34"/>
    <mergeCell ref="CI16:CJ16"/>
    <mergeCell ref="D17:D19"/>
    <mergeCell ref="E17:E19"/>
    <mergeCell ref="AT18:AT20"/>
    <mergeCell ref="AU18:AU20"/>
    <mergeCell ref="D11:D13"/>
    <mergeCell ref="E11:E13"/>
    <mergeCell ref="D14:D16"/>
    <mergeCell ref="E14:E16"/>
    <mergeCell ref="AT14:AT16"/>
    <mergeCell ref="AU14:AU16"/>
    <mergeCell ref="D26:D28"/>
    <mergeCell ref="E26:E28"/>
    <mergeCell ref="AT26:AT28"/>
    <mergeCell ref="AU26:AU28"/>
    <mergeCell ref="D29:D32"/>
    <mergeCell ref="E29:E32"/>
    <mergeCell ref="AT30:AT32"/>
    <mergeCell ref="D20:D22"/>
    <mergeCell ref="E20:E22"/>
    <mergeCell ref="AT22:AT24"/>
    <mergeCell ref="AU22:AU24"/>
    <mergeCell ref="D23:D25"/>
    <mergeCell ref="D7:D8"/>
    <mergeCell ref="E7:E8"/>
    <mergeCell ref="D9:D10"/>
    <mergeCell ref="E9:E10"/>
    <mergeCell ref="AT2:AU2"/>
    <mergeCell ref="BO2:BP2"/>
    <mergeCell ref="CI2:CJ2"/>
    <mergeCell ref="D3:E3"/>
    <mergeCell ref="Y3:Z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FA2D-5FEB-4529-B542-CE864C7A802A}">
  <dimension ref="F4:AA42"/>
  <sheetViews>
    <sheetView topLeftCell="C1" workbookViewId="0">
      <selection activeCell="W28" sqref="W28"/>
    </sheetView>
  </sheetViews>
  <sheetFormatPr defaultRowHeight="15" x14ac:dyDescent="0.25"/>
  <cols>
    <col min="6" max="6" width="38.7109375" customWidth="1"/>
    <col min="7" max="7" width="15" customWidth="1"/>
    <col min="8" max="8" width="13.85546875" customWidth="1"/>
    <col min="9" max="9" width="14.5703125" customWidth="1"/>
    <col min="10" max="10" width="3.7109375" hidden="1" customWidth="1"/>
    <col min="11" max="11" width="10.85546875" hidden="1" customWidth="1"/>
    <col min="12" max="12" width="11.85546875" hidden="1" customWidth="1"/>
    <col min="13" max="13" width="11.140625" hidden="1" customWidth="1"/>
    <col min="14" max="14" width="4.42578125" customWidth="1"/>
    <col min="15" max="15" width="15" customWidth="1"/>
    <col min="16" max="16" width="13.85546875" customWidth="1"/>
    <col min="17" max="17" width="14.5703125" customWidth="1"/>
    <col min="18" max="18" width="3.7109375" customWidth="1"/>
    <col min="19" max="19" width="12" customWidth="1"/>
    <col min="20" max="20" width="12.7109375" customWidth="1"/>
    <col min="21" max="21" width="14" customWidth="1"/>
    <col min="22" max="22" width="5.28515625" customWidth="1"/>
    <col min="23" max="23" width="12" customWidth="1"/>
    <col min="24" max="24" width="12.7109375" customWidth="1"/>
    <col min="25" max="25" width="14" customWidth="1"/>
    <col min="27" max="27" width="9.5703125" bestFit="1" customWidth="1"/>
  </cols>
  <sheetData>
    <row r="4" spans="6:27" x14ac:dyDescent="0.25">
      <c r="G4" s="289" t="s">
        <v>559</v>
      </c>
      <c r="H4" s="289"/>
      <c r="I4" s="289"/>
      <c r="K4" s="289" t="s">
        <v>560</v>
      </c>
      <c r="L4" s="289"/>
      <c r="M4" s="289"/>
      <c r="O4" s="289" t="s">
        <v>583</v>
      </c>
      <c r="P4" s="289"/>
      <c r="Q4" s="289"/>
      <c r="S4" s="289" t="s">
        <v>561</v>
      </c>
      <c r="T4" s="289"/>
      <c r="U4" s="289"/>
      <c r="W4" s="289" t="s">
        <v>568</v>
      </c>
      <c r="X4" s="289"/>
      <c r="Y4" s="289"/>
    </row>
    <row r="5" spans="6:27" x14ac:dyDescent="0.25">
      <c r="F5" t="s">
        <v>247</v>
      </c>
      <c r="G5" s="239" t="s">
        <v>562</v>
      </c>
      <c r="H5" s="239" t="s">
        <v>563</v>
      </c>
      <c r="I5" s="239" t="s">
        <v>564</v>
      </c>
      <c r="K5" s="239" t="s">
        <v>562</v>
      </c>
      <c r="L5" s="239" t="s">
        <v>563</v>
      </c>
      <c r="M5" s="239" t="s">
        <v>564</v>
      </c>
      <c r="O5" s="239" t="s">
        <v>562</v>
      </c>
      <c r="P5" s="239" t="s">
        <v>563</v>
      </c>
      <c r="Q5" s="239" t="s">
        <v>564</v>
      </c>
      <c r="S5" s="239" t="s">
        <v>562</v>
      </c>
      <c r="T5" s="239" t="s">
        <v>563</v>
      </c>
      <c r="U5" s="239" t="s">
        <v>564</v>
      </c>
      <c r="W5" s="239" t="s">
        <v>562</v>
      </c>
      <c r="X5" s="239" t="s">
        <v>563</v>
      </c>
      <c r="Y5" s="239" t="s">
        <v>564</v>
      </c>
    </row>
    <row r="6" spans="6:27" x14ac:dyDescent="0.25">
      <c r="F6" t="s">
        <v>567</v>
      </c>
      <c r="G6" s="242">
        <v>65</v>
      </c>
      <c r="H6" s="242">
        <v>5608</v>
      </c>
      <c r="I6" s="240">
        <f>H6/G6</f>
        <v>86.276923076923083</v>
      </c>
      <c r="K6" s="239"/>
      <c r="L6" s="239"/>
      <c r="M6" s="239"/>
      <c r="O6" s="242">
        <v>65</v>
      </c>
      <c r="P6" s="242">
        <v>5608</v>
      </c>
      <c r="Q6" s="240">
        <f>P6/O6</f>
        <v>86.276923076923083</v>
      </c>
      <c r="S6" s="239"/>
      <c r="T6" s="239"/>
      <c r="U6" s="239"/>
      <c r="W6" s="239"/>
      <c r="X6" s="239"/>
      <c r="Y6" s="239"/>
    </row>
    <row r="7" spans="6:27" x14ac:dyDescent="0.25">
      <c r="F7" t="s">
        <v>78</v>
      </c>
      <c r="G7" s="240">
        <v>67</v>
      </c>
      <c r="H7" s="240">
        <v>5879</v>
      </c>
      <c r="I7" s="243">
        <f>H7/G7</f>
        <v>87.746268656716424</v>
      </c>
      <c r="K7">
        <v>61.591999999999999</v>
      </c>
      <c r="L7" s="240">
        <v>9046</v>
      </c>
      <c r="M7" s="207">
        <f>L7/K7</f>
        <v>146.86972334069361</v>
      </c>
      <c r="O7" s="240">
        <v>67</v>
      </c>
      <c r="P7" s="240">
        <v>5879</v>
      </c>
      <c r="Q7" s="253">
        <f>P7/O7</f>
        <v>87.746268656716424</v>
      </c>
      <c r="S7" s="240">
        <v>133</v>
      </c>
      <c r="T7" s="240">
        <v>14265</v>
      </c>
      <c r="U7" s="207">
        <f>T7/S7</f>
        <v>107.25563909774436</v>
      </c>
      <c r="W7" s="240">
        <v>256</v>
      </c>
      <c r="X7" s="240">
        <v>29548</v>
      </c>
      <c r="Y7" s="207">
        <f>X7/W7</f>
        <v>115.421875</v>
      </c>
    </row>
    <row r="8" spans="6:27" x14ac:dyDescent="0.25">
      <c r="F8" t="s">
        <v>252</v>
      </c>
      <c r="G8" s="240">
        <v>9</v>
      </c>
      <c r="H8" s="240">
        <f>'Rebar-Substructure'!AC62</f>
        <v>1884.4987496827123</v>
      </c>
      <c r="I8" s="243">
        <f t="shared" ref="I8:I10" si="0">H8/G8</f>
        <v>209.38874996474581</v>
      </c>
      <c r="K8" s="240">
        <v>4</v>
      </c>
      <c r="L8" s="240">
        <v>1376.82</v>
      </c>
      <c r="M8" s="207">
        <f>L8/K8</f>
        <v>344.20499999999998</v>
      </c>
      <c r="O8" s="240">
        <v>9</v>
      </c>
      <c r="P8" s="252">
        <v>3267.9</v>
      </c>
      <c r="Q8" s="253">
        <f t="shared" ref="Q8:Q10" si="1">P8/O8</f>
        <v>363.1</v>
      </c>
      <c r="S8" s="240">
        <v>10</v>
      </c>
      <c r="T8" s="240">
        <v>3631</v>
      </c>
      <c r="U8" s="207">
        <f t="shared" ref="U8:U10" si="2">T8/S8</f>
        <v>363.1</v>
      </c>
      <c r="W8" s="240">
        <v>5</v>
      </c>
      <c r="X8" s="240">
        <v>1451</v>
      </c>
      <c r="Y8" s="207">
        <f t="shared" ref="Y8:Y11" si="3">X8/W8</f>
        <v>290.2</v>
      </c>
      <c r="AA8">
        <f>G8*U8</f>
        <v>3267.9</v>
      </c>
    </row>
    <row r="9" spans="6:27" x14ac:dyDescent="0.25">
      <c r="F9" t="s">
        <v>255</v>
      </c>
      <c r="G9" s="240">
        <v>57</v>
      </c>
      <c r="H9" s="240">
        <v>3076</v>
      </c>
      <c r="I9" s="240">
        <f t="shared" si="0"/>
        <v>53.964912280701753</v>
      </c>
      <c r="K9">
        <v>49.5</v>
      </c>
      <c r="L9" s="240">
        <v>3512.63</v>
      </c>
      <c r="M9" s="207">
        <f>L9/K9</f>
        <v>70.962222222222223</v>
      </c>
      <c r="O9" s="240">
        <v>57</v>
      </c>
      <c r="P9" s="240">
        <v>3076</v>
      </c>
      <c r="Q9" s="240">
        <f t="shared" si="1"/>
        <v>53.964912280701753</v>
      </c>
      <c r="S9" s="240">
        <v>86</v>
      </c>
      <c r="T9" s="240">
        <v>4770</v>
      </c>
      <c r="U9" s="207">
        <f t="shared" si="2"/>
        <v>55.465116279069768</v>
      </c>
      <c r="W9" s="240">
        <v>58</v>
      </c>
      <c r="X9" s="240">
        <v>6370</v>
      </c>
      <c r="Y9" s="207">
        <f t="shared" si="3"/>
        <v>109.82758620689656</v>
      </c>
      <c r="AA9">
        <v>1626</v>
      </c>
    </row>
    <row r="10" spans="6:27" x14ac:dyDescent="0.25">
      <c r="F10" t="s">
        <v>253</v>
      </c>
      <c r="G10" s="240">
        <v>43</v>
      </c>
      <c r="H10" s="240">
        <v>8109</v>
      </c>
      <c r="I10" s="243">
        <f t="shared" si="0"/>
        <v>188.58139534883722</v>
      </c>
      <c r="K10">
        <v>46.274999999999999</v>
      </c>
      <c r="L10" s="240">
        <v>7400.86</v>
      </c>
      <c r="M10" s="207">
        <f>L10/K10</f>
        <v>159.93214478660184</v>
      </c>
      <c r="O10" s="240">
        <v>43</v>
      </c>
      <c r="P10" s="240">
        <v>8109</v>
      </c>
      <c r="Q10" s="243">
        <f t="shared" si="1"/>
        <v>188.58139534883722</v>
      </c>
      <c r="S10" s="240">
        <v>62</v>
      </c>
      <c r="T10" s="240">
        <v>13307</v>
      </c>
      <c r="U10" s="207">
        <f t="shared" si="2"/>
        <v>214.62903225806451</v>
      </c>
      <c r="W10" s="240">
        <v>81</v>
      </c>
      <c r="X10" s="240">
        <v>9645</v>
      </c>
      <c r="Y10" s="207">
        <f t="shared" si="3"/>
        <v>119.07407407407408</v>
      </c>
      <c r="AA10">
        <f>AA8-AA9</f>
        <v>1641.9</v>
      </c>
    </row>
    <row r="11" spans="6:27" x14ac:dyDescent="0.25">
      <c r="F11" t="s">
        <v>162</v>
      </c>
      <c r="G11" s="240"/>
      <c r="H11" s="240"/>
      <c r="I11" s="240"/>
      <c r="L11" s="240"/>
      <c r="M11" s="207"/>
      <c r="O11" s="240"/>
      <c r="P11" s="240"/>
      <c r="Q11" s="240"/>
      <c r="S11" s="240"/>
      <c r="T11" s="240"/>
      <c r="U11" s="207"/>
      <c r="W11" s="240">
        <v>5</v>
      </c>
      <c r="X11" s="240">
        <v>957</v>
      </c>
      <c r="Y11" s="207">
        <f t="shared" si="3"/>
        <v>191.4</v>
      </c>
    </row>
    <row r="12" spans="6:27" x14ac:dyDescent="0.25">
      <c r="S12" s="240"/>
      <c r="T12" s="240"/>
      <c r="U12" s="240"/>
      <c r="W12" s="240"/>
      <c r="X12" s="240"/>
      <c r="Y12" s="240"/>
    </row>
    <row r="13" spans="6:27" x14ac:dyDescent="0.25">
      <c r="F13" t="s">
        <v>264</v>
      </c>
      <c r="S13" s="240"/>
      <c r="T13" s="240"/>
      <c r="U13" s="240"/>
      <c r="W13" s="240"/>
      <c r="X13" s="240"/>
      <c r="Y13" s="240"/>
    </row>
    <row r="14" spans="6:27" x14ac:dyDescent="0.25">
      <c r="F14" t="s">
        <v>265</v>
      </c>
      <c r="G14" s="240">
        <v>41</v>
      </c>
      <c r="H14" s="240">
        <v>7828.5384309719338</v>
      </c>
      <c r="I14" s="243">
        <f t="shared" ref="I14:I17" si="4">H14/G14</f>
        <v>190.93996173102278</v>
      </c>
      <c r="K14" s="240">
        <v>15.83625</v>
      </c>
      <c r="L14" s="240">
        <v>2597.4820057037341</v>
      </c>
      <c r="M14" s="207">
        <f t="shared" ref="M14:M18" si="5">L14/K14</f>
        <v>164.0212806506423</v>
      </c>
      <c r="O14" s="240">
        <v>41</v>
      </c>
      <c r="P14" s="252">
        <v>9126.95652173913</v>
      </c>
      <c r="Q14" s="243">
        <f t="shared" ref="Q14" si="6">P14/O14</f>
        <v>222.60869565217391</v>
      </c>
      <c r="S14" s="240">
        <v>34</v>
      </c>
      <c r="T14" s="240">
        <v>8224</v>
      </c>
      <c r="U14" s="207">
        <f t="shared" ref="U14:U18" si="7">T14/S14</f>
        <v>241.88235294117646</v>
      </c>
      <c r="W14" s="240">
        <v>23</v>
      </c>
      <c r="X14" s="240">
        <v>5120</v>
      </c>
      <c r="Y14" s="207">
        <f t="shared" ref="Y14:Y17" si="8">X14/W14</f>
        <v>222.60869565217391</v>
      </c>
      <c r="AA14" s="240">
        <f>G14*Y14</f>
        <v>9126.95652173913</v>
      </c>
    </row>
    <row r="15" spans="6:27" x14ac:dyDescent="0.25">
      <c r="F15" t="s">
        <v>266</v>
      </c>
      <c r="G15" s="240">
        <v>323</v>
      </c>
      <c r="H15" s="240">
        <v>25992</v>
      </c>
      <c r="I15" s="243">
        <f>H15/G15</f>
        <v>80.470588235294116</v>
      </c>
      <c r="K15" s="240">
        <v>103.27500000000001</v>
      </c>
      <c r="L15" s="240">
        <v>12256.437064622629</v>
      </c>
      <c r="M15" s="207">
        <f t="shared" si="5"/>
        <v>118.67767673321354</v>
      </c>
      <c r="O15" s="240">
        <v>323</v>
      </c>
      <c r="P15" s="252">
        <v>45967.878136200714</v>
      </c>
      <c r="Q15" s="253">
        <f>P15/O15</f>
        <v>142.31541218637992</v>
      </c>
      <c r="S15" s="240">
        <v>279</v>
      </c>
      <c r="T15" s="240">
        <v>39706</v>
      </c>
      <c r="U15" s="207">
        <f t="shared" si="7"/>
        <v>142.31541218637992</v>
      </c>
      <c r="W15" s="240">
        <v>143</v>
      </c>
      <c r="X15" s="240">
        <v>21159</v>
      </c>
      <c r="Y15" s="207">
        <f t="shared" si="8"/>
        <v>147.96503496503496</v>
      </c>
      <c r="AA15" s="240">
        <v>7275</v>
      </c>
    </row>
    <row r="16" spans="6:27" x14ac:dyDescent="0.25">
      <c r="F16" t="s">
        <v>267</v>
      </c>
      <c r="G16" s="240">
        <v>106</v>
      </c>
      <c r="H16" s="240">
        <v>19610</v>
      </c>
      <c r="I16" s="240">
        <f t="shared" si="4"/>
        <v>185</v>
      </c>
      <c r="K16" s="240">
        <v>20.024999999999999</v>
      </c>
      <c r="L16" s="240">
        <v>3257.1142689745761</v>
      </c>
      <c r="M16" s="207">
        <f t="shared" si="5"/>
        <v>162.65239795128971</v>
      </c>
      <c r="O16" s="240">
        <v>106</v>
      </c>
      <c r="P16" s="240">
        <v>19610</v>
      </c>
      <c r="Q16" s="240">
        <f t="shared" ref="Q16:Q17" si="9">P16/O16</f>
        <v>185</v>
      </c>
      <c r="S16" s="240">
        <v>57</v>
      </c>
      <c r="T16" s="240">
        <v>9694</v>
      </c>
      <c r="U16" s="207">
        <f t="shared" si="7"/>
        <v>170.07017543859649</v>
      </c>
      <c r="W16" s="240">
        <v>34</v>
      </c>
      <c r="X16" s="240">
        <v>8366</v>
      </c>
      <c r="Y16" s="207">
        <f t="shared" si="8"/>
        <v>246.05882352941177</v>
      </c>
      <c r="AA16" s="240">
        <f>AA14-AA15</f>
        <v>1851.95652173913</v>
      </c>
    </row>
    <row r="17" spans="6:25" x14ac:dyDescent="0.25">
      <c r="F17" t="s">
        <v>269</v>
      </c>
      <c r="G17" s="240">
        <v>16</v>
      </c>
      <c r="H17" s="240">
        <v>3496</v>
      </c>
      <c r="I17" s="240">
        <f t="shared" si="4"/>
        <v>218.5</v>
      </c>
      <c r="K17" s="240">
        <v>18.899999999999999</v>
      </c>
      <c r="L17" s="240">
        <v>4020.7087481443514</v>
      </c>
      <c r="M17" s="207">
        <f t="shared" si="5"/>
        <v>212.73591260023025</v>
      </c>
      <c r="O17" s="240">
        <v>16</v>
      </c>
      <c r="P17" s="240">
        <v>3496</v>
      </c>
      <c r="Q17" s="240">
        <f t="shared" si="9"/>
        <v>218.5</v>
      </c>
      <c r="S17" s="240"/>
      <c r="T17" s="240"/>
      <c r="U17" s="240"/>
      <c r="W17" s="240">
        <v>24</v>
      </c>
      <c r="X17" s="240">
        <v>3089</v>
      </c>
      <c r="Y17" s="207">
        <f t="shared" si="8"/>
        <v>128.70833333333334</v>
      </c>
    </row>
    <row r="18" spans="6:25" x14ac:dyDescent="0.25">
      <c r="F18" t="s">
        <v>565</v>
      </c>
      <c r="K18">
        <v>12.795000000000002</v>
      </c>
      <c r="L18" s="240">
        <v>1031.5297024694032</v>
      </c>
      <c r="M18" s="207">
        <f t="shared" si="5"/>
        <v>80.61975009530309</v>
      </c>
      <c r="S18" s="240">
        <v>4</v>
      </c>
      <c r="T18" s="240">
        <v>540</v>
      </c>
      <c r="U18" s="207">
        <f t="shared" si="7"/>
        <v>135</v>
      </c>
      <c r="W18" s="240">
        <v>4</v>
      </c>
      <c r="X18" s="240">
        <v>783</v>
      </c>
      <c r="Y18" s="207">
        <f t="shared" ref="Y18" si="10">X18/W18</f>
        <v>195.75</v>
      </c>
    </row>
    <row r="19" spans="6:25" x14ac:dyDescent="0.25">
      <c r="U19" s="207">
        <f>K18*U18</f>
        <v>1727.3250000000003</v>
      </c>
      <c r="Y19" s="207">
        <f>S18*Y18</f>
        <v>783</v>
      </c>
    </row>
    <row r="20" spans="6:25" x14ac:dyDescent="0.25">
      <c r="I20" s="240"/>
      <c r="M20" s="207">
        <f>K14*I14</f>
        <v>3023.7729689629095</v>
      </c>
      <c r="Q20" s="240"/>
    </row>
    <row r="21" spans="6:25" x14ac:dyDescent="0.25">
      <c r="K21">
        <v>29.400000000000002</v>
      </c>
      <c r="L21">
        <v>3904.0005384605124</v>
      </c>
      <c r="M21" s="207">
        <f t="shared" ref="M21" si="11">L21/K21</f>
        <v>132.7891339612419</v>
      </c>
      <c r="U21">
        <f>K16*U16</f>
        <v>3405.6552631578948</v>
      </c>
      <c r="Y21">
        <f>S16*Y16</f>
        <v>14025.35294117647</v>
      </c>
    </row>
    <row r="23" spans="6:25" x14ac:dyDescent="0.25">
      <c r="F23" s="209" t="s">
        <v>566</v>
      </c>
      <c r="G23" s="209"/>
      <c r="H23" s="209"/>
      <c r="I23" s="209"/>
      <c r="J23" s="209"/>
      <c r="K23" s="241">
        <v>7</v>
      </c>
      <c r="L23" s="241">
        <v>1626.3150980020096</v>
      </c>
      <c r="M23" s="241">
        <f t="shared" ref="M23" si="12">L23/K23</f>
        <v>232.33072828600137</v>
      </c>
      <c r="O23" s="209"/>
      <c r="P23" s="209"/>
      <c r="Q23" s="209"/>
      <c r="R23" s="209"/>
    </row>
    <row r="24" spans="6:25" x14ac:dyDescent="0.25">
      <c r="F24" s="209"/>
      <c r="G24" s="209"/>
      <c r="H24" s="209"/>
      <c r="I24" s="209"/>
      <c r="J24" s="209"/>
      <c r="K24" s="209"/>
      <c r="L24" s="241">
        <f>K23*U16</f>
        <v>1190.4912280701756</v>
      </c>
      <c r="M24" s="209"/>
      <c r="O24" s="209"/>
      <c r="P24" s="209"/>
      <c r="Q24" s="209"/>
      <c r="R24" s="209"/>
    </row>
    <row r="25" spans="6:25" x14ac:dyDescent="0.25">
      <c r="K25" s="241">
        <v>4</v>
      </c>
      <c r="L25" s="241">
        <f>K25*U16</f>
        <v>680.28070175438597</v>
      </c>
      <c r="M25" s="241"/>
    </row>
    <row r="26" spans="6:25" x14ac:dyDescent="0.25">
      <c r="F26" t="s">
        <v>230</v>
      </c>
      <c r="S26" s="240">
        <v>720.4</v>
      </c>
      <c r="T26" t="s">
        <v>575</v>
      </c>
    </row>
    <row r="27" spans="6:25" x14ac:dyDescent="0.25">
      <c r="F27" t="s">
        <v>575</v>
      </c>
      <c r="G27">
        <f>562.6*0.2</f>
        <v>112.52000000000001</v>
      </c>
      <c r="O27">
        <f>562.6*0.2</f>
        <v>112.52000000000001</v>
      </c>
      <c r="S27" s="240">
        <v>375.3</v>
      </c>
      <c r="T27" t="s">
        <v>577</v>
      </c>
    </row>
    <row r="28" spans="6:25" x14ac:dyDescent="0.25">
      <c r="G28">
        <f>34.3*0.18</f>
        <v>6.1739999999999995</v>
      </c>
      <c r="O28">
        <f>34.3*0.18</f>
        <v>6.1739999999999995</v>
      </c>
      <c r="S28" s="207">
        <f>S26+S27</f>
        <v>1095.7</v>
      </c>
      <c r="T28" t="s">
        <v>578</v>
      </c>
    </row>
    <row r="29" spans="6:25" x14ac:dyDescent="0.25">
      <c r="F29" t="s">
        <v>576</v>
      </c>
      <c r="G29">
        <f>126.7*0.22</f>
        <v>27.874000000000002</v>
      </c>
      <c r="O29">
        <f>126.7*0.22</f>
        <v>27.874000000000002</v>
      </c>
      <c r="S29" s="240">
        <f>T15/S28</f>
        <v>36.238021356210638</v>
      </c>
    </row>
    <row r="30" spans="6:25" x14ac:dyDescent="0.25">
      <c r="G30" s="102">
        <f>SUM(G27:G29)</f>
        <v>146.56800000000001</v>
      </c>
      <c r="H30" s="207">
        <f>G30*Y15</f>
        <v>21686.939244755245</v>
      </c>
      <c r="O30" s="102">
        <f>SUM(O27:O29)</f>
        <v>146.56800000000001</v>
      </c>
      <c r="P30" s="207">
        <f>O30*AG15</f>
        <v>0</v>
      </c>
    </row>
    <row r="32" spans="6:25" x14ac:dyDescent="0.25">
      <c r="F32" t="s">
        <v>44</v>
      </c>
    </row>
    <row r="33" spans="6:15" x14ac:dyDescent="0.25">
      <c r="F33" t="s">
        <v>575</v>
      </c>
      <c r="G33">
        <f>565.5+34.5</f>
        <v>600</v>
      </c>
      <c r="O33">
        <f>565.5+34.5</f>
        <v>600</v>
      </c>
    </row>
    <row r="34" spans="6:15" x14ac:dyDescent="0.25">
      <c r="F34" t="s">
        <v>577</v>
      </c>
      <c r="G34">
        <f>181.1+145+199</f>
        <v>525.1</v>
      </c>
      <c r="O34">
        <f>181.1+145+199</f>
        <v>525.1</v>
      </c>
    </row>
    <row r="35" spans="6:15" x14ac:dyDescent="0.25">
      <c r="F35" t="s">
        <v>580</v>
      </c>
      <c r="G35">
        <v>126.7</v>
      </c>
      <c r="O35">
        <v>126.7</v>
      </c>
    </row>
    <row r="36" spans="6:15" x14ac:dyDescent="0.25">
      <c r="F36" t="s">
        <v>581</v>
      </c>
      <c r="G36">
        <f>SUM(G33:G35)</f>
        <v>1251.8</v>
      </c>
      <c r="O36">
        <f>SUM(O33:O35)</f>
        <v>1251.8</v>
      </c>
    </row>
    <row r="37" spans="6:15" x14ac:dyDescent="0.25">
      <c r="F37" s="102" t="s">
        <v>582</v>
      </c>
      <c r="G37" s="251">
        <f>H15/G36</f>
        <v>20.763700271608883</v>
      </c>
      <c r="O37" s="251">
        <f>P15/O36</f>
        <v>36.721423658891766</v>
      </c>
    </row>
    <row r="39" spans="6:15" x14ac:dyDescent="0.25">
      <c r="G39" s="207">
        <f>G36*S29</f>
        <v>45362.755133704472</v>
      </c>
      <c r="O39" s="207">
        <f>O36*AA29</f>
        <v>0</v>
      </c>
    </row>
    <row r="40" spans="6:15" x14ac:dyDescent="0.25">
      <c r="G40">
        <f>G15*U15</f>
        <v>45967.878136200714</v>
      </c>
      <c r="O40">
        <f>O15*AC15</f>
        <v>0</v>
      </c>
    </row>
    <row r="41" spans="6:15" x14ac:dyDescent="0.25">
      <c r="G41" s="240">
        <v>25992</v>
      </c>
      <c r="O41" s="240">
        <v>25992</v>
      </c>
    </row>
    <row r="42" spans="6:15" x14ac:dyDescent="0.25">
      <c r="G42" s="207">
        <f>G40-G41</f>
        <v>19975.878136200714</v>
      </c>
      <c r="O42" s="207">
        <f>O40-O41</f>
        <v>-25992</v>
      </c>
    </row>
  </sheetData>
  <mergeCells count="5">
    <mergeCell ref="G4:I4"/>
    <mergeCell ref="K4:M4"/>
    <mergeCell ref="S4:U4"/>
    <mergeCell ref="W4:Y4"/>
    <mergeCell ref="O4:Q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C180-6D9F-46A6-BD93-584167D20BB6}">
  <sheetPr>
    <tabColor rgb="FFFF0000"/>
  </sheetPr>
  <dimension ref="A2:U114"/>
  <sheetViews>
    <sheetView zoomScale="70" zoomScaleNormal="70" workbookViewId="0">
      <pane ySplit="8" topLeftCell="A65" activePane="bottomLeft" state="frozen"/>
      <selection activeCell="Q22" sqref="Q22"/>
      <selection pane="bottomLeft" activeCell="X69" sqref="X69"/>
    </sheetView>
  </sheetViews>
  <sheetFormatPr defaultRowHeight="15" outlineLevelCol="1" x14ac:dyDescent="0.25"/>
  <cols>
    <col min="2" max="2" width="15.42578125" customWidth="1"/>
    <col min="4" max="4" width="22.140625" customWidth="1"/>
    <col min="5" max="5" width="35" customWidth="1"/>
    <col min="6" max="6" width="7.28515625" customWidth="1"/>
    <col min="8" max="8" width="10.140625" customWidth="1"/>
    <col min="9" max="9" width="12.42578125" customWidth="1"/>
    <col min="10" max="10" width="13" customWidth="1"/>
    <col min="11" max="11" width="11.7109375" hidden="1" customWidth="1" outlineLevel="1"/>
    <col min="12" max="12" width="13.140625" hidden="1" customWidth="1" outlineLevel="1"/>
    <col min="13" max="13" width="12.28515625" hidden="1" customWidth="1" outlineLevel="1"/>
    <col min="14" max="14" width="13.42578125" hidden="1" customWidth="1" outlineLevel="1"/>
    <col min="15" max="16" width="16.140625" hidden="1" customWidth="1" outlineLevel="1"/>
    <col min="17" max="17" width="26.28515625" customWidth="1" collapsed="1"/>
    <col min="18" max="18" width="20.42578125" customWidth="1"/>
    <col min="20" max="20" width="20.28515625" style="177" customWidth="1"/>
    <col min="21" max="21" width="29" customWidth="1"/>
  </cols>
  <sheetData>
    <row r="2" spans="1:20" s="6" customFormat="1" ht="15.75" x14ac:dyDescent="0.25">
      <c r="A2" s="23" t="s">
        <v>8</v>
      </c>
      <c r="B2" s="2" t="s">
        <v>102</v>
      </c>
      <c r="T2" s="174"/>
    </row>
    <row r="3" spans="1:20" s="6" customFormat="1" ht="15.75" x14ac:dyDescent="0.25">
      <c r="A3" s="24" t="s">
        <v>9</v>
      </c>
      <c r="B3" s="2" t="s">
        <v>96</v>
      </c>
      <c r="T3" s="174"/>
    </row>
    <row r="4" spans="1:20" s="6" customFormat="1" ht="15.75" x14ac:dyDescent="0.25">
      <c r="A4" s="24" t="s">
        <v>10</v>
      </c>
      <c r="B4" s="2" t="s">
        <v>11</v>
      </c>
      <c r="T4" s="174"/>
    </row>
    <row r="5" spans="1:20" s="6" customFormat="1" ht="15.75" x14ac:dyDescent="0.25">
      <c r="A5" s="24" t="s">
        <v>12</v>
      </c>
      <c r="B5" s="2" t="s">
        <v>13</v>
      </c>
      <c r="T5" s="174"/>
    </row>
    <row r="6" spans="1:20" s="6" customFormat="1" ht="27.75" customHeight="1" x14ac:dyDescent="0.25">
      <c r="A6" s="95" t="s">
        <v>319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174"/>
    </row>
    <row r="7" spans="1:20" s="6" customFormat="1" ht="12.75" x14ac:dyDescent="0.25">
      <c r="T7" s="174"/>
    </row>
    <row r="8" spans="1:20" s="31" customFormat="1" ht="25.5" x14ac:dyDescent="0.25">
      <c r="A8" s="29" t="s">
        <v>36</v>
      </c>
      <c r="B8" s="29" t="s">
        <v>37</v>
      </c>
      <c r="C8" s="29" t="s">
        <v>38</v>
      </c>
      <c r="D8" s="29" t="s">
        <v>39</v>
      </c>
      <c r="E8" s="29" t="s">
        <v>16</v>
      </c>
      <c r="F8" s="29" t="s">
        <v>40</v>
      </c>
      <c r="G8" s="29" t="s">
        <v>41</v>
      </c>
      <c r="H8" s="29" t="s">
        <v>42</v>
      </c>
      <c r="I8" s="29" t="s">
        <v>346</v>
      </c>
      <c r="J8" s="30" t="s">
        <v>44</v>
      </c>
      <c r="K8" s="30" t="s">
        <v>67</v>
      </c>
      <c r="L8" s="30" t="s">
        <v>68</v>
      </c>
      <c r="M8" s="30" t="s">
        <v>69</v>
      </c>
      <c r="N8" s="30" t="s">
        <v>70</v>
      </c>
      <c r="O8" s="64" t="s">
        <v>71</v>
      </c>
      <c r="P8" s="64" t="s">
        <v>72</v>
      </c>
      <c r="Q8" s="29"/>
      <c r="R8" s="29"/>
      <c r="S8" s="29" t="s">
        <v>47</v>
      </c>
      <c r="T8" s="175"/>
    </row>
    <row r="9" spans="1:20" s="31" customFormat="1" ht="20.25" customHeight="1" x14ac:dyDescent="0.25">
      <c r="A9" s="32"/>
      <c r="B9" s="32"/>
      <c r="C9" s="32"/>
      <c r="D9" s="32"/>
      <c r="E9" s="32"/>
      <c r="F9" s="32"/>
      <c r="G9" s="29" t="s">
        <v>48</v>
      </c>
      <c r="H9" s="29" t="s">
        <v>48</v>
      </c>
      <c r="I9" s="29" t="s">
        <v>48</v>
      </c>
      <c r="J9" s="29" t="s">
        <v>49</v>
      </c>
      <c r="K9" s="29" t="s">
        <v>50</v>
      </c>
      <c r="L9" s="29" t="s">
        <v>49</v>
      </c>
      <c r="M9" s="29" t="s">
        <v>49</v>
      </c>
      <c r="N9" s="29" t="s">
        <v>49</v>
      </c>
      <c r="O9" s="65" t="s">
        <v>49</v>
      </c>
      <c r="P9" s="65" t="s">
        <v>49</v>
      </c>
      <c r="Q9" s="32"/>
      <c r="R9" s="32"/>
      <c r="S9" s="32"/>
      <c r="T9" s="175"/>
    </row>
    <row r="10" spans="1:20" s="6" customFormat="1" ht="3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66"/>
      <c r="P10" s="66"/>
      <c r="Q10" s="33"/>
      <c r="R10" s="33"/>
      <c r="S10" s="33"/>
      <c r="T10" s="174"/>
    </row>
    <row r="11" spans="1:20" s="6" customFormat="1" ht="11.25" customHeight="1" x14ac:dyDescent="0.25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76"/>
    </row>
    <row r="12" spans="1:20" s="4" customFormat="1" ht="20.25" customHeight="1" x14ac:dyDescent="0.25">
      <c r="A12" s="69" t="s">
        <v>79</v>
      </c>
      <c r="B12" s="272" t="s">
        <v>320</v>
      </c>
      <c r="C12" s="273"/>
      <c r="D12" s="273"/>
      <c r="E12" s="274"/>
      <c r="F12" s="70"/>
      <c r="G12" s="70"/>
      <c r="H12" s="70"/>
      <c r="I12" s="70"/>
      <c r="J12" s="71"/>
      <c r="K12" s="71" t="e">
        <f>#REF!</f>
        <v>#REF!</v>
      </c>
      <c r="L12" s="71" t="e">
        <f>#REF!</f>
        <v>#REF!</v>
      </c>
      <c r="M12" s="71" t="e">
        <f>#REF!</f>
        <v>#REF!</v>
      </c>
      <c r="N12" s="71" t="e">
        <f>#REF!</f>
        <v>#REF!</v>
      </c>
      <c r="O12" s="71" t="e">
        <f>#REF!</f>
        <v>#REF!</v>
      </c>
      <c r="P12" s="71" t="e">
        <f>#REF!</f>
        <v>#REF!</v>
      </c>
      <c r="Q12" s="36"/>
      <c r="R12" s="36"/>
      <c r="S12" s="36"/>
      <c r="T12" s="174"/>
    </row>
    <row r="13" spans="1:20" s="4" customFormat="1" ht="22.5" customHeight="1" x14ac:dyDescent="0.25">
      <c r="A13" s="36"/>
      <c r="B13" s="290" t="s">
        <v>325</v>
      </c>
      <c r="C13" s="291"/>
      <c r="D13" s="291"/>
      <c r="E13" s="292"/>
      <c r="F13" s="45"/>
      <c r="G13" s="45"/>
      <c r="H13" s="45"/>
      <c r="I13" s="37"/>
      <c r="J13" s="73"/>
      <c r="K13" s="74"/>
      <c r="L13" s="81"/>
      <c r="M13" s="82"/>
      <c r="N13" s="82"/>
      <c r="O13" s="87"/>
      <c r="P13" s="87"/>
      <c r="Q13" s="60"/>
      <c r="R13" s="60"/>
      <c r="S13" s="60"/>
      <c r="T13" s="174"/>
    </row>
    <row r="14" spans="1:20" s="4" customFormat="1" ht="22.5" customHeight="1" x14ac:dyDescent="0.25">
      <c r="A14" s="36">
        <v>1</v>
      </c>
      <c r="B14" s="39" t="s">
        <v>321</v>
      </c>
      <c r="C14" s="36" t="s">
        <v>52</v>
      </c>
      <c r="D14" s="39" t="s">
        <v>322</v>
      </c>
      <c r="E14" s="63" t="s">
        <v>323</v>
      </c>
      <c r="F14" s="45">
        <v>1</v>
      </c>
      <c r="G14" s="45">
        <v>110.6</v>
      </c>
      <c r="H14" s="45"/>
      <c r="I14" s="37">
        <v>1.9</v>
      </c>
      <c r="J14" s="73">
        <f>G14*I14</f>
        <v>210.14</v>
      </c>
      <c r="K14" s="74"/>
      <c r="L14" s="81"/>
      <c r="M14" s="82"/>
      <c r="N14" s="82"/>
      <c r="O14" s="87"/>
      <c r="P14" s="87"/>
      <c r="Q14" s="63" t="s">
        <v>323</v>
      </c>
      <c r="R14" s="60"/>
      <c r="S14" s="60"/>
      <c r="T14" s="174"/>
    </row>
    <row r="15" spans="1:20" s="4" customFormat="1" ht="18" customHeight="1" x14ac:dyDescent="0.25">
      <c r="A15" s="98"/>
      <c r="B15" s="99"/>
      <c r="C15" s="99"/>
      <c r="D15" s="39" t="s">
        <v>322</v>
      </c>
      <c r="E15" s="63" t="s">
        <v>326</v>
      </c>
      <c r="F15" s="45">
        <v>1</v>
      </c>
      <c r="G15" s="45">
        <v>8.61</v>
      </c>
      <c r="H15" s="45"/>
      <c r="I15" s="97">
        <v>2.6</v>
      </c>
      <c r="J15" s="73">
        <f>G15*I15</f>
        <v>22.385999999999999</v>
      </c>
      <c r="K15" s="74">
        <f>J15*I15</f>
        <v>58.203600000000002</v>
      </c>
      <c r="L15" s="75">
        <f t="shared" ref="L15:L112" si="0">F15*2*(G15+H15)*I15</f>
        <v>44.771999999999998</v>
      </c>
      <c r="M15" s="82"/>
      <c r="N15" s="76">
        <f t="shared" ref="N15:N112" si="1">L15</f>
        <v>44.771999999999998</v>
      </c>
      <c r="O15" s="77">
        <f t="shared" ref="O15:O112" si="2">J15</f>
        <v>22.385999999999999</v>
      </c>
      <c r="P15" s="77">
        <f t="shared" ref="P15:P112" si="3">L15</f>
        <v>44.771999999999998</v>
      </c>
      <c r="Q15" s="63" t="s">
        <v>326</v>
      </c>
      <c r="R15" s="60"/>
      <c r="S15" s="60"/>
      <c r="T15" s="174"/>
    </row>
    <row r="16" spans="1:20" s="4" customFormat="1" ht="18" customHeight="1" x14ac:dyDescent="0.25">
      <c r="A16" s="98"/>
      <c r="B16" s="99"/>
      <c r="C16" s="99"/>
      <c r="D16" s="278" t="s">
        <v>327</v>
      </c>
      <c r="E16" s="63" t="s">
        <v>326</v>
      </c>
      <c r="F16" s="45">
        <v>1</v>
      </c>
      <c r="G16" s="45">
        <f>5.69+4.27+4.3+5.7</f>
        <v>19.96</v>
      </c>
      <c r="H16" s="45"/>
      <c r="I16" s="97">
        <v>2.9</v>
      </c>
      <c r="J16" s="73">
        <f>G16*I16</f>
        <v>57.884</v>
      </c>
      <c r="K16" s="74">
        <f t="shared" ref="K16:K112" si="4">J16*I16</f>
        <v>167.86359999999999</v>
      </c>
      <c r="L16" s="75">
        <f t="shared" si="0"/>
        <v>115.768</v>
      </c>
      <c r="M16" s="82"/>
      <c r="N16" s="76">
        <f t="shared" si="1"/>
        <v>115.768</v>
      </c>
      <c r="O16" s="77">
        <f t="shared" si="2"/>
        <v>57.884</v>
      </c>
      <c r="P16" s="77">
        <f t="shared" si="3"/>
        <v>115.768</v>
      </c>
      <c r="Q16" s="63" t="s">
        <v>326</v>
      </c>
      <c r="R16" s="60"/>
      <c r="S16" s="60"/>
      <c r="T16" s="174"/>
    </row>
    <row r="17" spans="1:21" s="4" customFormat="1" ht="18" customHeight="1" x14ac:dyDescent="0.25">
      <c r="A17" s="98"/>
      <c r="B17" s="99"/>
      <c r="C17" s="99"/>
      <c r="D17" s="280"/>
      <c r="E17" s="63" t="s">
        <v>335</v>
      </c>
      <c r="F17" s="45">
        <v>1</v>
      </c>
      <c r="G17" s="45"/>
      <c r="H17" s="45">
        <v>1.2</v>
      </c>
      <c r="I17" s="97">
        <v>2.6</v>
      </c>
      <c r="J17" s="73">
        <f>F17*I17*-1*H17</f>
        <v>-3.12</v>
      </c>
      <c r="K17" s="74">
        <f t="shared" ref="K17:K20" si="5">J17*I17</f>
        <v>-8.1120000000000001</v>
      </c>
      <c r="L17" s="75">
        <f t="shared" ref="L17:L20" si="6">F17*2*(G17+H17)*I17</f>
        <v>6.24</v>
      </c>
      <c r="M17" s="82"/>
      <c r="N17" s="76">
        <f t="shared" ref="N17:N20" si="7">L17</f>
        <v>6.24</v>
      </c>
      <c r="O17" s="77">
        <f t="shared" ref="O17:O20" si="8">J17</f>
        <v>-3.12</v>
      </c>
      <c r="P17" s="77">
        <f t="shared" ref="P17:P20" si="9">L17</f>
        <v>6.24</v>
      </c>
      <c r="Q17" s="63" t="s">
        <v>326</v>
      </c>
      <c r="R17" s="60"/>
      <c r="S17" s="60"/>
      <c r="T17" s="174" t="s">
        <v>328</v>
      </c>
      <c r="U17" s="4" t="s">
        <v>344</v>
      </c>
    </row>
    <row r="18" spans="1:21" s="4" customFormat="1" ht="18" customHeight="1" x14ac:dyDescent="0.25">
      <c r="A18" s="98"/>
      <c r="B18" s="99"/>
      <c r="C18" s="99"/>
      <c r="D18" s="293" t="s">
        <v>329</v>
      </c>
      <c r="E18" s="63" t="s">
        <v>330</v>
      </c>
      <c r="F18" s="45">
        <v>1</v>
      </c>
      <c r="G18" s="45">
        <v>4.9000000000000004</v>
      </c>
      <c r="H18" s="45"/>
      <c r="I18" s="97">
        <v>2.95</v>
      </c>
      <c r="J18" s="73">
        <f>G18*I18</f>
        <v>14.455000000000002</v>
      </c>
      <c r="K18" s="74">
        <f t="shared" si="5"/>
        <v>42.642250000000011</v>
      </c>
      <c r="L18" s="75">
        <f t="shared" si="6"/>
        <v>28.910000000000004</v>
      </c>
      <c r="M18" s="82"/>
      <c r="N18" s="76">
        <f t="shared" si="7"/>
        <v>28.910000000000004</v>
      </c>
      <c r="O18" s="77">
        <f t="shared" si="8"/>
        <v>14.455000000000002</v>
      </c>
      <c r="P18" s="77">
        <f t="shared" si="9"/>
        <v>28.910000000000004</v>
      </c>
      <c r="Q18" s="60" t="s">
        <v>330</v>
      </c>
      <c r="R18" s="60"/>
      <c r="S18" s="60"/>
      <c r="T18" s="174" t="s">
        <v>331</v>
      </c>
    </row>
    <row r="19" spans="1:21" s="4" customFormat="1" ht="18" customHeight="1" x14ac:dyDescent="0.25">
      <c r="A19" s="98"/>
      <c r="B19" s="99"/>
      <c r="C19" s="99"/>
      <c r="D19" s="294"/>
      <c r="E19" s="63" t="s">
        <v>330</v>
      </c>
      <c r="F19" s="45">
        <v>1</v>
      </c>
      <c r="G19" s="45">
        <v>5.2</v>
      </c>
      <c r="H19" s="45"/>
      <c r="I19" s="97">
        <v>3.5</v>
      </c>
      <c r="J19" s="73">
        <f>G19*I19</f>
        <v>18.2</v>
      </c>
      <c r="K19" s="74">
        <f t="shared" si="5"/>
        <v>63.699999999999996</v>
      </c>
      <c r="L19" s="75">
        <f t="shared" si="6"/>
        <v>36.4</v>
      </c>
      <c r="M19" s="82"/>
      <c r="N19" s="76">
        <f t="shared" si="7"/>
        <v>36.4</v>
      </c>
      <c r="O19" s="77">
        <f t="shared" si="8"/>
        <v>18.2</v>
      </c>
      <c r="P19" s="77">
        <f t="shared" si="9"/>
        <v>36.4</v>
      </c>
      <c r="Q19" s="60" t="s">
        <v>330</v>
      </c>
      <c r="R19" s="60"/>
      <c r="S19" s="60"/>
      <c r="T19" s="174" t="s">
        <v>332</v>
      </c>
    </row>
    <row r="20" spans="1:21" s="4" customFormat="1" ht="18" customHeight="1" x14ac:dyDescent="0.25">
      <c r="A20" s="98"/>
      <c r="B20" s="99"/>
      <c r="C20" s="99"/>
      <c r="D20" s="294"/>
      <c r="E20" s="63" t="s">
        <v>333</v>
      </c>
      <c r="F20" s="45">
        <v>1</v>
      </c>
      <c r="G20" s="45">
        <v>5.2</v>
      </c>
      <c r="H20" s="45"/>
      <c r="I20" s="97">
        <v>0.45</v>
      </c>
      <c r="J20" s="73">
        <f>G20*I20</f>
        <v>2.3400000000000003</v>
      </c>
      <c r="K20" s="74">
        <f t="shared" si="5"/>
        <v>1.0530000000000002</v>
      </c>
      <c r="L20" s="75">
        <f t="shared" si="6"/>
        <v>4.6800000000000006</v>
      </c>
      <c r="M20" s="82"/>
      <c r="N20" s="76">
        <f t="shared" si="7"/>
        <v>4.6800000000000006</v>
      </c>
      <c r="O20" s="77">
        <f t="shared" si="8"/>
        <v>2.3400000000000003</v>
      </c>
      <c r="P20" s="77">
        <f t="shared" si="9"/>
        <v>4.6800000000000006</v>
      </c>
      <c r="Q20" s="60" t="s">
        <v>333</v>
      </c>
      <c r="R20" s="60"/>
      <c r="S20" s="60"/>
      <c r="T20" s="174" t="s">
        <v>332</v>
      </c>
    </row>
    <row r="21" spans="1:21" s="4" customFormat="1" ht="18" customHeight="1" x14ac:dyDescent="0.25">
      <c r="A21" s="98"/>
      <c r="B21" s="99"/>
      <c r="C21" s="99"/>
      <c r="D21" s="294"/>
      <c r="E21" s="63" t="s">
        <v>330</v>
      </c>
      <c r="F21" s="45">
        <v>2</v>
      </c>
      <c r="G21" s="45"/>
      <c r="H21" s="45"/>
      <c r="I21" s="97"/>
      <c r="J21" s="73">
        <f>13.3*F21</f>
        <v>26.6</v>
      </c>
      <c r="K21" s="74">
        <f t="shared" si="4"/>
        <v>0</v>
      </c>
      <c r="L21" s="75">
        <f t="shared" si="0"/>
        <v>0</v>
      </c>
      <c r="M21" s="82"/>
      <c r="N21" s="76">
        <f t="shared" si="1"/>
        <v>0</v>
      </c>
      <c r="O21" s="77">
        <f t="shared" si="2"/>
        <v>26.6</v>
      </c>
      <c r="P21" s="77">
        <f t="shared" si="3"/>
        <v>0</v>
      </c>
      <c r="Q21" s="60" t="s">
        <v>330</v>
      </c>
      <c r="R21" s="60"/>
      <c r="S21" s="60"/>
      <c r="T21" s="174" t="s">
        <v>334</v>
      </c>
    </row>
    <row r="22" spans="1:21" s="4" customFormat="1" ht="18" customHeight="1" x14ac:dyDescent="0.25">
      <c r="A22" s="98"/>
      <c r="B22" s="99"/>
      <c r="C22" s="99"/>
      <c r="D22" s="294"/>
      <c r="E22" s="63" t="s">
        <v>336</v>
      </c>
      <c r="F22" s="45">
        <v>1</v>
      </c>
      <c r="G22" s="45"/>
      <c r="H22" s="45">
        <v>1</v>
      </c>
      <c r="I22" s="97">
        <v>3</v>
      </c>
      <c r="J22" s="73">
        <f>F22*I22*-1*H22</f>
        <v>-3</v>
      </c>
      <c r="K22" s="74">
        <f t="shared" si="4"/>
        <v>-9</v>
      </c>
      <c r="L22" s="75">
        <f t="shared" si="0"/>
        <v>6</v>
      </c>
      <c r="M22" s="82"/>
      <c r="N22" s="76">
        <f t="shared" si="1"/>
        <v>6</v>
      </c>
      <c r="O22" s="77">
        <f t="shared" si="2"/>
        <v>-3</v>
      </c>
      <c r="P22" s="77">
        <f t="shared" si="3"/>
        <v>6</v>
      </c>
      <c r="Q22" s="60" t="s">
        <v>330</v>
      </c>
      <c r="R22" s="60"/>
      <c r="S22" s="60"/>
      <c r="T22" s="174" t="s">
        <v>328</v>
      </c>
      <c r="U22" s="4" t="s">
        <v>345</v>
      </c>
    </row>
    <row r="23" spans="1:21" s="4" customFormat="1" ht="18" customHeight="1" x14ac:dyDescent="0.25">
      <c r="A23" s="98"/>
      <c r="B23" s="99"/>
      <c r="C23" s="99"/>
      <c r="D23" s="294"/>
      <c r="E23" s="63" t="s">
        <v>337</v>
      </c>
      <c r="F23" s="45">
        <v>1</v>
      </c>
      <c r="G23" s="45"/>
      <c r="H23" s="45">
        <v>1.3</v>
      </c>
      <c r="I23" s="97">
        <v>3.35</v>
      </c>
      <c r="J23" s="73">
        <f>F23*I23*-1*H23</f>
        <v>-4.3550000000000004</v>
      </c>
      <c r="K23" s="74">
        <f t="shared" si="4"/>
        <v>-14.589250000000002</v>
      </c>
      <c r="L23" s="75">
        <f t="shared" si="0"/>
        <v>8.7100000000000009</v>
      </c>
      <c r="M23" s="82"/>
      <c r="N23" s="76">
        <f t="shared" si="1"/>
        <v>8.7100000000000009</v>
      </c>
      <c r="O23" s="77">
        <f t="shared" si="2"/>
        <v>-4.3550000000000004</v>
      </c>
      <c r="P23" s="77">
        <f t="shared" si="3"/>
        <v>8.7100000000000009</v>
      </c>
      <c r="Q23" s="60" t="s">
        <v>330</v>
      </c>
      <c r="R23" s="60"/>
      <c r="S23" s="60"/>
      <c r="T23" s="174" t="s">
        <v>342</v>
      </c>
    </row>
    <row r="24" spans="1:21" s="4" customFormat="1" ht="18" customHeight="1" x14ac:dyDescent="0.25">
      <c r="A24" s="98"/>
      <c r="B24" s="99"/>
      <c r="C24" s="99"/>
      <c r="D24" s="294"/>
      <c r="E24" s="63" t="s">
        <v>338</v>
      </c>
      <c r="F24" s="45">
        <v>1</v>
      </c>
      <c r="G24" s="45"/>
      <c r="H24" s="45"/>
      <c r="I24" s="97"/>
      <c r="J24" s="73">
        <v>8.4</v>
      </c>
      <c r="K24" s="74">
        <f t="shared" si="4"/>
        <v>0</v>
      </c>
      <c r="L24" s="75">
        <f t="shared" si="0"/>
        <v>0</v>
      </c>
      <c r="M24" s="82"/>
      <c r="N24" s="76">
        <f t="shared" si="1"/>
        <v>0</v>
      </c>
      <c r="O24" s="77">
        <f t="shared" si="2"/>
        <v>8.4</v>
      </c>
      <c r="P24" s="77">
        <f t="shared" si="3"/>
        <v>0</v>
      </c>
      <c r="Q24" s="60" t="s">
        <v>338</v>
      </c>
      <c r="R24" s="60"/>
      <c r="S24" s="60"/>
      <c r="T24" s="174"/>
    </row>
    <row r="25" spans="1:21" s="4" customFormat="1" ht="18" customHeight="1" x14ac:dyDescent="0.25">
      <c r="A25" s="98"/>
      <c r="B25" s="99"/>
      <c r="C25" s="99"/>
      <c r="D25" s="294"/>
      <c r="E25" s="63" t="s">
        <v>338</v>
      </c>
      <c r="F25" s="45">
        <v>1</v>
      </c>
      <c r="G25" s="45">
        <v>2.2000000000000002</v>
      </c>
      <c r="H25" s="45"/>
      <c r="I25" s="97">
        <v>3.8</v>
      </c>
      <c r="J25" s="73">
        <f>F25*G25*I25</f>
        <v>8.36</v>
      </c>
      <c r="K25" s="74">
        <f t="shared" si="4"/>
        <v>31.767999999999997</v>
      </c>
      <c r="L25" s="75">
        <f t="shared" si="0"/>
        <v>16.72</v>
      </c>
      <c r="M25" s="82"/>
      <c r="N25" s="76">
        <f t="shared" si="1"/>
        <v>16.72</v>
      </c>
      <c r="O25" s="77">
        <f t="shared" si="2"/>
        <v>8.36</v>
      </c>
      <c r="P25" s="77">
        <f t="shared" si="3"/>
        <v>16.72</v>
      </c>
      <c r="Q25" s="60" t="s">
        <v>338</v>
      </c>
      <c r="R25" s="60"/>
      <c r="S25" s="60"/>
      <c r="T25" s="174"/>
    </row>
    <row r="26" spans="1:21" s="4" customFormat="1" ht="18" customHeight="1" x14ac:dyDescent="0.25">
      <c r="A26" s="98"/>
      <c r="B26" s="99"/>
      <c r="C26" s="99"/>
      <c r="D26" s="295"/>
      <c r="E26" s="63" t="s">
        <v>339</v>
      </c>
      <c r="F26" s="45"/>
      <c r="G26" s="45"/>
      <c r="H26" s="45"/>
      <c r="I26" s="97"/>
      <c r="J26" s="73">
        <v>-2.4</v>
      </c>
      <c r="K26" s="74">
        <f t="shared" si="4"/>
        <v>0</v>
      </c>
      <c r="L26" s="75">
        <f t="shared" si="0"/>
        <v>0</v>
      </c>
      <c r="M26" s="82"/>
      <c r="N26" s="76">
        <f t="shared" si="1"/>
        <v>0</v>
      </c>
      <c r="O26" s="77">
        <f t="shared" si="2"/>
        <v>-2.4</v>
      </c>
      <c r="P26" s="77">
        <f t="shared" si="3"/>
        <v>0</v>
      </c>
      <c r="Q26" s="60" t="s">
        <v>338</v>
      </c>
      <c r="R26" s="60"/>
      <c r="S26" s="60"/>
      <c r="T26" s="174"/>
    </row>
    <row r="27" spans="1:21" s="4" customFormat="1" ht="18" customHeight="1" x14ac:dyDescent="0.25">
      <c r="A27" s="98"/>
      <c r="B27" s="99"/>
      <c r="C27" s="99"/>
      <c r="D27" s="293" t="s">
        <v>340</v>
      </c>
      <c r="E27" s="63" t="s">
        <v>330</v>
      </c>
      <c r="F27" s="45">
        <v>1</v>
      </c>
      <c r="G27" s="45">
        <f>4.9+5.21+4.43</f>
        <v>14.54</v>
      </c>
      <c r="H27" s="45"/>
      <c r="I27" s="97">
        <v>4</v>
      </c>
      <c r="J27" s="73">
        <f>F27*G27*I27</f>
        <v>58.16</v>
      </c>
      <c r="K27" s="74"/>
      <c r="L27" s="75"/>
      <c r="M27" s="82"/>
      <c r="N27" s="76"/>
      <c r="O27" s="77"/>
      <c r="P27" s="77"/>
      <c r="Q27" s="60" t="s">
        <v>330</v>
      </c>
      <c r="R27" s="60"/>
      <c r="S27" s="60"/>
      <c r="T27" s="174"/>
    </row>
    <row r="28" spans="1:21" s="4" customFormat="1" ht="18" customHeight="1" x14ac:dyDescent="0.25">
      <c r="A28" s="98"/>
      <c r="B28" s="99"/>
      <c r="C28" s="99"/>
      <c r="D28" s="294"/>
      <c r="E28" s="63" t="s">
        <v>341</v>
      </c>
      <c r="F28" s="45">
        <v>1</v>
      </c>
      <c r="G28" s="45"/>
      <c r="H28" s="45">
        <v>0.95</v>
      </c>
      <c r="I28" s="97">
        <v>3</v>
      </c>
      <c r="J28" s="73">
        <f>F28*I28*-1*H28</f>
        <v>-2.8499999999999996</v>
      </c>
      <c r="K28" s="74"/>
      <c r="L28" s="75"/>
      <c r="M28" s="82"/>
      <c r="N28" s="76"/>
      <c r="O28" s="77"/>
      <c r="P28" s="77"/>
      <c r="Q28" s="60" t="s">
        <v>338</v>
      </c>
      <c r="R28" s="60"/>
      <c r="S28" s="60"/>
      <c r="T28" s="174" t="s">
        <v>328</v>
      </c>
      <c r="U28" s="4" t="s">
        <v>345</v>
      </c>
    </row>
    <row r="29" spans="1:21" s="4" customFormat="1" ht="18" customHeight="1" x14ac:dyDescent="0.25">
      <c r="A29" s="98"/>
      <c r="B29" s="99"/>
      <c r="C29" s="99"/>
      <c r="D29" s="294"/>
      <c r="E29" s="63" t="s">
        <v>338</v>
      </c>
      <c r="F29" s="45">
        <v>1</v>
      </c>
      <c r="G29" s="45">
        <v>4.87</v>
      </c>
      <c r="H29" s="45"/>
      <c r="I29" s="97">
        <v>3.7</v>
      </c>
      <c r="J29" s="73">
        <f>F29*G29*I29</f>
        <v>18.019000000000002</v>
      </c>
      <c r="K29" s="74"/>
      <c r="L29" s="75"/>
      <c r="M29" s="82"/>
      <c r="N29" s="76"/>
      <c r="O29" s="77"/>
      <c r="P29" s="77"/>
      <c r="Q29" s="60" t="s">
        <v>338</v>
      </c>
      <c r="R29" s="60"/>
      <c r="S29" s="60"/>
      <c r="T29" s="174"/>
    </row>
    <row r="30" spans="1:21" s="4" customFormat="1" ht="18" customHeight="1" x14ac:dyDescent="0.25">
      <c r="A30" s="98"/>
      <c r="B30" s="99"/>
      <c r="C30" s="99"/>
      <c r="D30" s="294"/>
      <c r="E30" s="63" t="s">
        <v>343</v>
      </c>
      <c r="F30" s="45">
        <v>1</v>
      </c>
      <c r="G30" s="45"/>
      <c r="H30" s="45">
        <v>0.95</v>
      </c>
      <c r="I30" s="97">
        <v>3</v>
      </c>
      <c r="J30" s="73">
        <f>F30*I30*-1*H30</f>
        <v>-2.8499999999999996</v>
      </c>
      <c r="K30" s="74"/>
      <c r="L30" s="75"/>
      <c r="M30" s="82"/>
      <c r="N30" s="76"/>
      <c r="O30" s="77"/>
      <c r="P30" s="77"/>
      <c r="Q30" s="60" t="s">
        <v>338</v>
      </c>
      <c r="R30" s="60"/>
      <c r="S30" s="60"/>
      <c r="T30" s="174" t="s">
        <v>328</v>
      </c>
      <c r="U30" s="4" t="s">
        <v>344</v>
      </c>
    </row>
    <row r="31" spans="1:21" s="4" customFormat="1" ht="18" customHeight="1" x14ac:dyDescent="0.25">
      <c r="A31" s="98"/>
      <c r="B31" s="99"/>
      <c r="C31" s="99"/>
      <c r="D31" s="295"/>
      <c r="E31" s="63" t="s">
        <v>348</v>
      </c>
      <c r="F31" s="45">
        <v>1</v>
      </c>
      <c r="G31" s="45"/>
      <c r="H31" s="45">
        <v>3.3</v>
      </c>
      <c r="I31" s="97">
        <v>3.5</v>
      </c>
      <c r="J31" s="73">
        <f>F31*I31*-1*H31</f>
        <v>-11.549999999999999</v>
      </c>
      <c r="K31" s="74"/>
      <c r="L31" s="75"/>
      <c r="M31" s="82"/>
      <c r="N31" s="76"/>
      <c r="O31" s="77"/>
      <c r="P31" s="77"/>
      <c r="Q31" s="60" t="s">
        <v>330</v>
      </c>
      <c r="R31" s="60"/>
      <c r="S31" s="60"/>
      <c r="T31" s="174" t="s">
        <v>347</v>
      </c>
    </row>
    <row r="32" spans="1:21" s="4" customFormat="1" ht="18" customHeight="1" x14ac:dyDescent="0.25">
      <c r="A32" s="98"/>
      <c r="B32" s="99"/>
      <c r="C32" s="99"/>
      <c r="D32" s="293" t="s">
        <v>349</v>
      </c>
      <c r="E32" s="63" t="s">
        <v>330</v>
      </c>
      <c r="F32" s="45">
        <v>1</v>
      </c>
      <c r="G32" s="45">
        <f>5.57+1.32</f>
        <v>6.8900000000000006</v>
      </c>
      <c r="H32" s="45"/>
      <c r="I32" s="97">
        <f>I29</f>
        <v>3.7</v>
      </c>
      <c r="J32" s="73">
        <f>F32*G32*I32</f>
        <v>25.493000000000002</v>
      </c>
      <c r="K32" s="74"/>
      <c r="L32" s="75"/>
      <c r="M32" s="82"/>
      <c r="N32" s="76"/>
      <c r="O32" s="77"/>
      <c r="P32" s="77"/>
      <c r="Q32" s="60" t="s">
        <v>330</v>
      </c>
      <c r="R32" s="60"/>
      <c r="S32" s="60"/>
      <c r="T32" s="174"/>
    </row>
    <row r="33" spans="1:20" s="4" customFormat="1" ht="18" customHeight="1" x14ac:dyDescent="0.25">
      <c r="A33" s="98"/>
      <c r="B33" s="99"/>
      <c r="C33" s="99"/>
      <c r="D33" s="294"/>
      <c r="E33" s="63" t="s">
        <v>350</v>
      </c>
      <c r="F33" s="45">
        <v>1</v>
      </c>
      <c r="G33" s="45"/>
      <c r="H33" s="45">
        <v>1</v>
      </c>
      <c r="I33" s="97">
        <v>3.3</v>
      </c>
      <c r="J33" s="73">
        <f>F33*I33*-1*H33</f>
        <v>-3.3</v>
      </c>
      <c r="K33" s="74"/>
      <c r="L33" s="75"/>
      <c r="M33" s="82"/>
      <c r="N33" s="76"/>
      <c r="O33" s="77"/>
      <c r="P33" s="77"/>
      <c r="Q33" s="60" t="s">
        <v>330</v>
      </c>
      <c r="R33" s="60"/>
      <c r="S33" s="60"/>
      <c r="T33" s="174" t="s">
        <v>354</v>
      </c>
    </row>
    <row r="34" spans="1:20" s="4" customFormat="1" ht="18" customHeight="1" x14ac:dyDescent="0.25">
      <c r="A34" s="98"/>
      <c r="B34" s="99"/>
      <c r="C34" s="99"/>
      <c r="D34" s="294"/>
      <c r="E34" s="63" t="s">
        <v>351</v>
      </c>
      <c r="F34" s="45">
        <v>1</v>
      </c>
      <c r="G34" s="45"/>
      <c r="H34" s="45">
        <v>1.2</v>
      </c>
      <c r="I34" s="97">
        <v>3.3</v>
      </c>
      <c r="J34" s="73">
        <f>F34*I34*-1*H34</f>
        <v>-3.9599999999999995</v>
      </c>
      <c r="K34" s="74"/>
      <c r="L34" s="75"/>
      <c r="M34" s="82"/>
      <c r="N34" s="76"/>
      <c r="O34" s="77"/>
      <c r="P34" s="77"/>
      <c r="Q34" s="60" t="s">
        <v>330</v>
      </c>
      <c r="R34" s="60"/>
      <c r="S34" s="60"/>
      <c r="T34" s="174" t="s">
        <v>355</v>
      </c>
    </row>
    <row r="35" spans="1:20" s="4" customFormat="1" ht="18" customHeight="1" x14ac:dyDescent="0.25">
      <c r="A35" s="98"/>
      <c r="B35" s="99"/>
      <c r="C35" s="99"/>
      <c r="D35" s="294"/>
      <c r="E35" s="63" t="s">
        <v>352</v>
      </c>
      <c r="F35" s="45">
        <v>1</v>
      </c>
      <c r="G35" s="45">
        <v>0.93</v>
      </c>
      <c r="H35" s="45"/>
      <c r="I35" s="97">
        <f>I29</f>
        <v>3.7</v>
      </c>
      <c r="J35" s="73">
        <f>F35*G35*I35</f>
        <v>3.4410000000000003</v>
      </c>
      <c r="K35" s="74"/>
      <c r="L35" s="75"/>
      <c r="M35" s="82"/>
      <c r="N35" s="76"/>
      <c r="O35" s="77"/>
      <c r="P35" s="77"/>
      <c r="Q35" s="63" t="s">
        <v>352</v>
      </c>
      <c r="R35" s="60"/>
      <c r="S35" s="60"/>
      <c r="T35" s="174"/>
    </row>
    <row r="36" spans="1:20" s="4" customFormat="1" ht="18" customHeight="1" x14ac:dyDescent="0.25">
      <c r="A36" s="98"/>
      <c r="B36" s="99"/>
      <c r="C36" s="99"/>
      <c r="D36" s="294"/>
      <c r="E36" s="63" t="s">
        <v>326</v>
      </c>
      <c r="F36" s="45">
        <v>1</v>
      </c>
      <c r="G36" s="45">
        <f>2.22+1.96+1.75</f>
        <v>5.93</v>
      </c>
      <c r="H36" s="45"/>
      <c r="I36" s="97">
        <f>I35</f>
        <v>3.7</v>
      </c>
      <c r="J36" s="73">
        <f>F36*G36*I36</f>
        <v>21.940999999999999</v>
      </c>
      <c r="K36" s="74"/>
      <c r="L36" s="75"/>
      <c r="M36" s="82"/>
      <c r="N36" s="76"/>
      <c r="O36" s="77"/>
      <c r="P36" s="77"/>
      <c r="Q36" s="63" t="s">
        <v>326</v>
      </c>
      <c r="R36" s="60"/>
      <c r="S36" s="60"/>
      <c r="T36" s="174"/>
    </row>
    <row r="37" spans="1:20" s="4" customFormat="1" ht="18" customHeight="1" x14ac:dyDescent="0.25">
      <c r="A37" s="98"/>
      <c r="B37" s="99"/>
      <c r="C37" s="99"/>
      <c r="D37" s="294"/>
      <c r="E37" s="63" t="s">
        <v>353</v>
      </c>
      <c r="F37" s="45"/>
      <c r="G37" s="45"/>
      <c r="H37" s="45"/>
      <c r="I37" s="97"/>
      <c r="J37" s="73">
        <v>-2.2999999999999998</v>
      </c>
      <c r="K37" s="74"/>
      <c r="L37" s="75"/>
      <c r="M37" s="82"/>
      <c r="N37" s="76"/>
      <c r="O37" s="77"/>
      <c r="P37" s="77"/>
      <c r="Q37" s="63" t="s">
        <v>326</v>
      </c>
      <c r="R37" s="60"/>
      <c r="S37" s="60"/>
      <c r="T37" s="174"/>
    </row>
    <row r="38" spans="1:20" s="4" customFormat="1" ht="18" customHeight="1" x14ac:dyDescent="0.25">
      <c r="A38" s="98"/>
      <c r="B38" s="99"/>
      <c r="C38" s="99"/>
      <c r="D38" s="294"/>
      <c r="E38" s="63" t="s">
        <v>356</v>
      </c>
      <c r="F38" s="45"/>
      <c r="G38" s="45"/>
      <c r="H38" s="45"/>
      <c r="I38" s="97"/>
      <c r="J38" s="38"/>
      <c r="K38" s="74"/>
      <c r="L38" s="75"/>
      <c r="M38" s="82"/>
      <c r="N38" s="76"/>
      <c r="O38" s="77"/>
      <c r="P38" s="77"/>
      <c r="Q38" s="63" t="s">
        <v>326</v>
      </c>
      <c r="R38" s="60"/>
      <c r="S38" s="60"/>
      <c r="T38" s="174"/>
    </row>
    <row r="39" spans="1:20" s="4" customFormat="1" ht="18" customHeight="1" x14ac:dyDescent="0.25">
      <c r="A39" s="98"/>
      <c r="B39" s="99"/>
      <c r="C39" s="99"/>
      <c r="D39" s="294"/>
      <c r="E39" s="63" t="s">
        <v>333</v>
      </c>
      <c r="F39" s="45">
        <v>1</v>
      </c>
      <c r="G39" s="45">
        <f>0.87*2</f>
        <v>1.74</v>
      </c>
      <c r="H39" s="45"/>
      <c r="I39" s="97">
        <f>I34</f>
        <v>3.3</v>
      </c>
      <c r="J39" s="73">
        <f>F39*G39*I39</f>
        <v>5.742</v>
      </c>
      <c r="K39" s="74"/>
      <c r="L39" s="75"/>
      <c r="M39" s="82"/>
      <c r="N39" s="76"/>
      <c r="O39" s="77"/>
      <c r="P39" s="77"/>
      <c r="Q39" s="60" t="s">
        <v>333</v>
      </c>
      <c r="R39" s="60"/>
      <c r="S39" s="60"/>
      <c r="T39" s="174"/>
    </row>
    <row r="40" spans="1:20" s="4" customFormat="1" ht="18" customHeight="1" x14ac:dyDescent="0.25">
      <c r="A40" s="98"/>
      <c r="B40" s="99"/>
      <c r="C40" s="99"/>
      <c r="D40" s="294"/>
      <c r="E40" s="63" t="s">
        <v>338</v>
      </c>
      <c r="F40" s="45">
        <v>1</v>
      </c>
      <c r="G40" s="45">
        <f>3.2+2.39+1.06</f>
        <v>6.65</v>
      </c>
      <c r="H40" s="45"/>
      <c r="I40" s="97">
        <f>I35</f>
        <v>3.7</v>
      </c>
      <c r="J40" s="73">
        <f>F40*G40*I40</f>
        <v>24.605000000000004</v>
      </c>
      <c r="K40" s="74"/>
      <c r="L40" s="75"/>
      <c r="M40" s="82"/>
      <c r="N40" s="76"/>
      <c r="O40" s="77"/>
      <c r="P40" s="77"/>
      <c r="Q40" s="60" t="s">
        <v>338</v>
      </c>
      <c r="R40" s="60"/>
      <c r="S40" s="60"/>
      <c r="T40" s="174"/>
    </row>
    <row r="41" spans="1:20" s="4" customFormat="1" ht="18" customHeight="1" x14ac:dyDescent="0.25">
      <c r="A41" s="98"/>
      <c r="B41" s="99"/>
      <c r="C41" s="99"/>
      <c r="D41" s="294"/>
      <c r="E41" s="63" t="s">
        <v>357</v>
      </c>
      <c r="F41" s="45">
        <v>1</v>
      </c>
      <c r="G41" s="45"/>
      <c r="H41" s="45"/>
      <c r="I41" s="97"/>
      <c r="J41" s="73">
        <v>-2.2999999999999998</v>
      </c>
      <c r="K41" s="74"/>
      <c r="L41" s="75"/>
      <c r="M41" s="82"/>
      <c r="N41" s="76"/>
      <c r="O41" s="77"/>
      <c r="P41" s="77"/>
      <c r="Q41" s="60" t="s">
        <v>338</v>
      </c>
      <c r="R41" s="60"/>
      <c r="S41" s="60"/>
      <c r="T41" s="174"/>
    </row>
    <row r="42" spans="1:20" s="4" customFormat="1" ht="18" customHeight="1" x14ac:dyDescent="0.25">
      <c r="A42" s="98"/>
      <c r="B42" s="99"/>
      <c r="C42" s="99"/>
      <c r="D42" s="295"/>
      <c r="E42" s="63" t="s">
        <v>358</v>
      </c>
      <c r="F42" s="45">
        <v>1</v>
      </c>
      <c r="G42" s="45"/>
      <c r="H42" s="45"/>
      <c r="I42" s="97"/>
      <c r="J42" s="73">
        <v>-3.2</v>
      </c>
      <c r="K42" s="74"/>
      <c r="L42" s="75"/>
      <c r="M42" s="82"/>
      <c r="N42" s="76"/>
      <c r="O42" s="77"/>
      <c r="P42" s="77"/>
      <c r="Q42" s="60" t="s">
        <v>338</v>
      </c>
      <c r="R42" s="60"/>
      <c r="S42" s="60"/>
      <c r="T42" s="174"/>
    </row>
    <row r="43" spans="1:20" s="4" customFormat="1" ht="18" customHeight="1" x14ac:dyDescent="0.25">
      <c r="A43" s="98"/>
      <c r="B43" s="99"/>
      <c r="C43" s="99"/>
      <c r="D43" s="293" t="s">
        <v>359</v>
      </c>
      <c r="E43" s="63" t="s">
        <v>338</v>
      </c>
      <c r="F43" s="45">
        <v>1</v>
      </c>
      <c r="G43" s="45">
        <f>4.08+1.5+2.04</f>
        <v>7.62</v>
      </c>
      <c r="H43" s="45"/>
      <c r="I43" s="97">
        <f>I40</f>
        <v>3.7</v>
      </c>
      <c r="J43" s="73">
        <f>F43*G43*I43</f>
        <v>28.194000000000003</v>
      </c>
      <c r="K43" s="74"/>
      <c r="L43" s="75"/>
      <c r="M43" s="82"/>
      <c r="N43" s="76"/>
      <c r="O43" s="77"/>
      <c r="P43" s="77"/>
      <c r="Q43" s="60" t="s">
        <v>338</v>
      </c>
      <c r="R43" s="60"/>
      <c r="S43" s="60"/>
      <c r="T43" s="174"/>
    </row>
    <row r="44" spans="1:20" s="4" customFormat="1" ht="18" customHeight="1" x14ac:dyDescent="0.25">
      <c r="A44" s="98"/>
      <c r="B44" s="99"/>
      <c r="C44" s="99"/>
      <c r="D44" s="294"/>
      <c r="E44" s="63" t="s">
        <v>360</v>
      </c>
      <c r="F44" s="45">
        <v>1</v>
      </c>
      <c r="G44" s="45"/>
      <c r="H44" s="45"/>
      <c r="I44" s="97"/>
      <c r="J44" s="73">
        <v>-2.2999999999999998</v>
      </c>
      <c r="K44" s="74"/>
      <c r="L44" s="75"/>
      <c r="M44" s="82"/>
      <c r="N44" s="76"/>
      <c r="O44" s="77"/>
      <c r="P44" s="77"/>
      <c r="Q44" s="60" t="s">
        <v>338</v>
      </c>
      <c r="R44" s="60"/>
      <c r="S44" s="60"/>
      <c r="T44" s="174"/>
    </row>
    <row r="45" spans="1:20" s="4" customFormat="1" ht="18" customHeight="1" x14ac:dyDescent="0.25">
      <c r="A45" s="98"/>
      <c r="B45" s="99"/>
      <c r="C45" s="99"/>
      <c r="D45" s="294"/>
      <c r="E45" s="63" t="s">
        <v>326</v>
      </c>
      <c r="F45" s="45">
        <v>1</v>
      </c>
      <c r="G45" s="45">
        <v>1.53</v>
      </c>
      <c r="H45" s="45"/>
      <c r="I45" s="97">
        <f>I43</f>
        <v>3.7</v>
      </c>
      <c r="J45" s="73">
        <f>F45*G45*I45</f>
        <v>5.6610000000000005</v>
      </c>
      <c r="K45" s="74"/>
      <c r="L45" s="75"/>
      <c r="M45" s="82"/>
      <c r="N45" s="76"/>
      <c r="O45" s="77"/>
      <c r="P45" s="77"/>
      <c r="Q45" s="63" t="s">
        <v>326</v>
      </c>
      <c r="R45" s="60"/>
      <c r="S45" s="60"/>
      <c r="T45" s="174"/>
    </row>
    <row r="46" spans="1:20" s="4" customFormat="1" ht="18" customHeight="1" x14ac:dyDescent="0.25">
      <c r="A46" s="98"/>
      <c r="B46" s="99"/>
      <c r="C46" s="99"/>
      <c r="D46" s="295"/>
      <c r="E46" s="63" t="s">
        <v>361</v>
      </c>
      <c r="F46" s="45">
        <v>1</v>
      </c>
      <c r="G46" s="45"/>
      <c r="H46" s="45">
        <v>1.55</v>
      </c>
      <c r="I46" s="97">
        <v>2.7</v>
      </c>
      <c r="J46" s="73">
        <f>F46*I46*-1*H46</f>
        <v>-4.1850000000000005</v>
      </c>
      <c r="K46" s="74"/>
      <c r="L46" s="75"/>
      <c r="M46" s="82"/>
      <c r="N46" s="76"/>
      <c r="O46" s="77"/>
      <c r="P46" s="77"/>
      <c r="Q46" s="63" t="s">
        <v>326</v>
      </c>
      <c r="R46" s="60"/>
      <c r="S46" s="60"/>
      <c r="T46" s="174" t="s">
        <v>362</v>
      </c>
    </row>
    <row r="47" spans="1:20" s="4" customFormat="1" ht="18" customHeight="1" x14ac:dyDescent="0.25">
      <c r="A47" s="98"/>
      <c r="B47" s="99"/>
      <c r="C47" s="99"/>
      <c r="D47" s="293" t="s">
        <v>363</v>
      </c>
      <c r="E47" s="63" t="s">
        <v>326</v>
      </c>
      <c r="F47" s="45">
        <v>1</v>
      </c>
      <c r="G47" s="45">
        <f>0.18+5.9</f>
        <v>6.08</v>
      </c>
      <c r="H47" s="45"/>
      <c r="I47" s="97">
        <v>3.2</v>
      </c>
      <c r="J47" s="73">
        <f>F47*G47*I47</f>
        <v>19.456000000000003</v>
      </c>
      <c r="K47" s="74"/>
      <c r="L47" s="75"/>
      <c r="M47" s="82"/>
      <c r="N47" s="76"/>
      <c r="O47" s="77"/>
      <c r="P47" s="77"/>
      <c r="Q47" s="63" t="s">
        <v>326</v>
      </c>
      <c r="R47" s="60"/>
      <c r="S47" s="60"/>
      <c r="T47" s="174"/>
    </row>
    <row r="48" spans="1:20" s="4" customFormat="1" ht="18" customHeight="1" x14ac:dyDescent="0.25">
      <c r="A48" s="98"/>
      <c r="B48" s="99"/>
      <c r="C48" s="99"/>
      <c r="D48" s="294"/>
      <c r="E48" s="63" t="s">
        <v>364</v>
      </c>
      <c r="F48" s="45">
        <v>1</v>
      </c>
      <c r="G48" s="45"/>
      <c r="H48" s="45">
        <v>4.8499999999999996</v>
      </c>
      <c r="I48" s="97">
        <v>3</v>
      </c>
      <c r="J48" s="73">
        <f>F48*I48*-1*H48</f>
        <v>-14.549999999999999</v>
      </c>
      <c r="K48" s="74"/>
      <c r="L48" s="75"/>
      <c r="M48" s="82"/>
      <c r="N48" s="76"/>
      <c r="O48" s="77"/>
      <c r="P48" s="77"/>
      <c r="Q48" s="63" t="s">
        <v>326</v>
      </c>
      <c r="R48" s="60"/>
      <c r="S48" s="60"/>
      <c r="T48" s="174" t="s">
        <v>366</v>
      </c>
    </row>
    <row r="49" spans="1:21" s="4" customFormat="1" ht="18" customHeight="1" x14ac:dyDescent="0.25">
      <c r="A49" s="98"/>
      <c r="B49" s="99"/>
      <c r="C49" s="99"/>
      <c r="D49" s="294"/>
      <c r="E49" s="63" t="s">
        <v>365</v>
      </c>
      <c r="F49" s="45">
        <v>1</v>
      </c>
      <c r="G49" s="45">
        <f>4.93+1.2</f>
        <v>6.13</v>
      </c>
      <c r="H49" s="45"/>
      <c r="I49" s="97">
        <f>I47</f>
        <v>3.2</v>
      </c>
      <c r="J49" s="73">
        <f>F49*G49*I49</f>
        <v>19.616</v>
      </c>
      <c r="K49" s="74"/>
      <c r="L49" s="75"/>
      <c r="M49" s="82"/>
      <c r="N49" s="76"/>
      <c r="O49" s="77"/>
      <c r="P49" s="77"/>
      <c r="Q49" s="63" t="s">
        <v>365</v>
      </c>
      <c r="R49" s="60"/>
      <c r="S49" s="60"/>
      <c r="T49" s="174"/>
    </row>
    <row r="50" spans="1:21" s="4" customFormat="1" ht="18" customHeight="1" x14ac:dyDescent="0.25">
      <c r="A50" s="98"/>
      <c r="B50" s="99"/>
      <c r="C50" s="99"/>
      <c r="D50" s="295"/>
      <c r="E50" s="63" t="s">
        <v>333</v>
      </c>
      <c r="F50" s="45">
        <v>1</v>
      </c>
      <c r="G50" s="45">
        <v>0.62</v>
      </c>
      <c r="H50" s="45"/>
      <c r="I50" s="97">
        <f>I49</f>
        <v>3.2</v>
      </c>
      <c r="J50" s="73">
        <f>F50*G50*I50</f>
        <v>1.984</v>
      </c>
      <c r="K50" s="74"/>
      <c r="L50" s="75"/>
      <c r="M50" s="82"/>
      <c r="N50" s="76"/>
      <c r="O50" s="77"/>
      <c r="P50" s="77"/>
      <c r="Q50" s="60" t="s">
        <v>333</v>
      </c>
      <c r="R50" s="60"/>
      <c r="S50" s="60"/>
      <c r="T50" s="174"/>
    </row>
    <row r="51" spans="1:21" s="4" customFormat="1" ht="18" customHeight="1" x14ac:dyDescent="0.25">
      <c r="A51" s="98"/>
      <c r="B51" s="99"/>
      <c r="C51" s="99"/>
      <c r="D51" s="293" t="s">
        <v>367</v>
      </c>
      <c r="E51" s="63" t="s">
        <v>326</v>
      </c>
      <c r="F51" s="45">
        <v>1</v>
      </c>
      <c r="G51" s="45">
        <f>1.48+1.41+2.71</f>
        <v>5.6</v>
      </c>
      <c r="H51" s="45"/>
      <c r="I51" s="97">
        <f>I45</f>
        <v>3.7</v>
      </c>
      <c r="J51" s="73">
        <f>F51*G51*I51</f>
        <v>20.72</v>
      </c>
      <c r="K51" s="74"/>
      <c r="L51" s="75"/>
      <c r="M51" s="82"/>
      <c r="N51" s="76"/>
      <c r="O51" s="77"/>
      <c r="P51" s="77"/>
      <c r="Q51" s="63" t="s">
        <v>326</v>
      </c>
      <c r="R51" s="60"/>
      <c r="S51" s="60"/>
      <c r="T51" s="174"/>
    </row>
    <row r="52" spans="1:21" s="4" customFormat="1" ht="18" customHeight="1" x14ac:dyDescent="0.25">
      <c r="A52" s="98"/>
      <c r="B52" s="99"/>
      <c r="C52" s="99"/>
      <c r="D52" s="295"/>
      <c r="E52" s="63" t="s">
        <v>368</v>
      </c>
      <c r="F52" s="45"/>
      <c r="G52" s="45"/>
      <c r="H52" s="45"/>
      <c r="I52" s="97"/>
      <c r="J52" s="38"/>
      <c r="K52" s="74"/>
      <c r="L52" s="75"/>
      <c r="M52" s="82"/>
      <c r="N52" s="76"/>
      <c r="O52" s="77"/>
      <c r="P52" s="77"/>
      <c r="Q52" s="60"/>
      <c r="R52" s="60"/>
      <c r="S52" s="60"/>
      <c r="T52" s="174"/>
    </row>
    <row r="53" spans="1:21" s="4" customFormat="1" ht="18" customHeight="1" x14ac:dyDescent="0.25">
      <c r="A53" s="98"/>
      <c r="B53" s="99"/>
      <c r="C53" s="99"/>
      <c r="D53" s="293" t="s">
        <v>369</v>
      </c>
      <c r="E53" s="63" t="s">
        <v>330</v>
      </c>
      <c r="F53" s="45">
        <v>1</v>
      </c>
      <c r="G53" s="45">
        <f>2.39+7.61+1.21</f>
        <v>11.21</v>
      </c>
      <c r="H53" s="45"/>
      <c r="I53" s="97">
        <v>3.5</v>
      </c>
      <c r="J53" s="73">
        <f>F53*G53*I53</f>
        <v>39.234999999999999</v>
      </c>
      <c r="K53" s="74"/>
      <c r="L53" s="75"/>
      <c r="M53" s="82"/>
      <c r="N53" s="76"/>
      <c r="O53" s="77"/>
      <c r="P53" s="77"/>
      <c r="Q53" s="60" t="s">
        <v>330</v>
      </c>
      <c r="R53" s="60"/>
      <c r="S53" s="60"/>
      <c r="T53" s="174"/>
    </row>
    <row r="54" spans="1:21" s="4" customFormat="1" ht="18" customHeight="1" x14ac:dyDescent="0.25">
      <c r="A54" s="98"/>
      <c r="B54" s="99"/>
      <c r="C54" s="99"/>
      <c r="D54" s="294"/>
      <c r="E54" s="63" t="s">
        <v>326</v>
      </c>
      <c r="F54" s="45">
        <v>1</v>
      </c>
      <c r="G54" s="45">
        <v>5.86</v>
      </c>
      <c r="H54" s="45"/>
      <c r="I54" s="97">
        <v>3.5</v>
      </c>
      <c r="J54" s="73">
        <f>F54*G54*I54</f>
        <v>20.51</v>
      </c>
      <c r="K54" s="74"/>
      <c r="L54" s="75"/>
      <c r="M54" s="82"/>
      <c r="N54" s="76"/>
      <c r="O54" s="77"/>
      <c r="P54" s="77"/>
      <c r="Q54" s="63" t="s">
        <v>326</v>
      </c>
      <c r="R54" s="60"/>
      <c r="S54" s="60"/>
      <c r="T54" s="174"/>
    </row>
    <row r="55" spans="1:21" s="4" customFormat="1" ht="18" customHeight="1" x14ac:dyDescent="0.25">
      <c r="A55" s="98"/>
      <c r="B55" s="99"/>
      <c r="C55" s="99"/>
      <c r="D55" s="294"/>
      <c r="E55" s="63" t="s">
        <v>338</v>
      </c>
      <c r="F55" s="45">
        <v>1</v>
      </c>
      <c r="G55" s="45">
        <f>1.93+1.23+1.7+2.65</f>
        <v>7.51</v>
      </c>
      <c r="H55" s="45"/>
      <c r="I55" s="97">
        <v>3.7</v>
      </c>
      <c r="J55" s="73">
        <f>F55*G55*I55</f>
        <v>27.786999999999999</v>
      </c>
      <c r="K55" s="74"/>
      <c r="L55" s="75"/>
      <c r="M55" s="82"/>
      <c r="N55" s="76"/>
      <c r="O55" s="77"/>
      <c r="P55" s="77"/>
      <c r="Q55" s="60" t="s">
        <v>338</v>
      </c>
      <c r="R55" s="60"/>
      <c r="S55" s="60"/>
      <c r="T55" s="174"/>
    </row>
    <row r="56" spans="1:21" s="4" customFormat="1" ht="18" customHeight="1" x14ac:dyDescent="0.25">
      <c r="A56" s="98"/>
      <c r="B56" s="99"/>
      <c r="C56" s="99"/>
      <c r="D56" s="294"/>
      <c r="E56" s="63" t="s">
        <v>370</v>
      </c>
      <c r="F56" s="45">
        <v>1</v>
      </c>
      <c r="G56" s="45"/>
      <c r="H56" s="45"/>
      <c r="I56" s="97"/>
      <c r="J56" s="38"/>
      <c r="K56" s="74"/>
      <c r="L56" s="75"/>
      <c r="M56" s="82"/>
      <c r="N56" s="76"/>
      <c r="O56" s="77"/>
      <c r="P56" s="77"/>
      <c r="Q56" s="60" t="s">
        <v>338</v>
      </c>
      <c r="R56" s="60"/>
      <c r="S56" s="60"/>
      <c r="T56" s="174"/>
    </row>
    <row r="57" spans="1:21" s="4" customFormat="1" ht="18" customHeight="1" x14ac:dyDescent="0.25">
      <c r="A57" s="98"/>
      <c r="B57" s="99"/>
      <c r="C57" s="99"/>
      <c r="D57" s="294"/>
      <c r="E57" s="63" t="s">
        <v>371</v>
      </c>
      <c r="F57" s="45">
        <v>1</v>
      </c>
      <c r="G57" s="45"/>
      <c r="H57" s="45"/>
      <c r="I57" s="97"/>
      <c r="J57" s="38"/>
      <c r="K57" s="74"/>
      <c r="L57" s="75"/>
      <c r="M57" s="82"/>
      <c r="N57" s="76"/>
      <c r="O57" s="77"/>
      <c r="P57" s="77"/>
      <c r="Q57" s="60" t="s">
        <v>338</v>
      </c>
      <c r="R57" s="60"/>
      <c r="S57" s="60"/>
      <c r="T57" s="174"/>
    </row>
    <row r="58" spans="1:21" s="4" customFormat="1" ht="18" customHeight="1" x14ac:dyDescent="0.25">
      <c r="A58" s="98"/>
      <c r="B58" s="99"/>
      <c r="C58" s="99"/>
      <c r="D58" s="295"/>
      <c r="E58" s="63" t="s">
        <v>333</v>
      </c>
      <c r="F58" s="45">
        <v>1</v>
      </c>
      <c r="G58" s="45">
        <f>1.32+0.28+0.61</f>
        <v>2.21</v>
      </c>
      <c r="H58" s="45"/>
      <c r="I58" s="97">
        <v>3.7</v>
      </c>
      <c r="J58" s="73">
        <f>F58*G58*I58</f>
        <v>8.1769999999999996</v>
      </c>
      <c r="K58" s="74"/>
      <c r="L58" s="75"/>
      <c r="M58" s="82"/>
      <c r="N58" s="76"/>
      <c r="O58" s="77"/>
      <c r="P58" s="77"/>
      <c r="Q58" s="60" t="s">
        <v>333</v>
      </c>
      <c r="R58" s="60"/>
      <c r="S58" s="60"/>
      <c r="T58" s="174"/>
    </row>
    <row r="59" spans="1:21" s="4" customFormat="1" ht="18" customHeight="1" x14ac:dyDescent="0.25">
      <c r="A59" s="98"/>
      <c r="B59" s="99"/>
      <c r="C59" s="99"/>
      <c r="D59" s="60" t="s">
        <v>372</v>
      </c>
      <c r="E59" s="63" t="s">
        <v>330</v>
      </c>
      <c r="F59" s="45">
        <v>1</v>
      </c>
      <c r="G59" s="45">
        <f>0.97+5.11+2.87+3.05+2.28+5.19+2.45+3.13+3.51+4.86+0.54+0.29</f>
        <v>34.249999999999993</v>
      </c>
      <c r="H59" s="45"/>
      <c r="I59" s="97">
        <v>3.5</v>
      </c>
      <c r="J59" s="73">
        <f>F59*G59*I59</f>
        <v>119.87499999999997</v>
      </c>
      <c r="K59" s="74"/>
      <c r="L59" s="75"/>
      <c r="M59" s="82"/>
      <c r="N59" s="76"/>
      <c r="O59" s="77"/>
      <c r="P59" s="77"/>
      <c r="Q59" s="60" t="s">
        <v>330</v>
      </c>
      <c r="R59" s="60"/>
      <c r="S59" s="60"/>
      <c r="T59" s="174"/>
    </row>
    <row r="60" spans="1:21" s="4" customFormat="1" ht="18" customHeight="1" x14ac:dyDescent="0.25">
      <c r="A60" s="98"/>
      <c r="B60" s="99"/>
      <c r="C60" s="99"/>
      <c r="D60" s="60"/>
      <c r="E60" s="63" t="s">
        <v>373</v>
      </c>
      <c r="F60" s="45">
        <v>1</v>
      </c>
      <c r="G60" s="45"/>
      <c r="H60" s="45">
        <v>3.55</v>
      </c>
      <c r="I60" s="97">
        <v>3.3</v>
      </c>
      <c r="J60" s="73">
        <f>F60*I60*-1*H60</f>
        <v>-11.714999999999998</v>
      </c>
      <c r="K60" s="74"/>
      <c r="L60" s="75"/>
      <c r="M60" s="82"/>
      <c r="N60" s="76"/>
      <c r="O60" s="77"/>
      <c r="P60" s="77"/>
      <c r="Q60" s="60" t="s">
        <v>330</v>
      </c>
      <c r="R60" s="60"/>
      <c r="S60" s="60"/>
      <c r="T60" s="174"/>
    </row>
    <row r="61" spans="1:21" s="4" customFormat="1" ht="18" customHeight="1" x14ac:dyDescent="0.25">
      <c r="A61" s="98"/>
      <c r="B61" s="99"/>
      <c r="C61" s="99"/>
      <c r="D61" s="60"/>
      <c r="E61" s="63" t="s">
        <v>374</v>
      </c>
      <c r="F61" s="45">
        <v>1</v>
      </c>
      <c r="G61" s="45"/>
      <c r="H61" s="45">
        <v>0.9</v>
      </c>
      <c r="I61" s="97">
        <v>3</v>
      </c>
      <c r="J61" s="73">
        <f>F61*I61*-1*H61</f>
        <v>-2.7</v>
      </c>
      <c r="K61" s="74"/>
      <c r="L61" s="75"/>
      <c r="M61" s="82"/>
      <c r="N61" s="76"/>
      <c r="O61" s="77"/>
      <c r="P61" s="77"/>
      <c r="Q61" s="60" t="s">
        <v>330</v>
      </c>
      <c r="R61" s="60"/>
      <c r="S61" s="60"/>
      <c r="T61" s="174" t="s">
        <v>328</v>
      </c>
      <c r="U61" s="4" t="s">
        <v>345</v>
      </c>
    </row>
    <row r="62" spans="1:21" s="4" customFormat="1" ht="18" customHeight="1" x14ac:dyDescent="0.25">
      <c r="A62" s="98"/>
      <c r="B62" s="99"/>
      <c r="C62" s="99"/>
      <c r="D62" s="60"/>
      <c r="E62" s="63" t="s">
        <v>375</v>
      </c>
      <c r="F62" s="45">
        <v>1</v>
      </c>
      <c r="G62" s="45"/>
      <c r="H62" s="45">
        <v>1.5</v>
      </c>
      <c r="I62" s="97">
        <v>3.3</v>
      </c>
      <c r="J62" s="73">
        <f>F62*I62*-1*H62</f>
        <v>-4.9499999999999993</v>
      </c>
      <c r="K62" s="74"/>
      <c r="L62" s="75"/>
      <c r="M62" s="82"/>
      <c r="N62" s="76"/>
      <c r="O62" s="77"/>
      <c r="P62" s="77"/>
      <c r="Q62" s="60" t="s">
        <v>330</v>
      </c>
      <c r="R62" s="60"/>
      <c r="S62" s="60"/>
      <c r="T62" s="174"/>
    </row>
    <row r="63" spans="1:21" s="4" customFormat="1" ht="18" customHeight="1" x14ac:dyDescent="0.25">
      <c r="A63" s="98"/>
      <c r="B63" s="99"/>
      <c r="C63" s="99"/>
      <c r="D63" s="60"/>
      <c r="E63" s="63" t="s">
        <v>376</v>
      </c>
      <c r="F63" s="45">
        <v>1</v>
      </c>
      <c r="G63" s="45"/>
      <c r="H63" s="45">
        <v>3.6</v>
      </c>
      <c r="I63" s="97">
        <v>3.45</v>
      </c>
      <c r="J63" s="73">
        <f>F63*I63*-1*H63</f>
        <v>-12.420000000000002</v>
      </c>
      <c r="K63" s="74"/>
      <c r="L63" s="75"/>
      <c r="M63" s="82"/>
      <c r="N63" s="76"/>
      <c r="O63" s="77"/>
      <c r="P63" s="77"/>
      <c r="Q63" s="60" t="s">
        <v>330</v>
      </c>
      <c r="R63" s="60"/>
      <c r="S63" s="60"/>
      <c r="T63" s="174"/>
    </row>
    <row r="64" spans="1:21" s="4" customFormat="1" ht="18" customHeight="1" x14ac:dyDescent="0.25">
      <c r="A64" s="98"/>
      <c r="B64" s="99"/>
      <c r="C64" s="99"/>
      <c r="D64" s="60"/>
      <c r="E64" s="63" t="s">
        <v>352</v>
      </c>
      <c r="F64" s="45">
        <v>1</v>
      </c>
      <c r="G64" s="45">
        <f>3.78+5.76</f>
        <v>9.5399999999999991</v>
      </c>
      <c r="H64" s="45"/>
      <c r="I64" s="97">
        <f>I58</f>
        <v>3.7</v>
      </c>
      <c r="J64" s="73">
        <f>F64*G64*I64</f>
        <v>35.298000000000002</v>
      </c>
      <c r="K64" s="74"/>
      <c r="L64" s="75"/>
      <c r="M64" s="82"/>
      <c r="N64" s="76"/>
      <c r="O64" s="77"/>
      <c r="P64" s="77"/>
      <c r="Q64" s="60" t="s">
        <v>352</v>
      </c>
      <c r="R64" s="60"/>
      <c r="S64" s="60"/>
      <c r="T64" s="174"/>
    </row>
    <row r="65" spans="1:20" s="4" customFormat="1" ht="18" customHeight="1" x14ac:dyDescent="0.25">
      <c r="A65" s="98"/>
      <c r="B65" s="99"/>
      <c r="C65" s="99"/>
      <c r="D65" s="60"/>
      <c r="E65" s="63" t="s">
        <v>326</v>
      </c>
      <c r="F65" s="45">
        <v>1</v>
      </c>
      <c r="G65" s="45">
        <f>0.61+8+0.6+1.23+2.1+0.62+0.09+0.24</f>
        <v>13.489999999999998</v>
      </c>
      <c r="H65" s="45"/>
      <c r="I65" s="97">
        <f>I64</f>
        <v>3.7</v>
      </c>
      <c r="J65" s="73">
        <f>F65*G65*I65</f>
        <v>49.912999999999997</v>
      </c>
      <c r="K65" s="74"/>
      <c r="L65" s="75"/>
      <c r="M65" s="82"/>
      <c r="N65" s="76"/>
      <c r="O65" s="77"/>
      <c r="P65" s="77"/>
      <c r="Q65" s="60" t="s">
        <v>326</v>
      </c>
      <c r="R65" s="60"/>
      <c r="S65" s="60"/>
      <c r="T65" s="174"/>
    </row>
    <row r="66" spans="1:20" s="4" customFormat="1" ht="18" customHeight="1" x14ac:dyDescent="0.25">
      <c r="A66" s="98"/>
      <c r="B66" s="99"/>
      <c r="C66" s="99"/>
      <c r="D66" s="60"/>
      <c r="E66" s="63" t="s">
        <v>377</v>
      </c>
      <c r="F66" s="45">
        <v>1</v>
      </c>
      <c r="G66" s="45"/>
      <c r="H66" s="45"/>
      <c r="I66" s="97"/>
      <c r="J66" s="38"/>
      <c r="K66" s="74"/>
      <c r="L66" s="75"/>
      <c r="M66" s="82"/>
      <c r="N66" s="76"/>
      <c r="O66" s="77"/>
      <c r="P66" s="77"/>
      <c r="Q66" s="60" t="s">
        <v>326</v>
      </c>
      <c r="R66" s="60"/>
      <c r="S66" s="60"/>
      <c r="T66" s="174"/>
    </row>
    <row r="67" spans="1:20" s="4" customFormat="1" ht="18" customHeight="1" x14ac:dyDescent="0.25">
      <c r="A67" s="98"/>
      <c r="B67" s="99"/>
      <c r="C67" s="99"/>
      <c r="D67" s="60"/>
      <c r="E67" s="63" t="s">
        <v>378</v>
      </c>
      <c r="F67" s="45">
        <v>1</v>
      </c>
      <c r="G67" s="45"/>
      <c r="H67" s="45"/>
      <c r="I67" s="97"/>
      <c r="J67" s="38"/>
      <c r="K67" s="74"/>
      <c r="L67" s="75"/>
      <c r="M67" s="82"/>
      <c r="N67" s="76"/>
      <c r="O67" s="77"/>
      <c r="P67" s="77"/>
      <c r="Q67" s="60" t="s">
        <v>326</v>
      </c>
      <c r="R67" s="60"/>
      <c r="S67" s="60"/>
      <c r="T67" s="174"/>
    </row>
    <row r="68" spans="1:20" s="4" customFormat="1" ht="18" customHeight="1" x14ac:dyDescent="0.25">
      <c r="A68" s="98"/>
      <c r="B68" s="99"/>
      <c r="C68" s="99"/>
      <c r="D68" s="60"/>
      <c r="E68" s="63" t="s">
        <v>333</v>
      </c>
      <c r="F68" s="45">
        <v>1</v>
      </c>
      <c r="G68" s="45">
        <f>0.97+0.97+0.46+0.8+0.8+0.45+0.65+2.11+3.08+0.77+1.39+0.73+0.4+1.78+1.77+1.5</f>
        <v>18.630000000000003</v>
      </c>
      <c r="H68" s="45"/>
      <c r="I68" s="97">
        <f>I65</f>
        <v>3.7</v>
      </c>
      <c r="J68" s="73">
        <f>F68*G68*I68</f>
        <v>68.931000000000012</v>
      </c>
      <c r="K68" s="74"/>
      <c r="L68" s="75"/>
      <c r="M68" s="82"/>
      <c r="N68" s="76"/>
      <c r="O68" s="77"/>
      <c r="P68" s="77"/>
      <c r="Q68" s="60" t="s">
        <v>333</v>
      </c>
      <c r="R68" s="60"/>
      <c r="S68" s="60"/>
      <c r="T68" s="174"/>
    </row>
    <row r="69" spans="1:20" s="4" customFormat="1" ht="18" customHeight="1" x14ac:dyDescent="0.25">
      <c r="A69" s="98"/>
      <c r="B69" s="99"/>
      <c r="C69" s="99"/>
      <c r="D69" s="60"/>
      <c r="E69" s="63" t="s">
        <v>338</v>
      </c>
      <c r="F69" s="45">
        <v>1</v>
      </c>
      <c r="G69" s="45">
        <f>1.4+0.35+4.36+2.94</f>
        <v>9.0500000000000007</v>
      </c>
      <c r="H69" s="45"/>
      <c r="I69" s="97">
        <f>I65</f>
        <v>3.7</v>
      </c>
      <c r="J69" s="73">
        <f>F69*G69*I69</f>
        <v>33.485000000000007</v>
      </c>
      <c r="K69" s="74"/>
      <c r="L69" s="75"/>
      <c r="M69" s="82"/>
      <c r="N69" s="76"/>
      <c r="O69" s="77"/>
      <c r="P69" s="77"/>
      <c r="Q69" s="60" t="s">
        <v>338</v>
      </c>
      <c r="R69" s="60"/>
      <c r="S69" s="60"/>
      <c r="T69" s="174"/>
    </row>
    <row r="70" spans="1:20" s="4" customFormat="1" ht="18" customHeight="1" x14ac:dyDescent="0.25">
      <c r="A70" s="98"/>
      <c r="B70" s="99"/>
      <c r="C70" s="99"/>
      <c r="D70" s="60"/>
      <c r="E70" s="63" t="s">
        <v>379</v>
      </c>
      <c r="F70" s="45">
        <v>1</v>
      </c>
      <c r="G70" s="45"/>
      <c r="H70" s="45"/>
      <c r="I70" s="97"/>
      <c r="J70" s="38"/>
      <c r="K70" s="74"/>
      <c r="L70" s="75"/>
      <c r="M70" s="82"/>
      <c r="N70" s="76"/>
      <c r="O70" s="77"/>
      <c r="P70" s="77"/>
      <c r="Q70" s="60" t="s">
        <v>338</v>
      </c>
      <c r="R70" s="60"/>
      <c r="S70" s="60"/>
      <c r="T70" s="174"/>
    </row>
    <row r="71" spans="1:20" s="4" customFormat="1" ht="18" customHeight="1" x14ac:dyDescent="0.25">
      <c r="A71" s="98"/>
      <c r="B71" s="99"/>
      <c r="C71" s="99"/>
      <c r="D71" s="60"/>
      <c r="E71" s="63" t="s">
        <v>380</v>
      </c>
      <c r="F71" s="45">
        <v>1</v>
      </c>
      <c r="G71" s="45"/>
      <c r="H71" s="45"/>
      <c r="I71" s="97"/>
      <c r="J71" s="38"/>
      <c r="K71" s="74"/>
      <c r="L71" s="75"/>
      <c r="M71" s="82"/>
      <c r="N71" s="76"/>
      <c r="O71" s="77"/>
      <c r="P71" s="77"/>
      <c r="Q71" s="60" t="s">
        <v>338</v>
      </c>
      <c r="R71" s="60"/>
      <c r="S71" s="60"/>
      <c r="T71" s="174"/>
    </row>
    <row r="72" spans="1:20" s="4" customFormat="1" ht="18" customHeight="1" x14ac:dyDescent="0.25">
      <c r="A72" s="98"/>
      <c r="B72" s="99"/>
      <c r="C72" s="99"/>
      <c r="D72" s="60" t="s">
        <v>387</v>
      </c>
      <c r="E72" s="63" t="s">
        <v>323</v>
      </c>
      <c r="F72" s="45">
        <v>1</v>
      </c>
      <c r="G72" s="45">
        <f>1.85+0.95</f>
        <v>2.8</v>
      </c>
      <c r="H72" s="45"/>
      <c r="I72" s="97">
        <f>I69</f>
        <v>3.7</v>
      </c>
      <c r="J72" s="73">
        <f>F72*G72*I72</f>
        <v>10.36</v>
      </c>
      <c r="K72" s="74"/>
      <c r="L72" s="75"/>
      <c r="M72" s="82"/>
      <c r="N72" s="76"/>
      <c r="O72" s="77"/>
      <c r="P72" s="77"/>
      <c r="Q72" s="60"/>
      <c r="R72" s="60"/>
      <c r="S72" s="60"/>
      <c r="T72" s="174"/>
    </row>
    <row r="73" spans="1:20" s="4" customFormat="1" ht="18" customHeight="1" x14ac:dyDescent="0.25">
      <c r="A73" s="98"/>
      <c r="B73" s="99"/>
      <c r="C73" s="99"/>
      <c r="D73" s="60" t="s">
        <v>387</v>
      </c>
      <c r="E73" s="63" t="s">
        <v>323</v>
      </c>
      <c r="F73" s="45">
        <v>1</v>
      </c>
      <c r="G73" s="45"/>
      <c r="H73" s="45">
        <v>0.9</v>
      </c>
      <c r="I73" s="97">
        <v>3.45</v>
      </c>
      <c r="J73" s="73">
        <f>F73*I73*-1*H73</f>
        <v>-3.1050000000000004</v>
      </c>
      <c r="K73" s="74"/>
      <c r="L73" s="75"/>
      <c r="M73" s="82"/>
      <c r="N73" s="76"/>
      <c r="O73" s="77"/>
      <c r="P73" s="77"/>
      <c r="Q73" s="60"/>
      <c r="R73" s="60"/>
      <c r="S73" s="60"/>
      <c r="T73" s="174"/>
    </row>
    <row r="74" spans="1:20" s="4" customFormat="1" ht="18" customHeight="1" x14ac:dyDescent="0.25">
      <c r="A74" s="98"/>
      <c r="B74" s="99"/>
      <c r="C74" s="99"/>
      <c r="D74" s="60"/>
      <c r="E74" s="63"/>
      <c r="F74" s="45"/>
      <c r="G74" s="45"/>
      <c r="H74" s="45"/>
      <c r="I74" s="97"/>
      <c r="J74" s="73"/>
      <c r="K74" s="74"/>
      <c r="L74" s="75"/>
      <c r="M74" s="82"/>
      <c r="N74" s="76"/>
      <c r="O74" s="77"/>
      <c r="P74" s="77"/>
      <c r="Q74" s="60"/>
      <c r="R74" s="60"/>
      <c r="S74" s="60"/>
      <c r="T74" s="174"/>
    </row>
    <row r="75" spans="1:20" s="4" customFormat="1" ht="22.5" customHeight="1" x14ac:dyDescent="0.25">
      <c r="A75" s="36"/>
      <c r="B75" s="290" t="s">
        <v>381</v>
      </c>
      <c r="C75" s="291"/>
      <c r="D75" s="291"/>
      <c r="E75" s="292"/>
      <c r="F75" s="45"/>
      <c r="G75" s="45"/>
      <c r="H75" s="45"/>
      <c r="I75" s="37"/>
      <c r="J75" s="73"/>
      <c r="K75" s="74"/>
      <c r="L75" s="81"/>
      <c r="M75" s="82"/>
      <c r="N75" s="82"/>
      <c r="O75" s="87"/>
      <c r="P75" s="87"/>
      <c r="Q75" s="60"/>
      <c r="R75" s="60"/>
      <c r="S75" s="60"/>
      <c r="T75" s="174"/>
    </row>
    <row r="76" spans="1:20" s="4" customFormat="1" ht="18" customHeight="1" x14ac:dyDescent="0.25">
      <c r="A76" s="98"/>
      <c r="B76" s="290" t="s">
        <v>382</v>
      </c>
      <c r="C76" s="291"/>
      <c r="D76" s="291"/>
      <c r="E76" s="292"/>
      <c r="F76" s="45"/>
      <c r="G76" s="45"/>
      <c r="H76" s="45"/>
      <c r="I76" s="97"/>
      <c r="J76" s="73"/>
      <c r="K76" s="74"/>
      <c r="L76" s="75"/>
      <c r="M76" s="82"/>
      <c r="N76" s="76"/>
      <c r="O76" s="77"/>
      <c r="P76" s="77"/>
      <c r="Q76" s="60"/>
      <c r="R76" s="60"/>
      <c r="S76" s="60"/>
      <c r="T76" s="174"/>
    </row>
    <row r="77" spans="1:20" s="4" customFormat="1" ht="18" customHeight="1" x14ac:dyDescent="0.25">
      <c r="A77" s="36">
        <v>1</v>
      </c>
      <c r="B77" s="39" t="s">
        <v>383</v>
      </c>
      <c r="C77" s="36" t="s">
        <v>52</v>
      </c>
      <c r="D77" s="60"/>
      <c r="E77" s="63" t="s">
        <v>330</v>
      </c>
      <c r="F77" s="45">
        <v>1</v>
      </c>
      <c r="G77" s="45">
        <v>55.8</v>
      </c>
      <c r="H77" s="45"/>
      <c r="I77" s="97">
        <v>3.35</v>
      </c>
      <c r="J77" s="73">
        <f>F77*G77*I77</f>
        <v>186.93</v>
      </c>
      <c r="K77" s="74"/>
      <c r="L77" s="75"/>
      <c r="M77" s="82"/>
      <c r="N77" s="76"/>
      <c r="O77" s="77"/>
      <c r="P77" s="77"/>
      <c r="Q77" s="60" t="s">
        <v>330</v>
      </c>
      <c r="R77" s="60"/>
      <c r="S77" s="60"/>
      <c r="T77" s="174"/>
    </row>
    <row r="78" spans="1:20" s="4" customFormat="1" ht="18" customHeight="1" x14ac:dyDescent="0.25">
      <c r="A78" s="98"/>
      <c r="B78" s="99"/>
      <c r="C78" s="99"/>
      <c r="D78" s="60"/>
      <c r="E78" s="63" t="s">
        <v>326</v>
      </c>
      <c r="F78" s="45">
        <v>1</v>
      </c>
      <c r="G78" s="45">
        <v>11.4</v>
      </c>
      <c r="H78" s="45"/>
      <c r="I78" s="97">
        <v>3.35</v>
      </c>
      <c r="J78" s="73">
        <f>F78*G78*I78</f>
        <v>38.190000000000005</v>
      </c>
      <c r="K78" s="74"/>
      <c r="L78" s="75"/>
      <c r="M78" s="82"/>
      <c r="N78" s="76"/>
      <c r="O78" s="77"/>
      <c r="P78" s="77"/>
      <c r="Q78" s="60" t="s">
        <v>326</v>
      </c>
      <c r="R78" s="60"/>
      <c r="S78" s="60"/>
      <c r="T78" s="174"/>
    </row>
    <row r="79" spans="1:20" s="4" customFormat="1" ht="18" customHeight="1" x14ac:dyDescent="0.25">
      <c r="A79" s="98"/>
      <c r="B79" s="290" t="s">
        <v>384</v>
      </c>
      <c r="C79" s="291"/>
      <c r="D79" s="291"/>
      <c r="E79" s="292"/>
      <c r="F79" s="45"/>
      <c r="G79" s="45"/>
      <c r="H79" s="45"/>
      <c r="I79" s="97"/>
      <c r="J79" s="73"/>
      <c r="K79" s="74"/>
      <c r="L79" s="75"/>
      <c r="M79" s="82"/>
      <c r="N79" s="76"/>
      <c r="O79" s="77"/>
      <c r="P79" s="77"/>
      <c r="Q79" s="60"/>
      <c r="R79" s="60"/>
      <c r="S79" s="60"/>
      <c r="T79" s="174"/>
    </row>
    <row r="80" spans="1:20" s="4" customFormat="1" ht="18" customHeight="1" x14ac:dyDescent="0.25">
      <c r="A80" s="98"/>
      <c r="B80" s="99"/>
      <c r="C80" s="99"/>
      <c r="D80" s="60"/>
      <c r="E80" s="63" t="s">
        <v>333</v>
      </c>
      <c r="F80" s="45">
        <v>1</v>
      </c>
      <c r="G80" s="45">
        <v>25.9</v>
      </c>
      <c r="H80" s="45"/>
      <c r="I80" s="97">
        <v>3.6</v>
      </c>
      <c r="J80" s="73">
        <f t="shared" ref="J80:J85" si="10">F80*G80*I80</f>
        <v>93.24</v>
      </c>
      <c r="K80" s="74"/>
      <c r="L80" s="75"/>
      <c r="M80" s="82"/>
      <c r="N80" s="76"/>
      <c r="O80" s="77"/>
      <c r="P80" s="77"/>
      <c r="Q80" s="60"/>
      <c r="R80" s="60"/>
      <c r="S80" s="60"/>
      <c r="T80" s="174"/>
    </row>
    <row r="81" spans="1:20" s="4" customFormat="1" ht="18" customHeight="1" x14ac:dyDescent="0.25">
      <c r="A81" s="98"/>
      <c r="B81" s="99"/>
      <c r="C81" s="99"/>
      <c r="D81" s="60"/>
      <c r="E81" s="63" t="s">
        <v>338</v>
      </c>
      <c r="F81" s="45">
        <v>1</v>
      </c>
      <c r="G81" s="45">
        <f>48+0.6</f>
        <v>48.6</v>
      </c>
      <c r="H81" s="45"/>
      <c r="I81" s="97">
        <v>3.6</v>
      </c>
      <c r="J81" s="73">
        <f t="shared" si="10"/>
        <v>174.96</v>
      </c>
      <c r="K81" s="74"/>
      <c r="L81" s="75"/>
      <c r="M81" s="82"/>
      <c r="N81" s="76"/>
      <c r="O81" s="77"/>
      <c r="P81" s="77"/>
      <c r="Q81" s="60"/>
      <c r="R81" s="60"/>
      <c r="S81" s="60"/>
      <c r="T81" s="174"/>
    </row>
    <row r="82" spans="1:20" s="4" customFormat="1" ht="18" customHeight="1" x14ac:dyDescent="0.25">
      <c r="A82" s="98"/>
      <c r="B82" s="99"/>
      <c r="C82" s="99"/>
      <c r="D82" s="60"/>
      <c r="E82" s="63" t="s">
        <v>323</v>
      </c>
      <c r="F82" s="45">
        <v>1</v>
      </c>
      <c r="G82" s="45">
        <v>6.1</v>
      </c>
      <c r="H82" s="45"/>
      <c r="I82" s="97">
        <v>3.6</v>
      </c>
      <c r="J82" s="73">
        <f t="shared" si="10"/>
        <v>21.96</v>
      </c>
      <c r="K82" s="74"/>
      <c r="L82" s="75"/>
      <c r="M82" s="82"/>
      <c r="N82" s="76"/>
      <c r="O82" s="77"/>
      <c r="P82" s="77"/>
      <c r="Q82" s="60"/>
      <c r="R82" s="60"/>
      <c r="S82" s="60"/>
      <c r="T82" s="174"/>
    </row>
    <row r="83" spans="1:20" s="4" customFormat="1" ht="18" customHeight="1" x14ac:dyDescent="0.25">
      <c r="A83" s="98"/>
      <c r="B83" s="99"/>
      <c r="C83" s="99"/>
      <c r="D83" s="60"/>
      <c r="E83" s="63" t="s">
        <v>326</v>
      </c>
      <c r="F83" s="45">
        <v>1</v>
      </c>
      <c r="G83" s="45">
        <v>4.5</v>
      </c>
      <c r="H83" s="45"/>
      <c r="I83" s="97">
        <v>3.6</v>
      </c>
      <c r="J83" s="73">
        <f t="shared" si="10"/>
        <v>16.2</v>
      </c>
      <c r="K83" s="74"/>
      <c r="L83" s="75"/>
      <c r="M83" s="82"/>
      <c r="N83" s="76"/>
      <c r="O83" s="77"/>
      <c r="P83" s="77"/>
      <c r="Q83" s="60"/>
      <c r="R83" s="60"/>
      <c r="S83" s="60"/>
      <c r="T83" s="174"/>
    </row>
    <row r="84" spans="1:20" s="4" customFormat="1" ht="18" customHeight="1" x14ac:dyDescent="0.25">
      <c r="A84" s="98"/>
      <c r="B84" s="99"/>
      <c r="C84" s="99"/>
      <c r="D84" s="60"/>
      <c r="E84" s="63" t="s">
        <v>352</v>
      </c>
      <c r="F84" s="45">
        <v>1</v>
      </c>
      <c r="G84" s="45">
        <v>18.8</v>
      </c>
      <c r="H84" s="45"/>
      <c r="I84" s="97">
        <v>3.6</v>
      </c>
      <c r="J84" s="73">
        <f t="shared" si="10"/>
        <v>67.680000000000007</v>
      </c>
      <c r="K84" s="74"/>
      <c r="L84" s="75"/>
      <c r="M84" s="82"/>
      <c r="N84" s="76"/>
      <c r="O84" s="77"/>
      <c r="P84" s="77"/>
      <c r="Q84" s="60"/>
      <c r="R84" s="60"/>
      <c r="S84" s="60"/>
      <c r="T84" s="174"/>
    </row>
    <row r="85" spans="1:20" s="4" customFormat="1" ht="18" customHeight="1" x14ac:dyDescent="0.25">
      <c r="A85" s="98"/>
      <c r="B85" s="99"/>
      <c r="C85" s="99"/>
      <c r="D85" s="60"/>
      <c r="E85" s="63" t="s">
        <v>365</v>
      </c>
      <c r="F85" s="45">
        <v>1</v>
      </c>
      <c r="G85" s="45">
        <v>18.899999999999999</v>
      </c>
      <c r="H85" s="45"/>
      <c r="I85" s="97">
        <v>3.6</v>
      </c>
      <c r="J85" s="73">
        <f t="shared" si="10"/>
        <v>68.039999999999992</v>
      </c>
      <c r="K85" s="74"/>
      <c r="L85" s="75"/>
      <c r="M85" s="82"/>
      <c r="N85" s="76"/>
      <c r="O85" s="77"/>
      <c r="P85" s="77"/>
      <c r="Q85" s="60"/>
      <c r="R85" s="60"/>
      <c r="S85" s="60"/>
      <c r="T85" s="174"/>
    </row>
    <row r="86" spans="1:20" s="4" customFormat="1" ht="18" customHeight="1" x14ac:dyDescent="0.25">
      <c r="A86" s="98"/>
      <c r="B86" s="99"/>
      <c r="C86" s="99"/>
      <c r="D86" s="60"/>
      <c r="E86" s="63" t="s">
        <v>385</v>
      </c>
      <c r="F86" s="45">
        <v>1</v>
      </c>
      <c r="G86" s="45"/>
      <c r="H86" s="45"/>
      <c r="I86" s="97"/>
      <c r="J86" s="73"/>
      <c r="K86" s="74"/>
      <c r="L86" s="75"/>
      <c r="M86" s="82"/>
      <c r="N86" s="76"/>
      <c r="O86" s="77"/>
      <c r="P86" s="77"/>
      <c r="Q86" s="63" t="s">
        <v>338</v>
      </c>
      <c r="R86" s="60"/>
      <c r="S86" s="60"/>
      <c r="T86" s="174"/>
    </row>
    <row r="87" spans="1:20" s="4" customFormat="1" ht="18" customHeight="1" x14ac:dyDescent="0.25">
      <c r="A87" s="98"/>
      <c r="B87" s="99"/>
      <c r="C87" s="99"/>
      <c r="D87" s="60"/>
      <c r="E87" s="63" t="s">
        <v>386</v>
      </c>
      <c r="F87" s="45">
        <v>1</v>
      </c>
      <c r="G87" s="45"/>
      <c r="H87" s="45"/>
      <c r="I87" s="97"/>
      <c r="J87" s="73"/>
      <c r="K87" s="74"/>
      <c r="L87" s="75"/>
      <c r="M87" s="82"/>
      <c r="N87" s="76"/>
      <c r="O87" s="77"/>
      <c r="P87" s="77"/>
      <c r="Q87" s="63" t="s">
        <v>326</v>
      </c>
      <c r="R87" s="60"/>
      <c r="S87" s="60"/>
      <c r="T87" s="174"/>
    </row>
    <row r="88" spans="1:20" s="4" customFormat="1" ht="18" customHeight="1" x14ac:dyDescent="0.25">
      <c r="A88" s="98"/>
      <c r="B88" s="99"/>
      <c r="C88" s="99"/>
      <c r="D88" s="60"/>
      <c r="E88" s="63" t="s">
        <v>388</v>
      </c>
      <c r="F88" s="45">
        <v>1</v>
      </c>
      <c r="G88" s="45"/>
      <c r="H88" s="45"/>
      <c r="I88" s="97"/>
      <c r="J88" s="73"/>
      <c r="K88" s="74">
        <f t="shared" si="4"/>
        <v>0</v>
      </c>
      <c r="L88" s="75">
        <f t="shared" si="0"/>
        <v>0</v>
      </c>
      <c r="M88" s="82"/>
      <c r="N88" s="76">
        <f t="shared" si="1"/>
        <v>0</v>
      </c>
      <c r="O88" s="77">
        <f t="shared" si="2"/>
        <v>0</v>
      </c>
      <c r="P88" s="77">
        <f t="shared" si="3"/>
        <v>0</v>
      </c>
      <c r="Q88" s="63" t="s">
        <v>338</v>
      </c>
      <c r="R88" s="60"/>
      <c r="S88" s="60"/>
      <c r="T88" s="174"/>
    </row>
    <row r="89" spans="1:20" s="4" customFormat="1" ht="18" customHeight="1" x14ac:dyDescent="0.25">
      <c r="A89" s="98"/>
      <c r="B89" s="99"/>
      <c r="C89" s="99"/>
      <c r="D89" s="60"/>
      <c r="E89" s="63" t="s">
        <v>389</v>
      </c>
      <c r="F89" s="45">
        <v>1</v>
      </c>
      <c r="G89" s="45"/>
      <c r="H89" s="45"/>
      <c r="I89" s="37"/>
      <c r="J89" s="73"/>
      <c r="K89" s="74">
        <f t="shared" si="4"/>
        <v>0</v>
      </c>
      <c r="L89" s="75">
        <f t="shared" si="0"/>
        <v>0</v>
      </c>
      <c r="M89" s="82"/>
      <c r="N89" s="76">
        <f t="shared" si="1"/>
        <v>0</v>
      </c>
      <c r="O89" s="77">
        <f t="shared" si="2"/>
        <v>0</v>
      </c>
      <c r="P89" s="77">
        <f t="shared" si="3"/>
        <v>0</v>
      </c>
      <c r="Q89" s="63" t="s">
        <v>338</v>
      </c>
      <c r="R89" s="60"/>
      <c r="S89" s="60"/>
      <c r="T89" s="174"/>
    </row>
    <row r="90" spans="1:20" s="4" customFormat="1" ht="18" customHeight="1" x14ac:dyDescent="0.25">
      <c r="A90" s="98"/>
      <c r="B90" s="99"/>
      <c r="C90" s="99"/>
      <c r="D90" s="60"/>
      <c r="E90" s="63" t="s">
        <v>390</v>
      </c>
      <c r="F90" s="45">
        <v>1</v>
      </c>
      <c r="G90" s="45"/>
      <c r="H90" s="45"/>
      <c r="I90" s="37"/>
      <c r="J90" s="73"/>
      <c r="K90" s="74"/>
      <c r="L90" s="75"/>
      <c r="M90" s="82"/>
      <c r="N90" s="76"/>
      <c r="O90" s="77"/>
      <c r="P90" s="77"/>
      <c r="Q90" s="63" t="s">
        <v>338</v>
      </c>
      <c r="R90" s="60"/>
      <c r="S90" s="60"/>
      <c r="T90" s="174"/>
    </row>
    <row r="91" spans="1:20" s="4" customFormat="1" ht="18" customHeight="1" x14ac:dyDescent="0.25">
      <c r="A91" s="98"/>
      <c r="B91" s="99"/>
      <c r="C91" s="99"/>
      <c r="D91" s="60"/>
      <c r="E91" s="63" t="s">
        <v>388</v>
      </c>
      <c r="F91" s="45">
        <v>1</v>
      </c>
      <c r="G91" s="45"/>
      <c r="H91" s="45"/>
      <c r="I91" s="37"/>
      <c r="J91" s="73"/>
      <c r="K91" s="74"/>
      <c r="L91" s="75"/>
      <c r="M91" s="82"/>
      <c r="N91" s="76"/>
      <c r="O91" s="77"/>
      <c r="P91" s="77"/>
      <c r="Q91" s="63" t="s">
        <v>333</v>
      </c>
      <c r="R91" s="60"/>
      <c r="S91" s="60"/>
      <c r="T91" s="174"/>
    </row>
    <row r="92" spans="1:20" s="4" customFormat="1" ht="18" customHeight="1" x14ac:dyDescent="0.25">
      <c r="A92" s="98"/>
      <c r="B92" s="99"/>
      <c r="C92" s="99"/>
      <c r="D92" s="60"/>
      <c r="E92" s="63" t="s">
        <v>391</v>
      </c>
      <c r="F92" s="45">
        <v>1</v>
      </c>
      <c r="G92" s="45"/>
      <c r="H92" s="45"/>
      <c r="I92" s="37"/>
      <c r="J92" s="73"/>
      <c r="K92" s="74"/>
      <c r="L92" s="75"/>
      <c r="M92" s="82"/>
      <c r="N92" s="76"/>
      <c r="O92" s="77"/>
      <c r="P92" s="77"/>
      <c r="Q92" s="63" t="s">
        <v>352</v>
      </c>
      <c r="R92" s="60"/>
      <c r="S92" s="60"/>
      <c r="T92" s="174"/>
    </row>
    <row r="93" spans="1:20" s="4" customFormat="1" ht="18" customHeight="1" x14ac:dyDescent="0.25">
      <c r="A93" s="98"/>
      <c r="B93" s="99"/>
      <c r="C93" s="99"/>
      <c r="D93" s="60"/>
      <c r="E93" s="63" t="s">
        <v>392</v>
      </c>
      <c r="F93" s="45">
        <v>1</v>
      </c>
      <c r="G93" s="45"/>
      <c r="H93" s="45"/>
      <c r="I93" s="37"/>
      <c r="J93" s="73"/>
      <c r="K93" s="74"/>
      <c r="L93" s="75"/>
      <c r="M93" s="82"/>
      <c r="N93" s="76"/>
      <c r="O93" s="77"/>
      <c r="P93" s="77"/>
      <c r="Q93" s="63" t="s">
        <v>338</v>
      </c>
      <c r="R93" s="60"/>
      <c r="S93" s="60"/>
      <c r="T93" s="174"/>
    </row>
    <row r="94" spans="1:20" s="4" customFormat="1" ht="18" customHeight="1" x14ac:dyDescent="0.25">
      <c r="A94" s="98"/>
      <c r="B94" s="99"/>
      <c r="C94" s="99"/>
      <c r="D94" s="60"/>
      <c r="E94" s="63" t="s">
        <v>393</v>
      </c>
      <c r="F94" s="45">
        <v>1</v>
      </c>
      <c r="G94" s="45"/>
      <c r="H94" s="45"/>
      <c r="I94" s="37"/>
      <c r="J94" s="73"/>
      <c r="K94" s="74"/>
      <c r="L94" s="75"/>
      <c r="M94" s="82"/>
      <c r="N94" s="76"/>
      <c r="O94" s="77"/>
      <c r="P94" s="77"/>
      <c r="Q94" s="63" t="s">
        <v>338</v>
      </c>
      <c r="R94" s="60"/>
      <c r="S94" s="60"/>
      <c r="T94" s="174"/>
    </row>
    <row r="95" spans="1:20" s="4" customFormat="1" ht="18" customHeight="1" x14ac:dyDescent="0.25">
      <c r="A95" s="98"/>
      <c r="B95" s="99"/>
      <c r="C95" s="99"/>
      <c r="D95" s="60"/>
      <c r="E95" s="63" t="s">
        <v>394</v>
      </c>
      <c r="F95" s="45">
        <v>1</v>
      </c>
      <c r="G95" s="45"/>
      <c r="H95" s="45"/>
      <c r="I95" s="37"/>
      <c r="J95" s="73"/>
      <c r="K95" s="74"/>
      <c r="L95" s="75"/>
      <c r="M95" s="82"/>
      <c r="N95" s="76"/>
      <c r="O95" s="77"/>
      <c r="P95" s="77"/>
      <c r="Q95" s="63" t="s">
        <v>338</v>
      </c>
      <c r="R95" s="60"/>
      <c r="S95" s="60"/>
      <c r="T95" s="174"/>
    </row>
    <row r="96" spans="1:20" s="4" customFormat="1" ht="18" customHeight="1" x14ac:dyDescent="0.25">
      <c r="A96" s="98"/>
      <c r="B96" s="99"/>
      <c r="C96" s="99"/>
      <c r="D96" s="60"/>
      <c r="E96" s="63"/>
      <c r="F96" s="45"/>
      <c r="G96" s="45"/>
      <c r="H96" s="45"/>
      <c r="I96" s="37"/>
      <c r="J96" s="73"/>
      <c r="K96" s="74"/>
      <c r="L96" s="75"/>
      <c r="M96" s="82"/>
      <c r="N96" s="76"/>
      <c r="O96" s="77"/>
      <c r="P96" s="77"/>
      <c r="Q96" s="63"/>
      <c r="R96" s="60"/>
      <c r="S96" s="60"/>
      <c r="T96" s="174"/>
    </row>
    <row r="97" spans="1:20" s="4" customFormat="1" ht="22.5" customHeight="1" x14ac:dyDescent="0.25">
      <c r="A97" s="36"/>
      <c r="B97" s="290" t="s">
        <v>395</v>
      </c>
      <c r="C97" s="291"/>
      <c r="D97" s="291"/>
      <c r="E97" s="292"/>
      <c r="F97" s="45"/>
      <c r="G97" s="45"/>
      <c r="H97" s="45"/>
      <c r="I97" s="37"/>
      <c r="J97" s="73"/>
      <c r="K97" s="74"/>
      <c r="L97" s="81"/>
      <c r="M97" s="82"/>
      <c r="N97" s="82"/>
      <c r="O97" s="87"/>
      <c r="P97" s="87"/>
      <c r="Q97" s="60"/>
      <c r="R97" s="60"/>
      <c r="S97" s="60"/>
      <c r="T97" s="174"/>
    </row>
    <row r="98" spans="1:20" s="4" customFormat="1" ht="18" customHeight="1" x14ac:dyDescent="0.25">
      <c r="A98" s="98"/>
      <c r="B98" s="290" t="s">
        <v>382</v>
      </c>
      <c r="C98" s="291"/>
      <c r="D98" s="291"/>
      <c r="E98" s="292"/>
      <c r="F98" s="45"/>
      <c r="G98" s="45"/>
      <c r="H98" s="45"/>
      <c r="I98" s="97"/>
      <c r="J98" s="73"/>
      <c r="K98" s="74"/>
      <c r="L98" s="75"/>
      <c r="M98" s="82"/>
      <c r="N98" s="76"/>
      <c r="O98" s="77"/>
      <c r="P98" s="77"/>
      <c r="Q98" s="60"/>
      <c r="R98" s="60"/>
      <c r="S98" s="60"/>
      <c r="T98" s="174"/>
    </row>
    <row r="99" spans="1:20" s="4" customFormat="1" ht="18" customHeight="1" x14ac:dyDescent="0.25">
      <c r="A99" s="36">
        <v>1</v>
      </c>
      <c r="B99" s="39" t="s">
        <v>383</v>
      </c>
      <c r="C99" s="36" t="s">
        <v>52</v>
      </c>
      <c r="D99" s="60"/>
      <c r="E99" s="63" t="s">
        <v>330</v>
      </c>
      <c r="F99" s="45">
        <v>1</v>
      </c>
      <c r="G99" s="45">
        <v>55.8</v>
      </c>
      <c r="H99" s="45"/>
      <c r="I99" s="97">
        <v>3.35</v>
      </c>
      <c r="J99" s="73">
        <f>F99*G99*I99</f>
        <v>186.93</v>
      </c>
      <c r="K99" s="74"/>
      <c r="L99" s="75"/>
      <c r="M99" s="82"/>
      <c r="N99" s="76"/>
      <c r="O99" s="77"/>
      <c r="P99" s="77"/>
      <c r="Q99" s="60" t="s">
        <v>330</v>
      </c>
      <c r="R99" s="60"/>
      <c r="S99" s="60"/>
      <c r="T99" s="174"/>
    </row>
    <row r="100" spans="1:20" s="4" customFormat="1" ht="18" customHeight="1" x14ac:dyDescent="0.25">
      <c r="A100" s="98"/>
      <c r="B100" s="99"/>
      <c r="C100" s="99"/>
      <c r="D100" s="60"/>
      <c r="E100" s="63" t="s">
        <v>326</v>
      </c>
      <c r="F100" s="45">
        <v>1</v>
      </c>
      <c r="G100" s="45">
        <v>11.4</v>
      </c>
      <c r="H100" s="45"/>
      <c r="I100" s="97">
        <v>3.35</v>
      </c>
      <c r="J100" s="73">
        <f>F100*G100*I100</f>
        <v>38.190000000000005</v>
      </c>
      <c r="K100" s="74"/>
      <c r="L100" s="75"/>
      <c r="M100" s="82"/>
      <c r="N100" s="76"/>
      <c r="O100" s="77"/>
      <c r="P100" s="77"/>
      <c r="Q100" s="60" t="s">
        <v>326</v>
      </c>
      <c r="R100" s="60"/>
      <c r="S100" s="60"/>
      <c r="T100" s="174"/>
    </row>
    <row r="101" spans="1:20" s="4" customFormat="1" ht="18" customHeight="1" x14ac:dyDescent="0.25">
      <c r="A101" s="98"/>
      <c r="B101" s="290" t="s">
        <v>384</v>
      </c>
      <c r="C101" s="291"/>
      <c r="D101" s="291"/>
      <c r="E101" s="292"/>
      <c r="F101" s="45"/>
      <c r="G101" s="45"/>
      <c r="H101" s="45"/>
      <c r="I101" s="97"/>
      <c r="J101" s="73"/>
      <c r="K101" s="74"/>
      <c r="L101" s="75"/>
      <c r="M101" s="82"/>
      <c r="N101" s="76"/>
      <c r="O101" s="77"/>
      <c r="P101" s="77"/>
      <c r="Q101" s="60"/>
      <c r="R101" s="60"/>
      <c r="S101" s="60"/>
      <c r="T101" s="174"/>
    </row>
    <row r="102" spans="1:20" s="4" customFormat="1" ht="18" customHeight="1" x14ac:dyDescent="0.25">
      <c r="A102" s="98"/>
      <c r="B102" s="99"/>
      <c r="C102" s="99"/>
      <c r="D102" s="60"/>
      <c r="E102" s="63"/>
      <c r="F102" s="45"/>
      <c r="G102" s="45"/>
      <c r="H102" s="45"/>
      <c r="I102" s="37"/>
      <c r="J102" s="73"/>
      <c r="K102" s="74"/>
      <c r="L102" s="75"/>
      <c r="M102" s="82"/>
      <c r="N102" s="76"/>
      <c r="O102" s="77"/>
      <c r="P102" s="77"/>
      <c r="Q102" s="63"/>
      <c r="R102" s="60"/>
      <c r="S102" s="60"/>
      <c r="T102" s="174"/>
    </row>
    <row r="103" spans="1:20" s="4" customFormat="1" ht="18" customHeight="1" x14ac:dyDescent="0.25">
      <c r="A103" s="98"/>
      <c r="B103" s="99"/>
      <c r="C103" s="99"/>
      <c r="D103" s="60"/>
      <c r="E103" s="63"/>
      <c r="F103" s="45"/>
      <c r="G103" s="45"/>
      <c r="H103" s="45"/>
      <c r="I103" s="37"/>
      <c r="J103" s="73"/>
      <c r="K103" s="74"/>
      <c r="L103" s="75"/>
      <c r="M103" s="82"/>
      <c r="N103" s="76"/>
      <c r="O103" s="77"/>
      <c r="P103" s="77"/>
      <c r="Q103" s="63"/>
      <c r="R103" s="60"/>
      <c r="S103" s="60"/>
      <c r="T103" s="174"/>
    </row>
    <row r="104" spans="1:20" s="4" customFormat="1" ht="18" customHeight="1" x14ac:dyDescent="0.25">
      <c r="A104" s="98"/>
      <c r="B104" s="99"/>
      <c r="C104" s="99"/>
      <c r="D104" s="60"/>
      <c r="E104" s="63"/>
      <c r="F104" s="45"/>
      <c r="G104" s="45"/>
      <c r="H104" s="45"/>
      <c r="I104" s="37"/>
      <c r="J104" s="73"/>
      <c r="K104" s="74"/>
      <c r="L104" s="75"/>
      <c r="M104" s="82"/>
      <c r="N104" s="76"/>
      <c r="O104" s="77"/>
      <c r="P104" s="77"/>
      <c r="Q104" s="63"/>
      <c r="R104" s="60"/>
      <c r="S104" s="60"/>
      <c r="T104" s="174"/>
    </row>
    <row r="105" spans="1:20" s="4" customFormat="1" ht="18" customHeight="1" x14ac:dyDescent="0.25">
      <c r="A105" s="98"/>
      <c r="B105" s="99"/>
      <c r="C105" s="99"/>
      <c r="D105" s="60"/>
      <c r="E105" s="63"/>
      <c r="F105" s="45"/>
      <c r="G105" s="45"/>
      <c r="H105" s="45"/>
      <c r="I105" s="37"/>
      <c r="J105" s="73"/>
      <c r="K105" s="74"/>
      <c r="L105" s="75"/>
      <c r="M105" s="82"/>
      <c r="N105" s="76"/>
      <c r="O105" s="77"/>
      <c r="P105" s="77"/>
      <c r="Q105" s="63"/>
      <c r="R105" s="60"/>
      <c r="S105" s="60"/>
      <c r="T105" s="174"/>
    </row>
    <row r="106" spans="1:20" s="4" customFormat="1" ht="18" customHeight="1" x14ac:dyDescent="0.25">
      <c r="A106" s="98"/>
      <c r="B106" s="99"/>
      <c r="C106" s="99"/>
      <c r="D106" s="60"/>
      <c r="E106" s="63"/>
      <c r="F106" s="45"/>
      <c r="G106" s="45"/>
      <c r="H106" s="45"/>
      <c r="I106" s="37"/>
      <c r="J106" s="73"/>
      <c r="K106" s="74"/>
      <c r="L106" s="75"/>
      <c r="M106" s="82"/>
      <c r="N106" s="76"/>
      <c r="O106" s="77"/>
      <c r="P106" s="77"/>
      <c r="Q106" s="63"/>
      <c r="R106" s="60"/>
      <c r="S106" s="60"/>
      <c r="T106" s="174"/>
    </row>
    <row r="107" spans="1:20" s="4" customFormat="1" ht="18" customHeight="1" x14ac:dyDescent="0.25">
      <c r="A107" s="98"/>
      <c r="B107" s="99"/>
      <c r="C107" s="99"/>
      <c r="D107" s="60"/>
      <c r="E107" s="63"/>
      <c r="F107" s="45"/>
      <c r="G107" s="45"/>
      <c r="H107" s="45"/>
      <c r="I107" s="37"/>
      <c r="J107" s="73"/>
      <c r="K107" s="74"/>
      <c r="L107" s="75"/>
      <c r="M107" s="82"/>
      <c r="N107" s="76"/>
      <c r="O107" s="77"/>
      <c r="P107" s="77"/>
      <c r="Q107" s="63"/>
      <c r="R107" s="60"/>
      <c r="S107" s="60"/>
      <c r="T107" s="174"/>
    </row>
    <row r="108" spans="1:20" s="4" customFormat="1" ht="18" customHeight="1" x14ac:dyDescent="0.25">
      <c r="A108" s="98"/>
      <c r="B108" s="99"/>
      <c r="C108" s="99"/>
      <c r="D108" s="60"/>
      <c r="E108" s="63"/>
      <c r="F108" s="45"/>
      <c r="G108" s="45"/>
      <c r="H108" s="45"/>
      <c r="I108" s="37"/>
      <c r="J108" s="73"/>
      <c r="K108" s="74"/>
      <c r="L108" s="75"/>
      <c r="M108" s="82"/>
      <c r="N108" s="76"/>
      <c r="O108" s="77"/>
      <c r="P108" s="77"/>
      <c r="Q108" s="63"/>
      <c r="R108" s="60"/>
      <c r="S108" s="60"/>
      <c r="T108" s="174"/>
    </row>
    <row r="109" spans="1:20" s="4" customFormat="1" ht="18" customHeight="1" x14ac:dyDescent="0.25">
      <c r="A109" s="98"/>
      <c r="B109" s="99"/>
      <c r="C109" s="99"/>
      <c r="D109" s="60"/>
      <c r="E109" s="63"/>
      <c r="F109" s="45"/>
      <c r="G109" s="45"/>
      <c r="H109" s="45"/>
      <c r="I109" s="37"/>
      <c r="J109" s="73"/>
      <c r="K109" s="74"/>
      <c r="L109" s="75"/>
      <c r="M109" s="82"/>
      <c r="N109" s="76"/>
      <c r="O109" s="77"/>
      <c r="P109" s="77"/>
      <c r="Q109" s="63"/>
      <c r="R109" s="60"/>
      <c r="S109" s="60"/>
      <c r="T109" s="174"/>
    </row>
    <row r="110" spans="1:20" s="4" customFormat="1" ht="18" customHeight="1" x14ac:dyDescent="0.25">
      <c r="A110" s="98"/>
      <c r="B110" s="99"/>
      <c r="C110" s="99"/>
      <c r="D110" s="60"/>
      <c r="E110" s="63"/>
      <c r="F110" s="45"/>
      <c r="G110" s="45"/>
      <c r="H110" s="45"/>
      <c r="I110" s="37"/>
      <c r="J110" s="73"/>
      <c r="K110" s="74">
        <f t="shared" si="4"/>
        <v>0</v>
      </c>
      <c r="L110" s="75">
        <f>F110*2*(G110+H110)*I110</f>
        <v>0</v>
      </c>
      <c r="M110" s="82"/>
      <c r="N110" s="76">
        <f t="shared" si="1"/>
        <v>0</v>
      </c>
      <c r="O110" s="77">
        <f t="shared" si="2"/>
        <v>0</v>
      </c>
      <c r="P110" s="77">
        <f t="shared" si="3"/>
        <v>0</v>
      </c>
      <c r="Q110" s="60"/>
      <c r="R110" s="60"/>
      <c r="S110" s="60"/>
      <c r="T110" s="174"/>
    </row>
    <row r="111" spans="1:20" s="4" customFormat="1" ht="18" customHeight="1" x14ac:dyDescent="0.25">
      <c r="A111" s="98"/>
      <c r="B111" s="99"/>
      <c r="C111" s="99"/>
      <c r="D111" s="60"/>
      <c r="E111" s="63"/>
      <c r="F111" s="45"/>
      <c r="G111" s="45"/>
      <c r="H111" s="45"/>
      <c r="I111" s="37"/>
      <c r="J111" s="73"/>
      <c r="K111" s="74">
        <f t="shared" si="4"/>
        <v>0</v>
      </c>
      <c r="L111" s="75">
        <f>F111*2*(G111+H111)*I111</f>
        <v>0</v>
      </c>
      <c r="M111" s="82"/>
      <c r="N111" s="76">
        <f t="shared" si="1"/>
        <v>0</v>
      </c>
      <c r="O111" s="77">
        <f t="shared" si="2"/>
        <v>0</v>
      </c>
      <c r="P111" s="77">
        <f t="shared" si="3"/>
        <v>0</v>
      </c>
      <c r="Q111" s="60"/>
      <c r="R111" s="60"/>
      <c r="S111" s="60"/>
      <c r="T111" s="174"/>
    </row>
    <row r="112" spans="1:20" s="4" customFormat="1" ht="18" customHeight="1" x14ac:dyDescent="0.25">
      <c r="A112" s="98"/>
      <c r="B112" s="99"/>
      <c r="C112" s="99"/>
      <c r="D112" s="60"/>
      <c r="E112" s="63"/>
      <c r="F112" s="45"/>
      <c r="G112" s="45"/>
      <c r="H112" s="45"/>
      <c r="I112" s="37"/>
      <c r="J112" s="73"/>
      <c r="K112" s="74">
        <f t="shared" si="4"/>
        <v>0</v>
      </c>
      <c r="L112" s="75">
        <f t="shared" si="0"/>
        <v>0</v>
      </c>
      <c r="M112" s="82"/>
      <c r="N112" s="76">
        <f t="shared" si="1"/>
        <v>0</v>
      </c>
      <c r="O112" s="77">
        <f t="shared" si="2"/>
        <v>0</v>
      </c>
      <c r="P112" s="77">
        <f t="shared" si="3"/>
        <v>0</v>
      </c>
      <c r="Q112" s="60"/>
      <c r="R112" s="60"/>
      <c r="S112" s="60"/>
      <c r="T112" s="174"/>
    </row>
    <row r="113" spans="1:20" s="4" customFormat="1" ht="15" customHeight="1" x14ac:dyDescent="0.25">
      <c r="A113" s="60"/>
      <c r="B113" s="39"/>
      <c r="C113" s="36"/>
      <c r="D113" s="39"/>
      <c r="E113" s="63"/>
      <c r="F113" s="45"/>
      <c r="G113" s="45"/>
      <c r="H113" s="45"/>
      <c r="I113" s="37"/>
      <c r="J113" s="73"/>
      <c r="K113" s="74"/>
      <c r="L113" s="81"/>
      <c r="M113" s="82"/>
      <c r="N113" s="82"/>
      <c r="O113" s="87"/>
      <c r="P113" s="87"/>
      <c r="Q113" s="62"/>
      <c r="R113" s="62"/>
      <c r="S113" s="62"/>
      <c r="T113" s="174"/>
    </row>
    <row r="114" spans="1:20" s="6" customFormat="1" ht="26.25" customHeight="1" x14ac:dyDescent="0.25">
      <c r="A114" s="47"/>
      <c r="B114" s="48"/>
      <c r="C114" s="48"/>
      <c r="D114" s="48"/>
      <c r="E114" s="49" t="s">
        <v>55</v>
      </c>
      <c r="F114" s="51"/>
      <c r="G114" s="51"/>
      <c r="H114" s="51"/>
      <c r="I114" s="52"/>
      <c r="J114" s="53" t="e">
        <f>SUM(#REF!)</f>
        <v>#REF!</v>
      </c>
      <c r="K114" s="54" t="e">
        <f>SUM(#REF!)</f>
        <v>#REF!</v>
      </c>
      <c r="L114" s="54" t="e">
        <f>SUM(#REF!)</f>
        <v>#REF!</v>
      </c>
      <c r="M114" s="54" t="e">
        <f>SUM(#REF!)</f>
        <v>#REF!</v>
      </c>
      <c r="N114" s="54" t="e">
        <f>SUM(#REF!)</f>
        <v>#REF!</v>
      </c>
      <c r="O114" s="54" t="e">
        <f>SUM(#REF!)</f>
        <v>#REF!</v>
      </c>
      <c r="P114" s="54" t="e">
        <f>SUM(#REF!)</f>
        <v>#REF!</v>
      </c>
      <c r="Q114" s="47"/>
      <c r="R114" s="48"/>
      <c r="S114" s="56"/>
      <c r="T114" s="174"/>
    </row>
  </sheetData>
  <mergeCells count="16">
    <mergeCell ref="B76:E76"/>
    <mergeCell ref="B79:E79"/>
    <mergeCell ref="B98:E98"/>
    <mergeCell ref="B101:E101"/>
    <mergeCell ref="B97:E97"/>
    <mergeCell ref="B12:E12"/>
    <mergeCell ref="B13:E13"/>
    <mergeCell ref="D16:D17"/>
    <mergeCell ref="D18:D26"/>
    <mergeCell ref="D27:D31"/>
    <mergeCell ref="B75:E75"/>
    <mergeCell ref="D32:D42"/>
    <mergeCell ref="D43:D46"/>
    <mergeCell ref="D47:D50"/>
    <mergeCell ref="D51:D52"/>
    <mergeCell ref="D53:D58"/>
  </mergeCells>
  <phoneticPr fontId="1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Sheet9</vt:lpstr>
      <vt:lpstr>Level Cal</vt:lpstr>
      <vt:lpstr>SITE WORK </vt:lpstr>
      <vt:lpstr>Level Cal (2)</vt:lpstr>
      <vt:lpstr>EARTHWORKS</vt:lpstr>
      <vt:lpstr>PCC</vt:lpstr>
      <vt:lpstr>Waterproofing Works</vt:lpstr>
      <vt:lpstr>Concrete Substructure</vt:lpstr>
      <vt:lpstr>Concrete SuperStructure</vt:lpstr>
      <vt:lpstr>SUMMARY</vt:lpstr>
      <vt:lpstr>Rebar-Substructure</vt:lpstr>
      <vt:lpstr>Rebar-Superstructure</vt:lpstr>
      <vt:lpstr>REBAR RATIO</vt:lpstr>
      <vt:lpstr>Masonry</vt:lpstr>
      <vt:lpstr>EARTHWORKS!Print_Area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mamdouh labib</dc:creator>
  <cp:lastModifiedBy>Constech QS</cp:lastModifiedBy>
  <cp:lastPrinted>2025-07-31T08:52:41Z</cp:lastPrinted>
  <dcterms:created xsi:type="dcterms:W3CDTF">2023-12-27T07:22:45Z</dcterms:created>
  <dcterms:modified xsi:type="dcterms:W3CDTF">2026-09-17T15:17:25Z</dcterms:modified>
</cp:coreProperties>
</file>