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8" windowWidth="22116" windowHeight="9552"/>
  </bookViews>
  <sheets>
    <sheet name="(SnoutPoint) Flujo de Caja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B29" i="1" l="1"/>
  <c r="G54" i="1" l="1"/>
  <c r="E54" i="1"/>
  <c r="F54" i="1"/>
  <c r="F25" i="1" s="1"/>
  <c r="F27" i="1" s="1"/>
  <c r="G25" i="1"/>
  <c r="G27" i="1" s="1"/>
  <c r="D54" i="1"/>
  <c r="D25" i="1" s="1"/>
  <c r="D27" i="1" s="1"/>
  <c r="C54" i="1"/>
  <c r="C25" i="1" s="1"/>
  <c r="C27" i="1" s="1"/>
  <c r="E25" i="1"/>
  <c r="E27" i="1" s="1"/>
  <c r="B27" i="1"/>
  <c r="C24" i="1"/>
  <c r="D24" i="1"/>
  <c r="E24" i="1"/>
  <c r="F24" i="1"/>
  <c r="G24" i="1"/>
  <c r="C23" i="1"/>
  <c r="D23" i="1"/>
  <c r="E23" i="1"/>
  <c r="F23" i="1"/>
  <c r="G23" i="1"/>
  <c r="B23" i="1"/>
  <c r="B25" i="1"/>
  <c r="B24" i="1"/>
  <c r="G26" i="1"/>
  <c r="B26" i="1"/>
  <c r="H49" i="1"/>
  <c r="L47" i="1"/>
  <c r="J44" i="1"/>
  <c r="H44" i="1"/>
  <c r="I44" i="1"/>
  <c r="L44" i="1"/>
  <c r="B11" i="1"/>
  <c r="C44" i="1" s="1"/>
  <c r="H38" i="1"/>
  <c r="H35" i="1"/>
  <c r="H32" i="1"/>
  <c r="G33" i="1"/>
  <c r="H33" i="1" s="1"/>
  <c r="H39" i="1" s="1"/>
  <c r="G34" i="1"/>
  <c r="H34" i="1" s="1"/>
  <c r="G35" i="1"/>
  <c r="G36" i="1"/>
  <c r="H36" i="1" s="1"/>
  <c r="G37" i="1"/>
  <c r="H37" i="1" s="1"/>
  <c r="G38" i="1"/>
  <c r="G32" i="1"/>
  <c r="B54" i="1"/>
  <c r="D44" i="1"/>
  <c r="E44" i="1"/>
  <c r="F44" i="1"/>
  <c r="G44" i="1"/>
  <c r="B44" i="1"/>
  <c r="B21" i="1"/>
  <c r="B22" i="1" s="1"/>
  <c r="E39" i="1"/>
  <c r="D19" i="1"/>
  <c r="E19" i="1"/>
  <c r="F19" i="1"/>
  <c r="G19" i="1"/>
  <c r="C19" i="1"/>
  <c r="B39" i="1"/>
  <c r="B12" i="1" l="1"/>
  <c r="B5" i="1"/>
  <c r="B13" i="1"/>
  <c r="C45" i="1" l="1"/>
  <c r="C47" i="1" s="1"/>
  <c r="J45" i="1"/>
  <c r="J47" i="1" s="1"/>
  <c r="H45" i="1"/>
  <c r="H47" i="1" s="1"/>
  <c r="I45" i="1"/>
  <c r="L45" i="1"/>
  <c r="I47" i="1"/>
  <c r="L46" i="1"/>
  <c r="F47" i="1"/>
  <c r="E47" i="1"/>
  <c r="B47" i="1"/>
  <c r="C20" i="1"/>
  <c r="C21" i="1" s="1"/>
  <c r="C22" i="1" s="1"/>
  <c r="G20" i="1"/>
  <c r="G21" i="1" s="1"/>
  <c r="G22" i="1" s="1"/>
  <c r="G45" i="1"/>
  <c r="G47" i="1" s="1"/>
  <c r="D20" i="1"/>
  <c r="D21" i="1" s="1"/>
  <c r="D22" i="1" s="1"/>
  <c r="B45" i="1"/>
  <c r="B46" i="1" s="1"/>
  <c r="F45" i="1"/>
  <c r="E20" i="1"/>
  <c r="E21" i="1" s="1"/>
  <c r="E22" i="1" s="1"/>
  <c r="D45" i="1"/>
  <c r="E45" i="1"/>
  <c r="F20" i="1"/>
  <c r="F21" i="1" s="1"/>
  <c r="F22" i="1" s="1"/>
  <c r="D46" i="1" l="1"/>
  <c r="E46" i="1" s="1"/>
  <c r="F46" i="1" s="1"/>
  <c r="C46" i="1"/>
  <c r="D47" i="1"/>
  <c r="G46" i="1" l="1"/>
  <c r="H46" i="1" s="1"/>
  <c r="I46" i="1" s="1"/>
  <c r="J46" i="1" s="1"/>
</calcChain>
</file>

<file path=xl/sharedStrings.xml><?xml version="1.0" encoding="utf-8"?>
<sst xmlns="http://schemas.openxmlformats.org/spreadsheetml/2006/main" count="70" uniqueCount="64">
  <si>
    <t>Desarrollar el proyecto sobre 6 periodos (meses) desde el periodo 0 hasta el periodo 5</t>
  </si>
  <si>
    <t>ventas de 0$ desde el periodo hasta el periodo 6</t>
  </si>
  <si>
    <t>costos de ventas equivalentes a 0$ de las ventas</t>
  </si>
  <si>
    <t xml:space="preserve">otros costos de $200.000 en el periodo 0, luego equivalentes al 30% del costo inicial </t>
  </si>
  <si>
    <t>tasa impositiva de 30%</t>
  </si>
  <si>
    <t xml:space="preserve">capital inicial de trabajo </t>
  </si>
  <si>
    <t xml:space="preserve">Periodos </t>
  </si>
  <si>
    <t>ventas</t>
  </si>
  <si>
    <t>costos de ventas</t>
  </si>
  <si>
    <t>otros costos</t>
  </si>
  <si>
    <t>depreciación</t>
  </si>
  <si>
    <t>Utilidades</t>
  </si>
  <si>
    <t>Impuestos sobre operaciones</t>
  </si>
  <si>
    <t>Flujo de caja de las operaciones</t>
  </si>
  <si>
    <t>Capital de trabajo</t>
  </si>
  <si>
    <t>Cambio en el capital de trabajo</t>
  </si>
  <si>
    <t>Inversion de capital</t>
  </si>
  <si>
    <t>Flujo de caja NETO</t>
  </si>
  <si>
    <t>VPN</t>
  </si>
  <si>
    <t>Esteban Hernandez</t>
  </si>
  <si>
    <t>Integrante</t>
  </si>
  <si>
    <t>Salario Mensual</t>
  </si>
  <si>
    <t>Camilo Oviedo</t>
  </si>
  <si>
    <t>Fabiana Díaz</t>
  </si>
  <si>
    <t>David Suarez</t>
  </si>
  <si>
    <t>Camilo Benavides</t>
  </si>
  <si>
    <t>Alejandra Rocha</t>
  </si>
  <si>
    <t>Sebastián Jiménez</t>
  </si>
  <si>
    <t>TOTAL</t>
  </si>
  <si>
    <t>Tasa de Depreciación</t>
  </si>
  <si>
    <t>Monto Depreciable</t>
  </si>
  <si>
    <t>Depreciación por periodo</t>
  </si>
  <si>
    <t>HP Pavilion G6</t>
  </si>
  <si>
    <t>ASUS x5ms</t>
  </si>
  <si>
    <t>Samsung i5-2450M</t>
  </si>
  <si>
    <t>ASUS N56V</t>
  </si>
  <si>
    <t>HP ENVY DV4</t>
  </si>
  <si>
    <t>HP G42-415DX</t>
  </si>
  <si>
    <t>MACHINTOSH</t>
  </si>
  <si>
    <t>Periodo</t>
  </si>
  <si>
    <t>Valor contable</t>
  </si>
  <si>
    <t>Flujo de Depreciación</t>
  </si>
  <si>
    <t>Flujo Capital de Trabajo</t>
  </si>
  <si>
    <t>Capital de Trabajo</t>
  </si>
  <si>
    <t>Cambio en el Capital de Trabajo</t>
  </si>
  <si>
    <t>Depreciación</t>
  </si>
  <si>
    <t>Depreciación acumulada</t>
  </si>
  <si>
    <t>Costo por año depreciable</t>
  </si>
  <si>
    <t>Costo Computador Inicialmente</t>
  </si>
  <si>
    <t>FLUJO DE CAJA</t>
  </si>
  <si>
    <t>Costo Actual Computador</t>
  </si>
  <si>
    <t>Años de Vida Util Según  Artículo 2 del Decreto 3019 de 1989</t>
  </si>
  <si>
    <t>Año Adquisición del Computador</t>
  </si>
  <si>
    <t>Computador en Uso</t>
  </si>
  <si>
    <t>capital a depreciar sobre 3 años según metodo de linea recta: 36 meses</t>
  </si>
  <si>
    <t>Periodo de terminación del Proyecto</t>
  </si>
  <si>
    <t>…</t>
  </si>
  <si>
    <t>Por desición empresarial</t>
  </si>
  <si>
    <t>Desinversión:</t>
  </si>
  <si>
    <t>valor de rescate 0$, debido a que no se venderán los equipos al final</t>
  </si>
  <si>
    <t>inversión inicial en:</t>
  </si>
  <si>
    <t>hasta el periodo 4</t>
  </si>
  <si>
    <t xml:space="preserve">para el periodo 0, y un valor de </t>
  </si>
  <si>
    <t>Tasa de oportunidad: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</si>
</sst>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u/>
      <sz val="13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21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5" xfId="0" applyBorder="1" applyAlignment="1">
      <alignment vertical="center"/>
    </xf>
    <xf numFmtId="0" fontId="0" fillId="0" borderId="16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21" xfId="0" applyBorder="1" applyAlignment="1">
      <alignment vertical="center"/>
    </xf>
    <xf numFmtId="44" fontId="0" fillId="0" borderId="0" xfId="1" applyFont="1" applyAlignment="1">
      <alignment vertical="center"/>
    </xf>
    <xf numFmtId="44" fontId="0" fillId="0" borderId="0" xfId="0" applyNumberFormat="1" applyAlignment="1">
      <alignment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164" fontId="0" fillId="0" borderId="17" xfId="1" applyNumberFormat="1" applyFont="1" applyBorder="1" applyAlignment="1">
      <alignment vertical="center"/>
    </xf>
    <xf numFmtId="164" fontId="0" fillId="0" borderId="18" xfId="1" applyNumberFormat="1" applyFont="1" applyBorder="1" applyAlignment="1">
      <alignment vertical="center"/>
    </xf>
    <xf numFmtId="164" fontId="0" fillId="0" borderId="19" xfId="1" applyNumberFormat="1" applyFont="1" applyBorder="1" applyAlignment="1">
      <alignment vertical="center"/>
    </xf>
    <xf numFmtId="164" fontId="0" fillId="0" borderId="12" xfId="1" applyNumberFormat="1" applyFont="1" applyBorder="1" applyAlignment="1">
      <alignment vertical="center"/>
    </xf>
    <xf numFmtId="164" fontId="0" fillId="0" borderId="3" xfId="1" applyNumberFormat="1" applyFont="1" applyBorder="1" applyAlignment="1">
      <alignment vertical="center"/>
    </xf>
    <xf numFmtId="164" fontId="0" fillId="0" borderId="7" xfId="1" applyNumberFormat="1" applyFont="1" applyBorder="1" applyAlignment="1">
      <alignment vertical="center"/>
    </xf>
    <xf numFmtId="164" fontId="0" fillId="0" borderId="13" xfId="1" applyNumberFormat="1" applyFont="1" applyBorder="1" applyAlignment="1">
      <alignment vertical="center"/>
    </xf>
    <xf numFmtId="164" fontId="0" fillId="0" borderId="9" xfId="1" applyNumberFormat="1" applyFont="1" applyBorder="1" applyAlignment="1">
      <alignment vertical="center"/>
    </xf>
    <xf numFmtId="0" fontId="0" fillId="0" borderId="0" xfId="0" applyBorder="1" applyAlignment="1">
      <alignment horizontal="center" vertical="center"/>
    </xf>
    <xf numFmtId="164" fontId="0" fillId="0" borderId="0" xfId="1" applyNumberFormat="1" applyFont="1" applyBorder="1" applyAlignment="1">
      <alignment vertical="center"/>
    </xf>
    <xf numFmtId="164" fontId="0" fillId="0" borderId="33" xfId="1" applyNumberFormat="1" applyFont="1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14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10" fontId="0" fillId="0" borderId="36" xfId="2" applyNumberFormat="1" applyFont="1" applyBorder="1" applyAlignment="1">
      <alignment horizontal="center" vertical="center"/>
    </xf>
    <xf numFmtId="44" fontId="0" fillId="0" borderId="33" xfId="0" applyNumberFormat="1" applyBorder="1" applyAlignment="1">
      <alignment horizontal="center" vertical="center"/>
    </xf>
    <xf numFmtId="44" fontId="0" fillId="0" borderId="25" xfId="0" applyNumberFormat="1" applyBorder="1" applyAlignment="1">
      <alignment horizontal="center" vertical="center"/>
    </xf>
    <xf numFmtId="0" fontId="2" fillId="0" borderId="28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9" xfId="0" applyFont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/>
    </xf>
    <xf numFmtId="0" fontId="0" fillId="5" borderId="37" xfId="0" applyFill="1" applyBorder="1" applyAlignment="1">
      <alignment horizontal="center" vertical="center" wrapText="1"/>
    </xf>
    <xf numFmtId="44" fontId="0" fillId="0" borderId="34" xfId="1" applyFont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44" fontId="0" fillId="0" borderId="4" xfId="1" applyFont="1" applyBorder="1" applyAlignment="1">
      <alignment horizontal="center" vertical="center"/>
    </xf>
    <xf numFmtId="44" fontId="0" fillId="0" borderId="11" xfId="0" applyNumberFormat="1" applyBorder="1" applyAlignment="1">
      <alignment horizontal="center" vertical="center"/>
    </xf>
    <xf numFmtId="44" fontId="0" fillId="0" borderId="5" xfId="0" applyNumberFormat="1" applyBorder="1" applyAlignment="1">
      <alignment horizontal="center" vertical="center"/>
    </xf>
    <xf numFmtId="44" fontId="0" fillId="0" borderId="31" xfId="1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44" fontId="0" fillId="0" borderId="6" xfId="1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44" fontId="0" fillId="0" borderId="12" xfId="0" applyNumberFormat="1" applyBorder="1" applyAlignment="1">
      <alignment horizontal="center" vertical="center"/>
    </xf>
    <xf numFmtId="44" fontId="0" fillId="0" borderId="7" xfId="0" applyNumberFormat="1" applyBorder="1" applyAlignment="1">
      <alignment horizontal="center" vertical="center"/>
    </xf>
    <xf numFmtId="44" fontId="0" fillId="3" borderId="31" xfId="1" applyFont="1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30" xfId="0" applyFill="1" applyBorder="1" applyAlignment="1">
      <alignment horizontal="center" vertical="center"/>
    </xf>
    <xf numFmtId="44" fontId="0" fillId="3" borderId="6" xfId="1" applyFont="1" applyFill="1" applyBorder="1" applyAlignment="1">
      <alignment horizontal="center" vertical="center"/>
    </xf>
    <xf numFmtId="44" fontId="0" fillId="3" borderId="35" xfId="1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3" borderId="32" xfId="0" applyFill="1" applyBorder="1" applyAlignment="1">
      <alignment horizontal="center" vertical="center"/>
    </xf>
    <xf numFmtId="44" fontId="0" fillId="3" borderId="8" xfId="1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44" fontId="0" fillId="0" borderId="13" xfId="0" applyNumberFormat="1" applyBorder="1" applyAlignment="1">
      <alignment horizontal="center" vertical="center"/>
    </xf>
    <xf numFmtId="44" fontId="0" fillId="0" borderId="10" xfId="0" applyNumberFormat="1" applyBorder="1" applyAlignment="1">
      <alignment horizontal="center" vertical="center"/>
    </xf>
    <xf numFmtId="44" fontId="0" fillId="2" borderId="1" xfId="0" applyNumberFormat="1" applyFill="1" applyBorder="1" applyAlignment="1">
      <alignment horizontal="center" vertical="center"/>
    </xf>
    <xf numFmtId="44" fontId="0" fillId="2" borderId="22" xfId="0" applyNumberFormat="1" applyFill="1" applyBorder="1" applyAlignment="1">
      <alignment horizontal="center" vertical="center"/>
    </xf>
    <xf numFmtId="10" fontId="0" fillId="0" borderId="40" xfId="0" applyNumberForma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10" fontId="0" fillId="0" borderId="19" xfId="0" applyNumberFormat="1" applyBorder="1" applyAlignment="1">
      <alignment horizontal="center" vertical="center"/>
    </xf>
    <xf numFmtId="164" fontId="0" fillId="0" borderId="41" xfId="0" applyNumberFormat="1" applyBorder="1" applyAlignment="1">
      <alignment horizontal="center" vertical="center"/>
    </xf>
    <xf numFmtId="164" fontId="0" fillId="0" borderId="7" xfId="1" applyNumberFormat="1" applyFont="1" applyBorder="1" applyAlignment="1">
      <alignment horizontal="center" vertical="center"/>
    </xf>
    <xf numFmtId="164" fontId="0" fillId="0" borderId="42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64" fontId="0" fillId="0" borderId="10" xfId="1" applyNumberFormat="1" applyFont="1" applyBorder="1" applyAlignment="1">
      <alignment horizontal="center" vertical="center"/>
    </xf>
    <xf numFmtId="10" fontId="0" fillId="0" borderId="17" xfId="0" applyNumberFormat="1" applyBorder="1" applyAlignment="1">
      <alignment horizontal="center" vertical="center"/>
    </xf>
    <xf numFmtId="10" fontId="0" fillId="0" borderId="18" xfId="0" applyNumberFormat="1" applyBorder="1" applyAlignment="1">
      <alignment horizontal="center" vertical="center"/>
    </xf>
    <xf numFmtId="10" fontId="0" fillId="0" borderId="29" xfId="0" applyNumberFormat="1" applyBorder="1" applyAlignment="1">
      <alignment horizontal="center" vertical="center"/>
    </xf>
    <xf numFmtId="10" fontId="0" fillId="5" borderId="27" xfId="0" applyNumberFormat="1" applyFill="1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30" xfId="0" applyNumberFormat="1" applyBorder="1" applyAlignment="1">
      <alignment horizontal="center" vertical="center"/>
    </xf>
    <xf numFmtId="164" fontId="0" fillId="5" borderId="6" xfId="0" applyNumberFormat="1" applyFill="1" applyBorder="1" applyAlignment="1">
      <alignment horizontal="center" vertical="center"/>
    </xf>
    <xf numFmtId="164" fontId="0" fillId="0" borderId="13" xfId="0" applyNumberFormat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164" fontId="0" fillId="0" borderId="32" xfId="0" applyNumberFormat="1" applyBorder="1" applyAlignment="1">
      <alignment horizontal="center" vertical="center"/>
    </xf>
    <xf numFmtId="164" fontId="0" fillId="5" borderId="8" xfId="0" applyNumberFormat="1" applyFill="1" applyBorder="1" applyAlignment="1">
      <alignment horizontal="center" vertical="center"/>
    </xf>
    <xf numFmtId="0" fontId="0" fillId="0" borderId="18" xfId="0" applyBorder="1" applyAlignment="1">
      <alignment horizontal="center" vertical="center" wrapText="1"/>
    </xf>
    <xf numFmtId="164" fontId="0" fillId="0" borderId="0" xfId="0" applyNumberFormat="1" applyBorder="1" applyAlignment="1">
      <alignment horizontal="center" vertical="center"/>
    </xf>
    <xf numFmtId="164" fontId="0" fillId="0" borderId="0" xfId="1" applyNumberFormat="1" applyFont="1" applyBorder="1" applyAlignment="1">
      <alignment horizontal="center" vertical="center"/>
    </xf>
    <xf numFmtId="164" fontId="0" fillId="0" borderId="0" xfId="0" applyNumberFormat="1" applyFill="1" applyBorder="1" applyAlignment="1">
      <alignment horizontal="center" vertical="center"/>
    </xf>
    <xf numFmtId="0" fontId="0" fillId="6" borderId="1" xfId="0" applyFill="1" applyBorder="1" applyAlignment="1">
      <alignment vertical="center"/>
    </xf>
    <xf numFmtId="0" fontId="0" fillId="0" borderId="39" xfId="0" applyBorder="1" applyAlignment="1">
      <alignment vertical="center"/>
    </xf>
    <xf numFmtId="164" fontId="0" fillId="0" borderId="38" xfId="1" applyNumberFormat="1" applyFont="1" applyBorder="1" applyAlignment="1">
      <alignment vertical="center"/>
    </xf>
    <xf numFmtId="164" fontId="0" fillId="0" borderId="37" xfId="1" applyNumberFormat="1" applyFont="1" applyBorder="1" applyAlignment="1">
      <alignment vertical="center"/>
    </xf>
    <xf numFmtId="164" fontId="0" fillId="0" borderId="26" xfId="1" applyNumberFormat="1" applyFont="1" applyBorder="1" applyAlignment="1">
      <alignment vertical="center"/>
    </xf>
    <xf numFmtId="164" fontId="0" fillId="6" borderId="20" xfId="1" applyNumberFormat="1" applyFont="1" applyFill="1" applyBorder="1" applyAlignment="1">
      <alignment vertical="center"/>
    </xf>
    <xf numFmtId="164" fontId="0" fillId="6" borderId="24" xfId="1" applyNumberFormat="1" applyFont="1" applyFill="1" applyBorder="1" applyAlignment="1">
      <alignment vertical="center"/>
    </xf>
    <xf numFmtId="0" fontId="2" fillId="0" borderId="23" xfId="0" applyFont="1" applyBorder="1" applyAlignment="1">
      <alignment horizontal="center" vertical="center"/>
    </xf>
    <xf numFmtId="0" fontId="5" fillId="4" borderId="1" xfId="0" applyFont="1" applyFill="1" applyBorder="1" applyAlignment="1">
      <alignment vertical="center"/>
    </xf>
    <xf numFmtId="8" fontId="6" fillId="4" borderId="24" xfId="0" applyNumberFormat="1" applyFont="1" applyFill="1" applyBorder="1" applyAlignment="1">
      <alignment vertical="center"/>
    </xf>
    <xf numFmtId="164" fontId="0" fillId="5" borderId="24" xfId="0" applyNumberFormat="1" applyFill="1" applyBorder="1" applyAlignment="1">
      <alignment horizontal="center" vertical="center"/>
    </xf>
    <xf numFmtId="164" fontId="2" fillId="5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7" borderId="3" xfId="0" applyFill="1" applyBorder="1" applyAlignment="1">
      <alignment vertical="center"/>
    </xf>
    <xf numFmtId="9" fontId="0" fillId="7" borderId="3" xfId="0" applyNumberFormat="1" applyFill="1" applyBorder="1" applyAlignment="1">
      <alignment horizontal="left" vertical="center"/>
    </xf>
  </cellXfs>
  <cellStyles count="3"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4"/>
  <sheetViews>
    <sheetView tabSelected="1" topLeftCell="A24" workbookViewId="0">
      <selection activeCell="B29" sqref="B29"/>
    </sheetView>
  </sheetViews>
  <sheetFormatPr baseColWidth="10" defaultRowHeight="14.4" x14ac:dyDescent="0.3"/>
  <cols>
    <col min="1" max="1" width="27.109375" style="2" customWidth="1"/>
    <col min="2" max="2" width="19.44140625" style="2" customWidth="1"/>
    <col min="3" max="3" width="20.21875" style="2" customWidth="1"/>
    <col min="4" max="4" width="18.77734375" style="2" customWidth="1"/>
    <col min="5" max="5" width="19.33203125" style="2" customWidth="1"/>
    <col min="6" max="6" width="19" style="2" customWidth="1"/>
    <col min="7" max="7" width="20.5546875" style="2" customWidth="1"/>
    <col min="8" max="8" width="19.88671875" style="2" customWidth="1"/>
    <col min="9" max="9" width="17.109375" style="2" customWidth="1"/>
    <col min="10" max="10" width="17" style="2" customWidth="1"/>
    <col min="11" max="11" width="14.5546875" style="2" bestFit="1" customWidth="1"/>
    <col min="12" max="12" width="13.5546875" style="2" bestFit="1" customWidth="1"/>
    <col min="13" max="16384" width="11.5546875" style="2"/>
  </cols>
  <sheetData>
    <row r="1" spans="1:8" x14ac:dyDescent="0.3">
      <c r="A1" s="2" t="s">
        <v>0</v>
      </c>
    </row>
    <row r="2" spans="1:8" x14ac:dyDescent="0.3">
      <c r="A2" s="2" t="s">
        <v>1</v>
      </c>
    </row>
    <row r="3" spans="1:8" x14ac:dyDescent="0.3">
      <c r="A3" s="2" t="s">
        <v>2</v>
      </c>
    </row>
    <row r="4" spans="1:8" x14ac:dyDescent="0.3">
      <c r="A4" s="2" t="s">
        <v>3</v>
      </c>
    </row>
    <row r="5" spans="1:8" x14ac:dyDescent="0.3">
      <c r="A5" s="2" t="s">
        <v>60</v>
      </c>
      <c r="B5" s="10">
        <f>H39</f>
        <v>4600000</v>
      </c>
    </row>
    <row r="6" spans="1:8" x14ac:dyDescent="0.3">
      <c r="A6" s="2" t="s">
        <v>54</v>
      </c>
    </row>
    <row r="7" spans="1:8" x14ac:dyDescent="0.3">
      <c r="A7" s="2" t="s">
        <v>59</v>
      </c>
    </row>
    <row r="8" spans="1:8" x14ac:dyDescent="0.3">
      <c r="A8" s="2" t="s">
        <v>4</v>
      </c>
    </row>
    <row r="9" spans="1:8" ht="28.8" x14ac:dyDescent="0.3">
      <c r="A9" s="2" t="s">
        <v>5</v>
      </c>
      <c r="B9" s="10">
        <v>10000000</v>
      </c>
      <c r="C9" s="103" t="s">
        <v>62</v>
      </c>
      <c r="D9" s="10">
        <v>500000</v>
      </c>
      <c r="E9" s="2" t="s">
        <v>61</v>
      </c>
    </row>
    <row r="10" spans="1:8" ht="15" thickBot="1" x14ac:dyDescent="0.35"/>
    <row r="11" spans="1:8" x14ac:dyDescent="0.3">
      <c r="A11" s="26" t="s">
        <v>29</v>
      </c>
      <c r="B11" s="32">
        <f>1/36</f>
        <v>2.7777777777777776E-2</v>
      </c>
    </row>
    <row r="12" spans="1:8" x14ac:dyDescent="0.3">
      <c r="A12" s="6" t="s">
        <v>30</v>
      </c>
      <c r="B12" s="33">
        <f>H39</f>
        <v>4600000</v>
      </c>
    </row>
    <row r="13" spans="1:8" ht="15" thickBot="1" x14ac:dyDescent="0.35">
      <c r="A13" s="7" t="s">
        <v>31</v>
      </c>
      <c r="B13" s="34">
        <f>B12*B11</f>
        <v>127777.77777777777</v>
      </c>
    </row>
    <row r="14" spans="1:8" x14ac:dyDescent="0.3">
      <c r="C14" s="11"/>
    </row>
    <row r="15" spans="1:8" ht="18" thickBot="1" x14ac:dyDescent="0.35">
      <c r="A15" s="31" t="s">
        <v>49</v>
      </c>
    </row>
    <row r="16" spans="1:8" ht="15" thickBot="1" x14ac:dyDescent="0.35">
      <c r="A16" s="13" t="s">
        <v>6</v>
      </c>
      <c r="B16" s="98">
        <v>0</v>
      </c>
      <c r="C16" s="13">
        <v>1</v>
      </c>
      <c r="D16" s="13">
        <v>2</v>
      </c>
      <c r="E16" s="98">
        <v>3</v>
      </c>
      <c r="F16" s="13">
        <v>4</v>
      </c>
      <c r="G16" s="13">
        <v>5</v>
      </c>
      <c r="H16" s="23"/>
    </row>
    <row r="17" spans="1:8" ht="15" thickBot="1" x14ac:dyDescent="0.35">
      <c r="A17" s="8" t="s">
        <v>7</v>
      </c>
      <c r="B17" s="15">
        <v>0</v>
      </c>
      <c r="C17" s="16">
        <v>0</v>
      </c>
      <c r="D17" s="16">
        <v>0</v>
      </c>
      <c r="E17" s="16">
        <v>0</v>
      </c>
      <c r="F17" s="16">
        <v>0</v>
      </c>
      <c r="G17" s="17">
        <v>0</v>
      </c>
      <c r="H17" s="24"/>
    </row>
    <row r="18" spans="1:8" ht="15" thickBot="1" x14ac:dyDescent="0.35">
      <c r="A18" s="8" t="s">
        <v>8</v>
      </c>
      <c r="B18" s="18">
        <v>0</v>
      </c>
      <c r="C18" s="19">
        <v>0</v>
      </c>
      <c r="D18" s="19">
        <v>0</v>
      </c>
      <c r="E18" s="19">
        <v>0</v>
      </c>
      <c r="F18" s="19">
        <v>0</v>
      </c>
      <c r="G18" s="20">
        <v>0</v>
      </c>
      <c r="H18" s="24"/>
    </row>
    <row r="19" spans="1:8" ht="15" thickBot="1" x14ac:dyDescent="0.35">
      <c r="A19" s="8" t="s">
        <v>9</v>
      </c>
      <c r="B19" s="18">
        <v>200000</v>
      </c>
      <c r="C19" s="19">
        <f>$B$19*0.3</f>
        <v>60000</v>
      </c>
      <c r="D19" s="19">
        <f t="shared" ref="D19:G19" si="0">$B$19*0.3</f>
        <v>60000</v>
      </c>
      <c r="E19" s="19">
        <f t="shared" si="0"/>
        <v>60000</v>
      </c>
      <c r="F19" s="19">
        <f t="shared" si="0"/>
        <v>60000</v>
      </c>
      <c r="G19" s="20">
        <f t="shared" si="0"/>
        <v>60000</v>
      </c>
      <c r="H19" s="24"/>
    </row>
    <row r="20" spans="1:8" ht="15" thickBot="1" x14ac:dyDescent="0.35">
      <c r="A20" s="8" t="s">
        <v>10</v>
      </c>
      <c r="B20" s="18">
        <v>0</v>
      </c>
      <c r="C20" s="19">
        <f>$B$13</f>
        <v>127777.77777777777</v>
      </c>
      <c r="D20" s="19">
        <f>$B$13</f>
        <v>127777.77777777777</v>
      </c>
      <c r="E20" s="19">
        <f>$B$13</f>
        <v>127777.77777777777</v>
      </c>
      <c r="F20" s="19">
        <f>$B$13</f>
        <v>127777.77777777777</v>
      </c>
      <c r="G20" s="20">
        <f>$B$13</f>
        <v>127777.77777777777</v>
      </c>
      <c r="H20" s="24"/>
    </row>
    <row r="21" spans="1:8" ht="15" thickBot="1" x14ac:dyDescent="0.35">
      <c r="A21" s="9" t="s">
        <v>11</v>
      </c>
      <c r="B21" s="18">
        <f>B17-B18-B19-B20</f>
        <v>-200000</v>
      </c>
      <c r="C21" s="18">
        <f t="shared" ref="C21:G21" si="1">C17-C18-C19-C20</f>
        <v>-187777.77777777775</v>
      </c>
      <c r="D21" s="18">
        <f t="shared" si="1"/>
        <v>-187777.77777777775</v>
      </c>
      <c r="E21" s="18">
        <f t="shared" si="1"/>
        <v>-187777.77777777775</v>
      </c>
      <c r="F21" s="18">
        <f t="shared" si="1"/>
        <v>-187777.77777777775</v>
      </c>
      <c r="G21" s="25">
        <f t="shared" si="1"/>
        <v>-187777.77777777775</v>
      </c>
      <c r="H21" s="24"/>
    </row>
    <row r="22" spans="1:8" ht="15" thickBot="1" x14ac:dyDescent="0.35">
      <c r="A22" s="8" t="s">
        <v>12</v>
      </c>
      <c r="B22" s="18">
        <f>B21*0.3</f>
        <v>-60000</v>
      </c>
      <c r="C22" s="18">
        <f t="shared" ref="C22:G22" si="2">C21*0.3</f>
        <v>-56333.333333333321</v>
      </c>
      <c r="D22" s="18">
        <f t="shared" si="2"/>
        <v>-56333.333333333321</v>
      </c>
      <c r="E22" s="18">
        <f t="shared" si="2"/>
        <v>-56333.333333333321</v>
      </c>
      <c r="F22" s="18">
        <f t="shared" si="2"/>
        <v>-56333.333333333321</v>
      </c>
      <c r="G22" s="25">
        <f t="shared" si="2"/>
        <v>-56333.333333333321</v>
      </c>
      <c r="H22" s="24"/>
    </row>
    <row r="23" spans="1:8" ht="15" thickBot="1" x14ac:dyDescent="0.35">
      <c r="A23" s="8" t="s">
        <v>13</v>
      </c>
      <c r="B23" s="18">
        <f>B17-B18-B19-B22</f>
        <v>-140000</v>
      </c>
      <c r="C23" s="18">
        <f t="shared" ref="C23:G23" si="3">C17-C18-C19-C22</f>
        <v>-3666.6666666666788</v>
      </c>
      <c r="D23" s="18">
        <f t="shared" si="3"/>
        <v>-3666.6666666666788</v>
      </c>
      <c r="E23" s="18">
        <f t="shared" si="3"/>
        <v>-3666.6666666666788</v>
      </c>
      <c r="F23" s="18">
        <f t="shared" si="3"/>
        <v>-3666.6666666666788</v>
      </c>
      <c r="G23" s="25">
        <f t="shared" si="3"/>
        <v>-3666.6666666666788</v>
      </c>
      <c r="H23" s="24"/>
    </row>
    <row r="24" spans="1:8" ht="15" thickBot="1" x14ac:dyDescent="0.35">
      <c r="A24" s="8" t="s">
        <v>14</v>
      </c>
      <c r="B24" s="18">
        <f>B53</f>
        <v>10000000</v>
      </c>
      <c r="C24" s="18">
        <f t="shared" ref="C24:G24" si="4">C53</f>
        <v>500000</v>
      </c>
      <c r="D24" s="18">
        <f t="shared" si="4"/>
        <v>500000</v>
      </c>
      <c r="E24" s="18">
        <f t="shared" si="4"/>
        <v>500000</v>
      </c>
      <c r="F24" s="18">
        <f t="shared" si="4"/>
        <v>500000</v>
      </c>
      <c r="G24" s="25">
        <f t="shared" si="4"/>
        <v>0</v>
      </c>
      <c r="H24" s="24"/>
    </row>
    <row r="25" spans="1:8" ht="15" thickBot="1" x14ac:dyDescent="0.35">
      <c r="A25" s="8" t="s">
        <v>15</v>
      </c>
      <c r="B25" s="18">
        <f>B54</f>
        <v>-10000000</v>
      </c>
      <c r="C25" s="18">
        <f t="shared" ref="C25:G25" si="5">C54</f>
        <v>9500000</v>
      </c>
      <c r="D25" s="18">
        <f t="shared" si="5"/>
        <v>0</v>
      </c>
      <c r="E25" s="18">
        <f t="shared" si="5"/>
        <v>0</v>
      </c>
      <c r="F25" s="18">
        <f t="shared" si="5"/>
        <v>0</v>
      </c>
      <c r="G25" s="25">
        <f t="shared" si="5"/>
        <v>500000</v>
      </c>
      <c r="H25" s="24"/>
    </row>
    <row r="26" spans="1:8" ht="15" thickBot="1" x14ac:dyDescent="0.35">
      <c r="A26" s="92" t="s">
        <v>16</v>
      </c>
      <c r="B26" s="93">
        <f>-B5</f>
        <v>-4600000</v>
      </c>
      <c r="C26" s="94">
        <v>0</v>
      </c>
      <c r="D26" s="94">
        <v>0</v>
      </c>
      <c r="E26" s="94">
        <v>0</v>
      </c>
      <c r="F26" s="94">
        <v>0</v>
      </c>
      <c r="G26" s="95">
        <f>H49</f>
        <v>1150000</v>
      </c>
      <c r="H26" s="24"/>
    </row>
    <row r="27" spans="1:8" ht="15" thickBot="1" x14ac:dyDescent="0.35">
      <c r="A27" s="91" t="s">
        <v>17</v>
      </c>
      <c r="B27" s="96">
        <f>B23+B25-B26</f>
        <v>-5540000</v>
      </c>
      <c r="C27" s="96">
        <f t="shared" ref="C27:G27" si="6">C23+C25-C26</f>
        <v>9496333.333333334</v>
      </c>
      <c r="D27" s="96">
        <f t="shared" si="6"/>
        <v>-3666.6666666666788</v>
      </c>
      <c r="E27" s="96">
        <f t="shared" si="6"/>
        <v>-3666.6666666666788</v>
      </c>
      <c r="F27" s="96">
        <f t="shared" si="6"/>
        <v>-3666.6666666666788</v>
      </c>
      <c r="G27" s="97">
        <f t="shared" si="6"/>
        <v>-653666.66666666674</v>
      </c>
      <c r="H27" s="24"/>
    </row>
    <row r="28" spans="1:8" ht="15" thickBot="1" x14ac:dyDescent="0.35"/>
    <row r="29" spans="1:8" ht="18.600000000000001" thickBot="1" x14ac:dyDescent="0.35">
      <c r="A29" s="99" t="s">
        <v>18</v>
      </c>
      <c r="B29" s="100">
        <f>NPV(E29,C27:G27)+B27</f>
        <v>1583697.9869447229</v>
      </c>
      <c r="D29" s="104" t="s">
        <v>63</v>
      </c>
      <c r="E29" s="105">
        <v>0.3</v>
      </c>
    </row>
    <row r="30" spans="1:8" ht="15" thickBot="1" x14ac:dyDescent="0.35"/>
    <row r="31" spans="1:8" ht="58.2" thickBot="1" x14ac:dyDescent="0.35">
      <c r="A31" s="36" t="s">
        <v>20</v>
      </c>
      <c r="B31" s="35" t="s">
        <v>21</v>
      </c>
      <c r="C31" s="36" t="s">
        <v>53</v>
      </c>
      <c r="D31" s="36" t="s">
        <v>52</v>
      </c>
      <c r="E31" s="37" t="s">
        <v>48</v>
      </c>
      <c r="F31" s="38" t="s">
        <v>51</v>
      </c>
      <c r="G31" s="36" t="s">
        <v>47</v>
      </c>
      <c r="H31" s="36" t="s">
        <v>50</v>
      </c>
    </row>
    <row r="32" spans="1:8" x14ac:dyDescent="0.3">
      <c r="A32" s="27" t="s">
        <v>19</v>
      </c>
      <c r="B32" s="41">
        <v>900000</v>
      </c>
      <c r="C32" s="42" t="s">
        <v>34</v>
      </c>
      <c r="D32" s="43">
        <v>2012</v>
      </c>
      <c r="E32" s="44">
        <v>500000</v>
      </c>
      <c r="F32" s="5">
        <v>5</v>
      </c>
      <c r="G32" s="45">
        <f>E32/F32</f>
        <v>100000</v>
      </c>
      <c r="H32" s="46">
        <f>E32-(3*G32)</f>
        <v>200000</v>
      </c>
    </row>
    <row r="33" spans="1:12" x14ac:dyDescent="0.3">
      <c r="A33" s="28" t="s">
        <v>22</v>
      </c>
      <c r="B33" s="47">
        <v>1500000</v>
      </c>
      <c r="C33" s="48" t="s">
        <v>35</v>
      </c>
      <c r="D33" s="49">
        <v>2013</v>
      </c>
      <c r="E33" s="50">
        <v>1600000</v>
      </c>
      <c r="F33" s="51">
        <v>5</v>
      </c>
      <c r="G33" s="52">
        <f t="shared" ref="G33:G38" si="7">E33/F33</f>
        <v>320000</v>
      </c>
      <c r="H33" s="53">
        <f>E33-(2*G33)</f>
        <v>960000</v>
      </c>
    </row>
    <row r="34" spans="1:12" x14ac:dyDescent="0.3">
      <c r="A34" s="28" t="s">
        <v>23</v>
      </c>
      <c r="B34" s="54">
        <v>1200000</v>
      </c>
      <c r="C34" s="48" t="s">
        <v>36</v>
      </c>
      <c r="D34" s="49">
        <v>2013</v>
      </c>
      <c r="E34" s="50">
        <v>1800000</v>
      </c>
      <c r="F34" s="51">
        <v>5</v>
      </c>
      <c r="G34" s="52">
        <f t="shared" si="7"/>
        <v>360000</v>
      </c>
      <c r="H34" s="53">
        <f>E34-(2*G34)</f>
        <v>1080000</v>
      </c>
    </row>
    <row r="35" spans="1:12" x14ac:dyDescent="0.3">
      <c r="A35" s="28" t="s">
        <v>24</v>
      </c>
      <c r="B35" s="54">
        <v>900000</v>
      </c>
      <c r="C35" s="55" t="s">
        <v>38</v>
      </c>
      <c r="D35" s="56">
        <v>2013</v>
      </c>
      <c r="E35" s="57">
        <v>1200000</v>
      </c>
      <c r="F35" s="51">
        <v>5</v>
      </c>
      <c r="G35" s="52">
        <f t="shared" si="7"/>
        <v>240000</v>
      </c>
      <c r="H35" s="53">
        <f>E35-(2*G35)</f>
        <v>720000</v>
      </c>
    </row>
    <row r="36" spans="1:12" x14ac:dyDescent="0.3">
      <c r="A36" s="28" t="s">
        <v>25</v>
      </c>
      <c r="B36" s="54">
        <v>1300000</v>
      </c>
      <c r="C36" s="48" t="s">
        <v>33</v>
      </c>
      <c r="D36" s="49">
        <v>2012</v>
      </c>
      <c r="E36" s="50">
        <v>1700000</v>
      </c>
      <c r="F36" s="51">
        <v>5</v>
      </c>
      <c r="G36" s="52">
        <f t="shared" si="7"/>
        <v>340000</v>
      </c>
      <c r="H36" s="53">
        <f>E36-(3*G36)</f>
        <v>680000</v>
      </c>
    </row>
    <row r="37" spans="1:12" x14ac:dyDescent="0.3">
      <c r="A37" s="28" t="s">
        <v>26</v>
      </c>
      <c r="B37" s="54">
        <v>1000000</v>
      </c>
      <c r="C37" s="48" t="s">
        <v>32</v>
      </c>
      <c r="D37" s="49">
        <v>2012</v>
      </c>
      <c r="E37" s="50">
        <v>900000</v>
      </c>
      <c r="F37" s="51">
        <v>5</v>
      </c>
      <c r="G37" s="52">
        <f t="shared" si="7"/>
        <v>180000</v>
      </c>
      <c r="H37" s="53">
        <f>E37-(3*G37)</f>
        <v>360000</v>
      </c>
    </row>
    <row r="38" spans="1:12" ht="15" thickBot="1" x14ac:dyDescent="0.35">
      <c r="A38" s="29" t="s">
        <v>27</v>
      </c>
      <c r="B38" s="58">
        <v>1000000</v>
      </c>
      <c r="C38" s="59" t="s">
        <v>37</v>
      </c>
      <c r="D38" s="60">
        <v>2012</v>
      </c>
      <c r="E38" s="61">
        <v>1500000</v>
      </c>
      <c r="F38" s="62">
        <v>5</v>
      </c>
      <c r="G38" s="63">
        <f t="shared" si="7"/>
        <v>300000</v>
      </c>
      <c r="H38" s="64">
        <f>E38-(3*G38)</f>
        <v>600000</v>
      </c>
    </row>
    <row r="39" spans="1:12" ht="15" thickBot="1" x14ac:dyDescent="0.35">
      <c r="A39" s="12" t="s">
        <v>28</v>
      </c>
      <c r="B39" s="65">
        <f>SUM(B32:B38)</f>
        <v>7800000</v>
      </c>
      <c r="C39" s="1"/>
      <c r="D39" s="1"/>
      <c r="E39" s="66">
        <f>SUM(E32:E38)</f>
        <v>9200000</v>
      </c>
      <c r="F39" s="1"/>
      <c r="G39" s="1"/>
      <c r="H39" s="66">
        <f>SUM(H32:H38)</f>
        <v>4600000</v>
      </c>
    </row>
    <row r="40" spans="1:12" ht="28.8" x14ac:dyDescent="0.3">
      <c r="B40" s="87" t="s">
        <v>57</v>
      </c>
    </row>
    <row r="42" spans="1:12" ht="29.4" thickBot="1" x14ac:dyDescent="0.35">
      <c r="A42" s="30" t="s">
        <v>41</v>
      </c>
      <c r="G42" s="40" t="s">
        <v>55</v>
      </c>
    </row>
    <row r="43" spans="1:12" ht="15" thickBot="1" x14ac:dyDescent="0.35">
      <c r="A43" s="13" t="s">
        <v>39</v>
      </c>
      <c r="B43" s="13">
        <v>0</v>
      </c>
      <c r="C43" s="13">
        <v>1</v>
      </c>
      <c r="D43" s="13">
        <v>2</v>
      </c>
      <c r="E43" s="13">
        <v>3</v>
      </c>
      <c r="F43" s="14">
        <v>4</v>
      </c>
      <c r="G43" s="39">
        <v>5</v>
      </c>
      <c r="H43" s="13">
        <v>6</v>
      </c>
      <c r="I43" s="14">
        <v>7</v>
      </c>
      <c r="J43" s="14">
        <v>8</v>
      </c>
      <c r="K43" s="13" t="s">
        <v>56</v>
      </c>
      <c r="L43" s="13">
        <v>36</v>
      </c>
    </row>
    <row r="44" spans="1:12" x14ac:dyDescent="0.3">
      <c r="A44" s="26" t="s">
        <v>29</v>
      </c>
      <c r="B44" s="75">
        <f t="shared" ref="B44:G44" si="8">$B$11</f>
        <v>2.7777777777777776E-2</v>
      </c>
      <c r="C44" s="76">
        <f t="shared" si="8"/>
        <v>2.7777777777777776E-2</v>
      </c>
      <c r="D44" s="76">
        <f t="shared" si="8"/>
        <v>2.7777777777777776E-2</v>
      </c>
      <c r="E44" s="76">
        <f t="shared" si="8"/>
        <v>2.7777777777777776E-2</v>
      </c>
      <c r="F44" s="77">
        <f t="shared" si="8"/>
        <v>2.7777777777777776E-2</v>
      </c>
      <c r="G44" s="78">
        <f t="shared" si="8"/>
        <v>2.7777777777777776E-2</v>
      </c>
      <c r="H44" s="76">
        <f t="shared" ref="H44:L44" si="9">$B$11</f>
        <v>2.7777777777777776E-2</v>
      </c>
      <c r="I44" s="77">
        <f t="shared" si="9"/>
        <v>2.7777777777777776E-2</v>
      </c>
      <c r="J44" s="67">
        <f t="shared" si="9"/>
        <v>2.7777777777777776E-2</v>
      </c>
      <c r="K44" s="68" t="s">
        <v>56</v>
      </c>
      <c r="L44" s="69">
        <f t="shared" si="9"/>
        <v>2.7777777777777776E-2</v>
      </c>
    </row>
    <row r="45" spans="1:12" x14ac:dyDescent="0.3">
      <c r="A45" s="6" t="s">
        <v>45</v>
      </c>
      <c r="B45" s="79">
        <f t="shared" ref="B45:G45" si="10">$B$13</f>
        <v>127777.77777777777</v>
      </c>
      <c r="C45" s="80">
        <f t="shared" si="10"/>
        <v>127777.77777777777</v>
      </c>
      <c r="D45" s="80">
        <f t="shared" si="10"/>
        <v>127777.77777777777</v>
      </c>
      <c r="E45" s="80">
        <f t="shared" si="10"/>
        <v>127777.77777777777</v>
      </c>
      <c r="F45" s="81">
        <f t="shared" si="10"/>
        <v>127777.77777777777</v>
      </c>
      <c r="G45" s="82">
        <f t="shared" si="10"/>
        <v>127777.77777777777</v>
      </c>
      <c r="H45" s="80">
        <f t="shared" ref="H45:I45" si="11">$B$13</f>
        <v>127777.77777777777</v>
      </c>
      <c r="I45" s="81">
        <f t="shared" si="11"/>
        <v>127777.77777777777</v>
      </c>
      <c r="J45" s="70">
        <f>$B$13</f>
        <v>127777.77777777777</v>
      </c>
      <c r="K45" s="4" t="s">
        <v>56</v>
      </c>
      <c r="L45" s="71">
        <f>$B$13</f>
        <v>127777.77777777777</v>
      </c>
    </row>
    <row r="46" spans="1:12" x14ac:dyDescent="0.3">
      <c r="A46" s="6" t="s">
        <v>46</v>
      </c>
      <c r="B46" s="79">
        <f>B45</f>
        <v>127777.77777777777</v>
      </c>
      <c r="C46" s="80">
        <f t="shared" ref="C46:J46" si="12">B46+C45</f>
        <v>255555.55555555553</v>
      </c>
      <c r="D46" s="80">
        <f t="shared" si="12"/>
        <v>383333.33333333331</v>
      </c>
      <c r="E46" s="80">
        <f t="shared" si="12"/>
        <v>511111.11111111107</v>
      </c>
      <c r="F46" s="81">
        <f t="shared" si="12"/>
        <v>638888.88888888888</v>
      </c>
      <c r="G46" s="82">
        <f t="shared" si="12"/>
        <v>766666.66666666663</v>
      </c>
      <c r="H46" s="80">
        <f t="shared" si="12"/>
        <v>894444.44444444438</v>
      </c>
      <c r="I46" s="81">
        <f t="shared" si="12"/>
        <v>1022222.2222222221</v>
      </c>
      <c r="J46" s="70">
        <f t="shared" si="12"/>
        <v>1150000</v>
      </c>
      <c r="K46" s="4" t="s">
        <v>56</v>
      </c>
      <c r="L46" s="71">
        <f>B12</f>
        <v>4600000</v>
      </c>
    </row>
    <row r="47" spans="1:12" ht="15" thickBot="1" x14ac:dyDescent="0.35">
      <c r="A47" s="7" t="s">
        <v>40</v>
      </c>
      <c r="B47" s="83">
        <f>B12-B45</f>
        <v>4472222.222222222</v>
      </c>
      <c r="C47" s="84">
        <f>$B$12-2*C45</f>
        <v>4344444.444444444</v>
      </c>
      <c r="D47" s="84">
        <f>$B$12-3*D45</f>
        <v>4216666.666666667</v>
      </c>
      <c r="E47" s="84">
        <f>$B$12-4*E45</f>
        <v>4088888.888888889</v>
      </c>
      <c r="F47" s="85">
        <f>$B$12-5*F45</f>
        <v>3961111.111111111</v>
      </c>
      <c r="G47" s="86">
        <f>$B$12-6*G45</f>
        <v>3833333.3333333335</v>
      </c>
      <c r="H47" s="84">
        <f>$B$12-7*H45</f>
        <v>3705555.5555555555</v>
      </c>
      <c r="I47" s="85">
        <f>$B$12-8*I45</f>
        <v>3577777.777777778</v>
      </c>
      <c r="J47" s="72">
        <f>$B$12-9*J45</f>
        <v>3450000</v>
      </c>
      <c r="K47" s="73" t="s">
        <v>56</v>
      </c>
      <c r="L47" s="74">
        <f>0</f>
        <v>0</v>
      </c>
    </row>
    <row r="48" spans="1:12" ht="15" thickBot="1" x14ac:dyDescent="0.35">
      <c r="A48" s="3"/>
      <c r="B48" s="88"/>
      <c r="C48" s="88"/>
      <c r="D48" s="88"/>
      <c r="E48" s="88"/>
      <c r="F48" s="88"/>
      <c r="G48" s="90"/>
      <c r="H48" s="88"/>
      <c r="I48" s="88"/>
      <c r="J48" s="88"/>
      <c r="K48" s="23"/>
      <c r="L48" s="89"/>
    </row>
    <row r="49" spans="1:12" ht="15" thickBot="1" x14ac:dyDescent="0.35">
      <c r="A49" s="3"/>
      <c r="B49" s="88"/>
      <c r="C49" s="88"/>
      <c r="D49" s="88"/>
      <c r="E49" s="88"/>
      <c r="F49" s="88"/>
      <c r="G49" s="102" t="s">
        <v>58</v>
      </c>
      <c r="H49" s="101">
        <f>0-0.3*(0-G47)</f>
        <v>1150000</v>
      </c>
      <c r="I49" s="88"/>
      <c r="J49" s="88"/>
      <c r="K49" s="23"/>
      <c r="L49" s="89"/>
    </row>
    <row r="50" spans="1:12" x14ac:dyDescent="0.3">
      <c r="C50" s="11"/>
    </row>
    <row r="51" spans="1:12" ht="16.2" thickBot="1" x14ac:dyDescent="0.35">
      <c r="A51" s="30" t="s">
        <v>42</v>
      </c>
    </row>
    <row r="52" spans="1:12" ht="15" thickBot="1" x14ac:dyDescent="0.35">
      <c r="A52" s="13" t="s">
        <v>39</v>
      </c>
      <c r="B52" s="13">
        <v>0</v>
      </c>
      <c r="C52" s="13">
        <v>1</v>
      </c>
      <c r="D52" s="13">
        <v>2</v>
      </c>
      <c r="E52" s="13">
        <v>3</v>
      </c>
      <c r="F52" s="13">
        <v>4</v>
      </c>
      <c r="G52" s="13">
        <v>5</v>
      </c>
    </row>
    <row r="53" spans="1:12" x14ac:dyDescent="0.3">
      <c r="A53" s="26" t="s">
        <v>43</v>
      </c>
      <c r="B53" s="15">
        <v>10000000</v>
      </c>
      <c r="C53" s="16">
        <v>500000</v>
      </c>
      <c r="D53" s="16">
        <v>500000</v>
      </c>
      <c r="E53" s="16">
        <v>500000</v>
      </c>
      <c r="F53" s="16">
        <v>500000</v>
      </c>
      <c r="G53" s="16">
        <v>0</v>
      </c>
    </row>
    <row r="54" spans="1:12" ht="15" thickBot="1" x14ac:dyDescent="0.35">
      <c r="A54" s="7" t="s">
        <v>44</v>
      </c>
      <c r="B54" s="21">
        <f>-B53</f>
        <v>-10000000</v>
      </c>
      <c r="C54" s="22">
        <f>-C53+B53</f>
        <v>9500000</v>
      </c>
      <c r="D54" s="22">
        <f>-D53+C53</f>
        <v>0</v>
      </c>
      <c r="E54" s="22">
        <f t="shared" ref="E54:F54" si="13">-E53+D53</f>
        <v>0</v>
      </c>
      <c r="F54" s="22">
        <f t="shared" si="13"/>
        <v>0</v>
      </c>
      <c r="G54" s="22">
        <f>-G53+F53</f>
        <v>500000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(SnoutPoint) Flujo de Caja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Kmilo Oviedo</dc:creator>
  <cp:lastModifiedBy>Kmilo Oviedo</cp:lastModifiedBy>
  <dcterms:created xsi:type="dcterms:W3CDTF">2015-03-08T15:54:53Z</dcterms:created>
  <dcterms:modified xsi:type="dcterms:W3CDTF">2015-03-08T22:46:55Z</dcterms:modified>
</cp:coreProperties>
</file>