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ython Projects\Grindstone\"/>
    </mc:Choice>
  </mc:AlternateContent>
  <bookViews>
    <workbookView xWindow="0" yWindow="0" windowWidth="14385" windowHeight="69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18" i="2"/>
  <c r="C11" i="2"/>
  <c r="G67" i="1"/>
  <c r="G68" i="1"/>
  <c r="G69" i="1"/>
  <c r="G70" i="1"/>
  <c r="G71" i="1"/>
  <c r="F58" i="1"/>
  <c r="E58" i="1"/>
  <c r="D58" i="1"/>
  <c r="C58" i="1"/>
  <c r="B58" i="1"/>
  <c r="C68" i="1"/>
  <c r="D68" i="1"/>
  <c r="E68" i="1"/>
  <c r="F68" i="1"/>
  <c r="C69" i="1"/>
  <c r="D69" i="1"/>
  <c r="E69" i="1"/>
  <c r="F69" i="1"/>
  <c r="C70" i="1"/>
  <c r="E70" i="1"/>
  <c r="F70" i="1"/>
  <c r="C71" i="1"/>
  <c r="E71" i="1"/>
  <c r="F71" i="1"/>
  <c r="B71" i="1"/>
  <c r="B70" i="1"/>
  <c r="B69" i="1"/>
  <c r="B68" i="1"/>
  <c r="C67" i="1"/>
  <c r="E67" i="1"/>
  <c r="B67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B57" i="1"/>
  <c r="B56" i="1"/>
  <c r="B55" i="1"/>
  <c r="B54" i="1"/>
  <c r="B53" i="1"/>
  <c r="I5" i="1"/>
  <c r="I22" i="1" s="1"/>
  <c r="I53" i="1" s="1"/>
  <c r="I6" i="1"/>
  <c r="E61" i="1"/>
  <c r="F61" i="1"/>
  <c r="G61" i="1"/>
  <c r="E62" i="1"/>
  <c r="F62" i="1"/>
  <c r="G62" i="1"/>
  <c r="E63" i="1"/>
  <c r="F63" i="1"/>
  <c r="G63" i="1"/>
  <c r="E64" i="1"/>
  <c r="F64" i="1"/>
  <c r="G64" i="1"/>
  <c r="J5" i="1"/>
  <c r="J24" i="1" s="1"/>
  <c r="J55" i="1" s="1"/>
  <c r="J6" i="1"/>
  <c r="J9" i="1" s="1"/>
  <c r="K5" i="1"/>
  <c r="K23" i="1" s="1"/>
  <c r="K54" i="1" s="1"/>
  <c r="K6" i="1"/>
  <c r="L5" i="1"/>
  <c r="L22" i="1" s="1"/>
  <c r="L53" i="1" s="1"/>
  <c r="L6" i="1"/>
  <c r="H5" i="1"/>
  <c r="H22" i="1" s="1"/>
  <c r="H53" i="1" s="1"/>
  <c r="H6" i="1"/>
  <c r="E65" i="1"/>
  <c r="F65" i="1"/>
  <c r="G65" i="1"/>
  <c r="E66" i="1"/>
  <c r="F66" i="1"/>
  <c r="G66" i="1"/>
  <c r="C65" i="1"/>
  <c r="D65" i="1"/>
  <c r="C66" i="1"/>
  <c r="D66" i="1"/>
  <c r="B66" i="1"/>
  <c r="C61" i="1"/>
  <c r="D61" i="1"/>
  <c r="C62" i="1"/>
  <c r="D62" i="1"/>
  <c r="C63" i="1"/>
  <c r="D63" i="1"/>
  <c r="C64" i="1"/>
  <c r="D64" i="1"/>
  <c r="B64" i="1"/>
  <c r="B65" i="1"/>
  <c r="B62" i="1"/>
  <c r="B63" i="1"/>
  <c r="B61" i="1"/>
  <c r="C8" i="2"/>
  <c r="C7" i="2"/>
  <c r="D16" i="2"/>
  <c r="H16" i="2" s="1"/>
  <c r="C9" i="2"/>
  <c r="C19" i="2"/>
  <c r="D27" i="2"/>
  <c r="E27" i="2"/>
  <c r="F27" i="2"/>
  <c r="G27" i="2"/>
  <c r="H27" i="2"/>
  <c r="C27" i="2"/>
  <c r="C22" i="2"/>
  <c r="C6" i="2"/>
  <c r="C17" i="2"/>
  <c r="C47" i="1"/>
  <c r="D47" i="1"/>
  <c r="E47" i="1"/>
  <c r="F47" i="1"/>
  <c r="B47" i="1"/>
  <c r="E40" i="1"/>
  <c r="E36" i="1"/>
  <c r="E48" i="1"/>
  <c r="B40" i="1"/>
  <c r="B36" i="1"/>
  <c r="B48" i="1"/>
  <c r="C40" i="1"/>
  <c r="D40" i="1"/>
  <c r="F40" i="1"/>
  <c r="C36" i="1"/>
  <c r="D36" i="1"/>
  <c r="F36" i="1"/>
  <c r="C29" i="1"/>
  <c r="D29" i="1"/>
  <c r="E29" i="1"/>
  <c r="F29" i="1"/>
  <c r="F25" i="1"/>
  <c r="F30" i="1"/>
  <c r="B29" i="1"/>
  <c r="C25" i="1"/>
  <c r="D25" i="1"/>
  <c r="E25" i="1"/>
  <c r="B25" i="1"/>
  <c r="E30" i="1"/>
  <c r="D30" i="1"/>
  <c r="C30" i="1"/>
  <c r="F48" i="1"/>
  <c r="D48" i="1"/>
  <c r="C48" i="1"/>
  <c r="B30" i="1"/>
  <c r="D17" i="2" l="1"/>
  <c r="E16" i="2"/>
  <c r="E17" i="2" s="1"/>
  <c r="D19" i="2"/>
  <c r="F16" i="2"/>
  <c r="F19" i="2" s="1"/>
  <c r="H9" i="1"/>
  <c r="I10" i="1"/>
  <c r="L8" i="1"/>
  <c r="J10" i="1"/>
  <c r="I7" i="1"/>
  <c r="I39" i="1" s="1"/>
  <c r="I57" i="1" s="1"/>
  <c r="L23" i="1"/>
  <c r="L54" i="1" s="1"/>
  <c r="I8" i="1"/>
  <c r="H10" i="1"/>
  <c r="I9" i="1"/>
  <c r="H8" i="1"/>
  <c r="L9" i="1"/>
  <c r="J7" i="1"/>
  <c r="J37" i="1" s="1"/>
  <c r="J56" i="1" s="1"/>
  <c r="J22" i="1"/>
  <c r="J53" i="1" s="1"/>
  <c r="E19" i="2"/>
  <c r="H7" i="1"/>
  <c r="H39" i="1" s="1"/>
  <c r="H57" i="1" s="1"/>
  <c r="H19" i="2"/>
  <c r="H17" i="2"/>
  <c r="G16" i="2"/>
  <c r="L7" i="1"/>
  <c r="K8" i="1"/>
  <c r="H23" i="1"/>
  <c r="H54" i="1" s="1"/>
  <c r="K24" i="1"/>
  <c r="K55" i="1" s="1"/>
  <c r="K22" i="1"/>
  <c r="K53" i="1" s="1"/>
  <c r="I23" i="1"/>
  <c r="I54" i="1" s="1"/>
  <c r="K9" i="1"/>
  <c r="L10" i="1"/>
  <c r="K7" i="1"/>
  <c r="J8" i="1"/>
  <c r="L24" i="1"/>
  <c r="L55" i="1" s="1"/>
  <c r="J23" i="1"/>
  <c r="J54" i="1" s="1"/>
  <c r="K10" i="1"/>
  <c r="H24" i="1"/>
  <c r="H55" i="1" s="1"/>
  <c r="I24" i="1"/>
  <c r="I55" i="1" s="1"/>
  <c r="J11" i="1" l="1"/>
  <c r="H37" i="1"/>
  <c r="H56" i="1" s="1"/>
  <c r="H58" i="1" s="1"/>
  <c r="F17" i="2"/>
  <c r="K11" i="1"/>
  <c r="G18" i="2" s="1"/>
  <c r="J39" i="1"/>
  <c r="J57" i="1" s="1"/>
  <c r="I37" i="1"/>
  <c r="I56" i="1" s="1"/>
  <c r="I58" i="1" s="1"/>
  <c r="I11" i="1"/>
  <c r="I13" i="1" s="1"/>
  <c r="I15" i="1" s="1"/>
  <c r="J58" i="1"/>
  <c r="H11" i="1"/>
  <c r="J13" i="1"/>
  <c r="J15" i="1" s="1"/>
  <c r="F18" i="2"/>
  <c r="F20" i="2" s="1"/>
  <c r="F22" i="2" s="1"/>
  <c r="K37" i="1"/>
  <c r="K56" i="1" s="1"/>
  <c r="K39" i="1"/>
  <c r="K57" i="1" s="1"/>
  <c r="L39" i="1"/>
  <c r="L57" i="1" s="1"/>
  <c r="L37" i="1"/>
  <c r="L56" i="1" s="1"/>
  <c r="L11" i="1"/>
  <c r="G19" i="2"/>
  <c r="G17" i="2"/>
  <c r="K13" i="1" l="1"/>
  <c r="K15" i="1" s="1"/>
  <c r="K58" i="1"/>
  <c r="F24" i="2" s="1"/>
  <c r="F25" i="2" s="1"/>
  <c r="F28" i="2" s="1"/>
  <c r="E18" i="2"/>
  <c r="E20" i="2" s="1"/>
  <c r="E22" i="2" s="1"/>
  <c r="D24" i="2"/>
  <c r="E24" i="2"/>
  <c r="L58" i="1"/>
  <c r="G24" i="2" s="1"/>
  <c r="C24" i="2"/>
  <c r="C25" i="2" s="1"/>
  <c r="C28" i="2" s="1"/>
  <c r="D18" i="2"/>
  <c r="D20" i="2" s="1"/>
  <c r="D22" i="2" s="1"/>
  <c r="D25" i="2" s="1"/>
  <c r="D28" i="2" s="1"/>
  <c r="H13" i="1"/>
  <c r="H15" i="1" s="1"/>
  <c r="L13" i="1"/>
  <c r="L15" i="1" s="1"/>
  <c r="H18" i="2"/>
  <c r="G20" i="2"/>
  <c r="G22" i="2" s="1"/>
  <c r="E25" i="2" l="1"/>
  <c r="E28" i="2" s="1"/>
  <c r="G25" i="2"/>
  <c r="G28" i="2" s="1"/>
  <c r="H20" i="2"/>
  <c r="H22" i="2" s="1"/>
  <c r="H25" i="2" s="1"/>
  <c r="H28" i="2" s="1"/>
  <c r="C32" i="2" s="1"/>
  <c r="D32" i="2"/>
  <c r="E32" i="2" s="1"/>
  <c r="F32" i="2" l="1"/>
  <c r="K6" i="2" s="1"/>
  <c r="H32" i="2" l="1"/>
  <c r="G32" i="2"/>
</calcChain>
</file>

<file path=xl/sharedStrings.xml><?xml version="1.0" encoding="utf-8"?>
<sst xmlns="http://schemas.openxmlformats.org/spreadsheetml/2006/main" count="103" uniqueCount="80">
  <si>
    <t>kEUR</t>
  </si>
  <si>
    <t>Revenues</t>
  </si>
  <si>
    <t>Other operating income</t>
  </si>
  <si>
    <t>Purchased services</t>
  </si>
  <si>
    <t>-</t>
  </si>
  <si>
    <t>Personnel expenses</t>
  </si>
  <si>
    <t>Depreciation</t>
  </si>
  <si>
    <t>Other operating expenses</t>
  </si>
  <si>
    <t>EBIT</t>
  </si>
  <si>
    <t>EBT</t>
  </si>
  <si>
    <t>Taxes</t>
  </si>
  <si>
    <t>Net result</t>
  </si>
  <si>
    <t>Assets</t>
  </si>
  <si>
    <t>Intangible assets</t>
  </si>
  <si>
    <t>Total property, plant and equipment</t>
  </si>
  <si>
    <t>Financial assets</t>
  </si>
  <si>
    <t>Total non-current assets</t>
  </si>
  <si>
    <t>Trade receivables</t>
  </si>
  <si>
    <t>Other current assets</t>
  </si>
  <si>
    <t>Cash</t>
  </si>
  <si>
    <t>Total current assets</t>
  </si>
  <si>
    <t>Deferred assets</t>
  </si>
  <si>
    <t>Total assets</t>
  </si>
  <si>
    <t>Equity &amp; liabilities</t>
  </si>
  <si>
    <t>Share capital</t>
  </si>
  <si>
    <t>Capital reserves</t>
  </si>
  <si>
    <t>Profit / loss carried forward</t>
  </si>
  <si>
    <t>Total equity</t>
  </si>
  <si>
    <t>Provision for personnel expenses</t>
  </si>
  <si>
    <t>Other provisions</t>
  </si>
  <si>
    <t>Total provisions</t>
  </si>
  <si>
    <t>Liabilities to affiliated companies</t>
  </si>
  <si>
    <t>Other liabilities</t>
  </si>
  <si>
    <t>Total liabilities</t>
  </si>
  <si>
    <t>Total equity &amp; liabilities</t>
  </si>
  <si>
    <t>Liabilities</t>
  </si>
  <si>
    <t>Equity</t>
  </si>
  <si>
    <t>Accounts Payable (trade liabilities)</t>
  </si>
  <si>
    <t>PaymentsCo Historical Financial Statements</t>
  </si>
  <si>
    <t>Profit and Loss</t>
  </si>
  <si>
    <t>Balance Sheet</t>
  </si>
  <si>
    <t>Interest</t>
  </si>
  <si>
    <t>Rounding error</t>
  </si>
  <si>
    <t xml:space="preserve">OPERATING INPUT DATA </t>
  </si>
  <si>
    <t>Revenue</t>
  </si>
  <si>
    <t>EBITDA</t>
  </si>
  <si>
    <t>Depreciation &amp; Amortization</t>
  </si>
  <si>
    <t>Capital Expenditures</t>
  </si>
  <si>
    <t>Working Capital</t>
  </si>
  <si>
    <t>RATE INPUT DATA</t>
  </si>
  <si>
    <t>%</t>
  </si>
  <si>
    <t>Tax Rate</t>
  </si>
  <si>
    <t>Change in Working Capital</t>
  </si>
  <si>
    <t>TOTAL COMPANY VALUE (in $ Million)</t>
  </si>
  <si>
    <t>Revenue %</t>
  </si>
  <si>
    <t>Income Tax</t>
  </si>
  <si>
    <t>Net Operating Profit After Tax (NOPAT)</t>
  </si>
  <si>
    <t>Capital Expenditure</t>
  </si>
  <si>
    <t>Free Cash Flow for Firm (FCFF)</t>
  </si>
  <si>
    <t>Revenue Growth Rate</t>
  </si>
  <si>
    <t>Discount Rate</t>
  </si>
  <si>
    <t>Working Capital Schedule</t>
  </si>
  <si>
    <t>KeUR Million</t>
  </si>
  <si>
    <t>Discount factor @10%</t>
  </si>
  <si>
    <t>Rate</t>
  </si>
  <si>
    <t>FCF over Projection Period</t>
  </si>
  <si>
    <t>Terminal Value @ Rate</t>
  </si>
  <si>
    <t>Terminal Cash Flow</t>
  </si>
  <si>
    <t>Company Value</t>
  </si>
  <si>
    <t>Percent Value in Projection Period</t>
  </si>
  <si>
    <t>Percent Value in Terminal</t>
  </si>
  <si>
    <t>Discounted Cash Flows</t>
  </si>
  <si>
    <t>Years from Valuation date</t>
  </si>
  <si>
    <t>Revenue (in KeUR)</t>
  </si>
  <si>
    <t>Metrics and Assumptions</t>
  </si>
  <si>
    <t>Average</t>
  </si>
  <si>
    <t>Trade receivables(% of sales)</t>
  </si>
  <si>
    <t>Other current assets (% of revenues)</t>
  </si>
  <si>
    <t>Deferred assets(% of revenues)</t>
  </si>
  <si>
    <t>W.C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</si>
</sst>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43" fontId="0" fillId="0" borderId="0" xfId="1" applyFont="1"/>
    <xf numFmtId="0" fontId="0" fillId="0" borderId="0" xfId="0" applyAlignment="1">
      <alignment horizontal="right"/>
    </xf>
    <xf numFmtId="0" fontId="0" fillId="0" borderId="2" xfId="0" applyBorder="1"/>
    <xf numFmtId="43" fontId="2" fillId="0" borderId="0" xfId="1" applyFont="1"/>
    <xf numFmtId="43" fontId="0" fillId="0" borderId="0" xfId="0" applyNumberFormat="1"/>
    <xf numFmtId="0" fontId="1" fillId="0" borderId="2" xfId="0" applyFont="1" applyBorder="1"/>
    <xf numFmtId="0" fontId="1" fillId="0" borderId="0" xfId="0" applyFont="1" applyAlignment="1">
      <alignment horizontal="right"/>
    </xf>
    <xf numFmtId="43" fontId="1" fillId="0" borderId="3" xfId="1" applyFont="1" applyBorder="1"/>
    <xf numFmtId="0" fontId="0" fillId="0" borderId="11" xfId="0" applyBorder="1"/>
    <xf numFmtId="0" fontId="0" fillId="0" borderId="0" xfId="0" applyBorder="1"/>
    <xf numFmtId="0" fontId="0" fillId="0" borderId="7" xfId="0" applyBorder="1"/>
    <xf numFmtId="0" fontId="1" fillId="0" borderId="9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1" xfId="0" applyBorder="1"/>
    <xf numFmtId="0" fontId="0" fillId="0" borderId="6" xfId="0" applyBorder="1"/>
    <xf numFmtId="164" fontId="1" fillId="0" borderId="7" xfId="0" applyNumberFormat="1" applyFont="1" applyBorder="1"/>
    <xf numFmtId="0" fontId="0" fillId="0" borderId="8" xfId="0" applyBorder="1"/>
    <xf numFmtId="0" fontId="0" fillId="2" borderId="13" xfId="0" applyFill="1" applyBorder="1"/>
    <xf numFmtId="0" fontId="1" fillId="0" borderId="4" xfId="0" applyFont="1" applyBorder="1"/>
    <xf numFmtId="9" fontId="1" fillId="0" borderId="4" xfId="3" applyFont="1" applyBorder="1" applyAlignment="1">
      <alignment horizontal="right"/>
    </xf>
    <xf numFmtId="0" fontId="1" fillId="3" borderId="3" xfId="0" applyFont="1" applyFill="1" applyBorder="1"/>
    <xf numFmtId="0" fontId="1" fillId="3" borderId="10" xfId="0" applyFont="1" applyFill="1" applyBorder="1"/>
    <xf numFmtId="0" fontId="0" fillId="3" borderId="9" xfId="0" applyFill="1" applyBorder="1"/>
    <xf numFmtId="0" fontId="0" fillId="4" borderId="11" xfId="0" applyFill="1" applyBorder="1"/>
    <xf numFmtId="0" fontId="0" fillId="4" borderId="0" xfId="0" applyFill="1" applyBorder="1"/>
    <xf numFmtId="44" fontId="0" fillId="4" borderId="0" xfId="2" applyFont="1" applyFill="1" applyBorder="1"/>
    <xf numFmtId="44" fontId="0" fillId="4" borderId="12" xfId="2" applyFont="1" applyFill="1" applyBorder="1"/>
    <xf numFmtId="43" fontId="0" fillId="4" borderId="0" xfId="1" applyFont="1" applyFill="1" applyBorder="1"/>
    <xf numFmtId="43" fontId="0" fillId="4" borderId="12" xfId="1" applyFont="1" applyFill="1" applyBorder="1"/>
    <xf numFmtId="0" fontId="0" fillId="4" borderId="7" xfId="0" applyFill="1" applyBorder="1"/>
    <xf numFmtId="43" fontId="0" fillId="4" borderId="2" xfId="1" applyFont="1" applyFill="1" applyBorder="1"/>
    <xf numFmtId="43" fontId="0" fillId="4" borderId="8" xfId="1" applyFont="1" applyFill="1" applyBorder="1"/>
    <xf numFmtId="0" fontId="0" fillId="3" borderId="11" xfId="0" applyFill="1" applyBorder="1"/>
    <xf numFmtId="43" fontId="0" fillId="3" borderId="0" xfId="1" applyFont="1" applyFill="1" applyBorder="1"/>
    <xf numFmtId="43" fontId="0" fillId="3" borderId="12" xfId="1" applyFont="1" applyFill="1" applyBorder="1"/>
    <xf numFmtId="0" fontId="1" fillId="3" borderId="9" xfId="0" applyFont="1" applyFill="1" applyBorder="1"/>
    <xf numFmtId="43" fontId="1" fillId="3" borderId="3" xfId="1" applyFont="1" applyFill="1" applyBorder="1"/>
    <xf numFmtId="43" fontId="1" fillId="3" borderId="10" xfId="1" applyFont="1" applyFill="1" applyBorder="1"/>
    <xf numFmtId="0" fontId="0" fillId="4" borderId="12" xfId="0" applyFill="1" applyBorder="1"/>
    <xf numFmtId="164" fontId="0" fillId="4" borderId="0" xfId="0" applyNumberFormat="1" applyFill="1" applyBorder="1"/>
    <xf numFmtId="164" fontId="0" fillId="4" borderId="12" xfId="0" applyNumberFormat="1" applyFill="1" applyBorder="1"/>
    <xf numFmtId="0" fontId="0" fillId="3" borderId="5" xfId="0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9" fontId="0" fillId="4" borderId="7" xfId="0" applyNumberFormat="1" applyFill="1" applyBorder="1"/>
    <xf numFmtId="43" fontId="6" fillId="4" borderId="2" xfId="1" applyFont="1" applyFill="1" applyBorder="1"/>
    <xf numFmtId="0" fontId="6" fillId="0" borderId="13" xfId="0" applyFont="1" applyBorder="1"/>
    <xf numFmtId="43" fontId="6" fillId="0" borderId="14" xfId="0" applyNumberFormat="1" applyFont="1" applyBorder="1"/>
    <xf numFmtId="9" fontId="2" fillId="0" borderId="13" xfId="0" applyNumberFormat="1" applyFont="1" applyBorder="1"/>
    <xf numFmtId="9" fontId="2" fillId="0" borderId="14" xfId="0" applyNumberFormat="1" applyFont="1" applyBorder="1"/>
    <xf numFmtId="0" fontId="0" fillId="4" borderId="5" xfId="0" applyFill="1" applyBorder="1"/>
    <xf numFmtId="0" fontId="0" fillId="4" borderId="1" xfId="0" applyFill="1" applyBorder="1"/>
    <xf numFmtId="9" fontId="0" fillId="4" borderId="1" xfId="0" applyNumberFormat="1" applyFill="1" applyBorder="1"/>
    <xf numFmtId="9" fontId="0" fillId="4" borderId="1" xfId="3" applyFont="1" applyFill="1" applyBorder="1"/>
    <xf numFmtId="9" fontId="0" fillId="4" borderId="6" xfId="3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showGridLines="0" topLeftCell="A49" workbookViewId="0">
      <selection activeCell="H11" sqref="H11"/>
    </sheetView>
  </sheetViews>
  <sheetFormatPr defaultRowHeight="15" x14ac:dyDescent="0.25"/>
  <cols>
    <col min="1" max="1" width="32.42578125" bestFit="1" customWidth="1"/>
    <col min="8" max="9" width="10.28515625" bestFit="1" customWidth="1"/>
    <col min="10" max="12" width="12" bestFit="1" customWidth="1"/>
  </cols>
  <sheetData>
    <row r="1" spans="1:12" ht="18.75" x14ac:dyDescent="0.3">
      <c r="A1" s="5" t="s">
        <v>38</v>
      </c>
    </row>
    <row r="3" spans="1:12" ht="18.75" x14ac:dyDescent="0.3">
      <c r="A3" s="5" t="s">
        <v>39</v>
      </c>
      <c r="H3">
        <v>1</v>
      </c>
      <c r="I3">
        <v>2</v>
      </c>
      <c r="J3">
        <v>3</v>
      </c>
      <c r="K3">
        <v>4</v>
      </c>
      <c r="L3">
        <v>5</v>
      </c>
    </row>
    <row r="4" spans="1:12" x14ac:dyDescent="0.25">
      <c r="A4" s="1" t="s">
        <v>0</v>
      </c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H4" s="1">
        <v>2020</v>
      </c>
      <c r="I4" s="1">
        <v>2021</v>
      </c>
      <c r="J4" s="1">
        <v>2022</v>
      </c>
      <c r="K4" s="1">
        <v>2023</v>
      </c>
      <c r="L4" s="1">
        <v>2024</v>
      </c>
    </row>
    <row r="5" spans="1:12" x14ac:dyDescent="0.25">
      <c r="A5" t="s">
        <v>1</v>
      </c>
      <c r="B5" s="4">
        <v>113</v>
      </c>
      <c r="C5" s="4">
        <v>399</v>
      </c>
      <c r="D5" s="4">
        <v>751</v>
      </c>
      <c r="E5" s="4">
        <v>802</v>
      </c>
      <c r="F5" s="4">
        <v>1072</v>
      </c>
      <c r="H5" s="11">
        <f>$F$5*(1+Sheet2!$H$7)^Sheet1!H3</f>
        <v>1147.04</v>
      </c>
      <c r="I5" s="11">
        <f>$F$5*(1+Sheet2!$H$7)^Sheet1!I3</f>
        <v>1227.3328000000001</v>
      </c>
      <c r="J5" s="11">
        <f>$F$5*(1+Sheet2!$H$7)^Sheet1!J3</f>
        <v>1313.2460960000001</v>
      </c>
      <c r="K5" s="11">
        <f>$F$5*(1+Sheet2!$H$7)^Sheet1!K3</f>
        <v>1405.17332272</v>
      </c>
      <c r="L5" s="11">
        <f>$F$5*(1+Sheet2!$H$7)^Sheet1!L3</f>
        <v>1503.5354553104003</v>
      </c>
    </row>
    <row r="6" spans="1:12" x14ac:dyDescent="0.25">
      <c r="A6" t="s">
        <v>2</v>
      </c>
      <c r="B6" s="4">
        <v>12</v>
      </c>
      <c r="C6" s="4">
        <v>10</v>
      </c>
      <c r="D6" s="4">
        <v>16</v>
      </c>
      <c r="E6" s="4">
        <v>14</v>
      </c>
      <c r="F6" s="4">
        <v>70</v>
      </c>
      <c r="H6" s="8">
        <f>$F$6*(1+Sheet2!$H$7)^Sheet1!H3</f>
        <v>74.900000000000006</v>
      </c>
      <c r="I6" s="8">
        <f>$F$6*(1+Sheet2!$H$7)^Sheet1!I3</f>
        <v>80.143000000000001</v>
      </c>
      <c r="J6" s="8">
        <f>$F$6*(1+Sheet2!$H$7)^Sheet1!J3</f>
        <v>85.753010000000003</v>
      </c>
      <c r="K6" s="8">
        <f>$F$6*(1+Sheet2!$H$7)^Sheet1!K3</f>
        <v>91.755720699999998</v>
      </c>
      <c r="L6" s="8">
        <f>$F$6*(1+Sheet2!$H$7)^Sheet1!L3</f>
        <v>98.178621149000008</v>
      </c>
    </row>
    <row r="7" spans="1:12" x14ac:dyDescent="0.25">
      <c r="A7" t="s">
        <v>3</v>
      </c>
      <c r="B7" s="4">
        <v>-4</v>
      </c>
      <c r="C7" s="4">
        <v>-3</v>
      </c>
      <c r="D7" s="4">
        <v>0</v>
      </c>
      <c r="E7" s="4">
        <v>-3</v>
      </c>
      <c r="F7" s="4">
        <v>-43</v>
      </c>
      <c r="H7" s="8">
        <f>-$G$61*SUM(H5:H6)</f>
        <v>-25.251213235294117</v>
      </c>
      <c r="I7" s="8">
        <f>-$G$61*SUM(I5:I6)</f>
        <v>-27.018798161764707</v>
      </c>
      <c r="J7" s="8">
        <f>-$G$61*SUM(J5:J6)</f>
        <v>-28.910114033088234</v>
      </c>
      <c r="K7" s="8">
        <f>-$G$61*SUM(K5:K6)</f>
        <v>-30.933822015404409</v>
      </c>
      <c r="L7" s="8">
        <f>-$G$61*SUM(L5:L6)</f>
        <v>-33.099189556482727</v>
      </c>
    </row>
    <row r="8" spans="1:12" x14ac:dyDescent="0.25">
      <c r="A8" t="s">
        <v>5</v>
      </c>
      <c r="B8" s="4">
        <v>-309</v>
      </c>
      <c r="C8" s="4">
        <v>-318</v>
      </c>
      <c r="D8" s="4">
        <v>-351</v>
      </c>
      <c r="E8" s="4">
        <v>-386</v>
      </c>
      <c r="F8" s="4">
        <v>-447</v>
      </c>
      <c r="H8" s="8">
        <f>-$G$62*SUM(H5:H6)</f>
        <v>-528.15776960784319</v>
      </c>
      <c r="I8" s="8">
        <f>-$G$62*SUM(I5:I6)</f>
        <v>-565.1288134803923</v>
      </c>
      <c r="J8" s="8">
        <f>-$G$62*SUM(J5:J6)</f>
        <v>-604.68783042401969</v>
      </c>
      <c r="K8" s="8">
        <f>-$G$62*SUM(K5:K6)</f>
        <v>-647.01597855370096</v>
      </c>
      <c r="L8" s="8">
        <f>-$G$62*SUM(L5:L6)</f>
        <v>-692.30709705246022</v>
      </c>
    </row>
    <row r="9" spans="1:12" x14ac:dyDescent="0.25">
      <c r="A9" t="s">
        <v>6</v>
      </c>
      <c r="B9" s="4">
        <v>-21</v>
      </c>
      <c r="C9" s="4">
        <v>-30</v>
      </c>
      <c r="D9" s="4">
        <v>-50</v>
      </c>
      <c r="E9" s="4">
        <v>-17</v>
      </c>
      <c r="F9" s="4">
        <v>-17</v>
      </c>
      <c r="H9" s="8">
        <f>-$G$63*SUM(H5:H6)</f>
        <v>-21.823541666666667</v>
      </c>
      <c r="I9" s="8">
        <f>-$G$63*SUM(I5:I6)</f>
        <v>-23.351189583333337</v>
      </c>
      <c r="J9" s="8">
        <f>-$G$63*SUM(J5:J6)</f>
        <v>-24.985772854166665</v>
      </c>
      <c r="K9" s="8">
        <f>-$G$63*SUM(K5:K6)</f>
        <v>-26.734776953958331</v>
      </c>
      <c r="L9" s="8">
        <f>-$G$63*SUM(L5:L6)</f>
        <v>-28.60621134073542</v>
      </c>
    </row>
    <row r="10" spans="1:12" x14ac:dyDescent="0.25">
      <c r="A10" t="s">
        <v>7</v>
      </c>
      <c r="B10" s="4">
        <v>-630</v>
      </c>
      <c r="C10" s="4">
        <v>-571</v>
      </c>
      <c r="D10" s="4">
        <v>-601</v>
      </c>
      <c r="E10" s="4">
        <v>-607</v>
      </c>
      <c r="F10" s="4">
        <v>-609</v>
      </c>
      <c r="H10" s="8">
        <f>-$G$64*SUM(H5:H6)</f>
        <v>-780.29881127450994</v>
      </c>
      <c r="I10" s="8">
        <f>-$G$64*SUM(I5:I6)</f>
        <v>-834.91972806372576</v>
      </c>
      <c r="J10" s="8">
        <f>-$G$64*SUM(J5:J6)</f>
        <v>-893.36410902818636</v>
      </c>
      <c r="K10" s="8">
        <f>-$G$64*SUM(K5:K6)</f>
        <v>-955.89959666015943</v>
      </c>
      <c r="L10" s="8">
        <f>-$G$64*SUM(L5:L6)</f>
        <v>-1022.8125684263708</v>
      </c>
    </row>
    <row r="11" spans="1:12" x14ac:dyDescent="0.25">
      <c r="A11" s="1" t="s">
        <v>8</v>
      </c>
      <c r="B11" s="6">
        <v>-839</v>
      </c>
      <c r="C11" s="6">
        <v>-514</v>
      </c>
      <c r="D11" s="6">
        <v>-236</v>
      </c>
      <c r="E11" s="6">
        <v>-195</v>
      </c>
      <c r="F11" s="6">
        <v>26</v>
      </c>
      <c r="H11" s="8">
        <f>SUM(H5:H10)</f>
        <v>-133.59133578431374</v>
      </c>
      <c r="I11" s="8">
        <f t="shared" ref="I11:L11" si="0">SUM(I5:I10)</f>
        <v>-142.94272928921589</v>
      </c>
      <c r="J11" s="8">
        <f t="shared" si="0"/>
        <v>-152.94872033946103</v>
      </c>
      <c r="K11" s="8">
        <f t="shared" si="0"/>
        <v>-163.65513076322304</v>
      </c>
      <c r="L11" s="8">
        <f t="shared" si="0"/>
        <v>-175.11098991664892</v>
      </c>
    </row>
    <row r="12" spans="1:12" x14ac:dyDescent="0.25">
      <c r="A12" t="s">
        <v>41</v>
      </c>
      <c r="B12" s="4">
        <v>0</v>
      </c>
      <c r="C12" s="4">
        <v>0</v>
      </c>
      <c r="D12" s="4">
        <v>0</v>
      </c>
      <c r="E12" s="4">
        <v>0</v>
      </c>
      <c r="F12" s="4">
        <v>-1</v>
      </c>
      <c r="H12" s="8"/>
      <c r="I12" s="8"/>
      <c r="J12" s="8"/>
      <c r="K12" s="8"/>
      <c r="L12" s="8"/>
    </row>
    <row r="13" spans="1:12" x14ac:dyDescent="0.25">
      <c r="A13" s="1" t="s">
        <v>9</v>
      </c>
      <c r="B13" s="6">
        <v>-839</v>
      </c>
      <c r="C13" s="6">
        <v>-513</v>
      </c>
      <c r="D13" s="6">
        <v>-235</v>
      </c>
      <c r="E13" s="6">
        <v>-195</v>
      </c>
      <c r="F13" s="6">
        <v>25</v>
      </c>
      <c r="H13" s="8">
        <f>H11-H12</f>
        <v>-133.59133578431374</v>
      </c>
      <c r="I13" s="8">
        <f t="shared" ref="I13:L13" si="1">I11-I12</f>
        <v>-142.94272928921589</v>
      </c>
      <c r="J13" s="8">
        <f t="shared" si="1"/>
        <v>-152.94872033946103</v>
      </c>
      <c r="K13" s="8">
        <f t="shared" si="1"/>
        <v>-163.65513076322304</v>
      </c>
      <c r="L13" s="8">
        <f t="shared" si="1"/>
        <v>-175.11098991664892</v>
      </c>
    </row>
    <row r="14" spans="1:12" x14ac:dyDescent="0.25">
      <c r="A14" t="s">
        <v>10</v>
      </c>
      <c r="B14" s="4">
        <v>0</v>
      </c>
      <c r="C14" s="4">
        <v>0</v>
      </c>
      <c r="D14" s="4" t="s">
        <v>4</v>
      </c>
      <c r="E14" s="4" t="s">
        <v>4</v>
      </c>
      <c r="F14" s="4" t="s">
        <v>4</v>
      </c>
      <c r="H14" s="8"/>
      <c r="I14" s="8"/>
      <c r="J14" s="8"/>
      <c r="K14" s="8"/>
      <c r="L14" s="8"/>
    </row>
    <row r="15" spans="1:12" x14ac:dyDescent="0.25">
      <c r="A15" s="1" t="s">
        <v>11</v>
      </c>
      <c r="B15" s="6">
        <v>-839</v>
      </c>
      <c r="C15" s="6">
        <v>-513</v>
      </c>
      <c r="D15" s="6">
        <v>-235</v>
      </c>
      <c r="E15" s="6">
        <v>-195</v>
      </c>
      <c r="F15" s="6">
        <v>25</v>
      </c>
      <c r="H15" s="8">
        <f>H13-H14</f>
        <v>-133.59133578431374</v>
      </c>
      <c r="I15" s="8">
        <f t="shared" ref="I15:L15" si="2">I13-I14</f>
        <v>-142.94272928921589</v>
      </c>
      <c r="J15" s="8">
        <f t="shared" si="2"/>
        <v>-152.94872033946103</v>
      </c>
      <c r="K15" s="8">
        <f t="shared" si="2"/>
        <v>-163.65513076322304</v>
      </c>
      <c r="L15" s="8">
        <f t="shared" si="2"/>
        <v>-175.11098991664892</v>
      </c>
    </row>
    <row r="18" spans="1:13" ht="18.75" x14ac:dyDescent="0.3">
      <c r="A18" s="5" t="s">
        <v>40</v>
      </c>
    </row>
    <row r="19" spans="1:13" x14ac:dyDescent="0.25">
      <c r="A19" s="1" t="s">
        <v>0</v>
      </c>
      <c r="B19" s="1">
        <v>2015</v>
      </c>
      <c r="C19" s="1">
        <v>2016</v>
      </c>
      <c r="D19" s="1">
        <v>2017</v>
      </c>
      <c r="E19" s="1">
        <v>2018</v>
      </c>
      <c r="F19" s="1">
        <v>2019</v>
      </c>
    </row>
    <row r="20" spans="1:13" x14ac:dyDescent="0.25">
      <c r="A20" s="1" t="s">
        <v>12</v>
      </c>
    </row>
    <row r="21" spans="1:13" x14ac:dyDescent="0.25">
      <c r="A21" t="s">
        <v>19</v>
      </c>
      <c r="B21" s="4">
        <v>39</v>
      </c>
      <c r="C21" s="4">
        <v>21</v>
      </c>
      <c r="D21" s="4">
        <v>23</v>
      </c>
      <c r="E21" s="4">
        <v>19</v>
      </c>
      <c r="F21" s="4">
        <v>30</v>
      </c>
    </row>
    <row r="22" spans="1:13" x14ac:dyDescent="0.25">
      <c r="A22" t="s">
        <v>17</v>
      </c>
      <c r="B22" s="4">
        <v>97</v>
      </c>
      <c r="C22" s="4">
        <v>60</v>
      </c>
      <c r="D22" s="4" t="s">
        <v>4</v>
      </c>
      <c r="E22" s="4">
        <v>55</v>
      </c>
      <c r="F22" s="4" t="s">
        <v>4</v>
      </c>
      <c r="H22" s="11">
        <f>H5*$G$67</f>
        <v>78.66234413965087</v>
      </c>
      <c r="I22" s="11">
        <f t="shared" ref="I22:L22" si="3">I5*$G$67</f>
        <v>84.168708229426443</v>
      </c>
      <c r="J22" s="11">
        <f t="shared" si="3"/>
        <v>90.060517805486299</v>
      </c>
      <c r="K22" s="11">
        <f t="shared" si="3"/>
        <v>96.364754051870321</v>
      </c>
      <c r="L22" s="11">
        <f t="shared" si="3"/>
        <v>103.11028683550127</v>
      </c>
    </row>
    <row r="23" spans="1:13" x14ac:dyDescent="0.25">
      <c r="A23" t="s">
        <v>18</v>
      </c>
      <c r="B23" s="4">
        <v>38</v>
      </c>
      <c r="C23" s="4">
        <v>28</v>
      </c>
      <c r="D23" s="4">
        <v>35</v>
      </c>
      <c r="E23" s="4">
        <v>24</v>
      </c>
      <c r="F23" s="4">
        <v>35</v>
      </c>
      <c r="H23" s="11">
        <f>$G$68*H5</f>
        <v>35.887693266832912</v>
      </c>
      <c r="I23" s="11">
        <f t="shared" ref="I23:L23" si="4">$G$68*I5</f>
        <v>38.399831795511219</v>
      </c>
      <c r="J23" s="11">
        <f t="shared" si="4"/>
        <v>41.087820021197004</v>
      </c>
      <c r="K23" s="11">
        <f t="shared" si="4"/>
        <v>43.963967422680795</v>
      </c>
      <c r="L23" s="11">
        <f t="shared" si="4"/>
        <v>47.041445142268458</v>
      </c>
    </row>
    <row r="24" spans="1:13" x14ac:dyDescent="0.25">
      <c r="A24" t="s">
        <v>21</v>
      </c>
      <c r="B24" s="4">
        <v>12</v>
      </c>
      <c r="C24" s="4">
        <v>9</v>
      </c>
      <c r="D24" s="4">
        <v>11</v>
      </c>
      <c r="E24" s="4">
        <v>18</v>
      </c>
      <c r="F24" s="4">
        <v>33</v>
      </c>
      <c r="H24" s="11">
        <f>$G$69*H5</f>
        <v>30.527019950124686</v>
      </c>
      <c r="I24" s="11">
        <f t="shared" ref="I24:L24" si="5">$G$69*I5</f>
        <v>32.663911346633419</v>
      </c>
      <c r="J24" s="11">
        <f t="shared" si="5"/>
        <v>34.950385140897758</v>
      </c>
      <c r="K24" s="11">
        <f t="shared" si="5"/>
        <v>37.396912100760595</v>
      </c>
      <c r="L24" s="11">
        <f t="shared" si="5"/>
        <v>40.014695947813841</v>
      </c>
    </row>
    <row r="25" spans="1:13" x14ac:dyDescent="0.25">
      <c r="A25" s="2" t="s">
        <v>20</v>
      </c>
      <c r="B25" s="2">
        <f>SUM(B21:B24)</f>
        <v>186</v>
      </c>
      <c r="C25" s="2">
        <f t="shared" ref="C25:F25" si="6">SUM(C21:C24)</f>
        <v>118</v>
      </c>
      <c r="D25" s="2">
        <f t="shared" si="6"/>
        <v>69</v>
      </c>
      <c r="E25" s="2">
        <f t="shared" si="6"/>
        <v>116</v>
      </c>
      <c r="F25" s="2">
        <f t="shared" si="6"/>
        <v>98</v>
      </c>
      <c r="H25" s="2"/>
      <c r="I25" s="2"/>
      <c r="J25" s="2"/>
      <c r="K25" s="2"/>
      <c r="L25" s="2"/>
      <c r="M25" s="2"/>
    </row>
    <row r="26" spans="1:13" x14ac:dyDescent="0.25">
      <c r="A26" t="s">
        <v>13</v>
      </c>
      <c r="B26" s="4">
        <v>28</v>
      </c>
      <c r="C26" s="4">
        <v>24</v>
      </c>
      <c r="D26" s="4">
        <v>11</v>
      </c>
      <c r="E26" s="4">
        <v>13</v>
      </c>
      <c r="F26" s="4">
        <v>6</v>
      </c>
    </row>
    <row r="27" spans="1:13" x14ac:dyDescent="0.25">
      <c r="A27" t="s">
        <v>14</v>
      </c>
      <c r="B27" s="4">
        <v>34</v>
      </c>
      <c r="C27" s="4">
        <v>54</v>
      </c>
      <c r="D27" s="4">
        <v>100</v>
      </c>
      <c r="E27" s="4">
        <v>102</v>
      </c>
      <c r="F27" s="4">
        <v>114</v>
      </c>
    </row>
    <row r="28" spans="1:13" x14ac:dyDescent="0.25">
      <c r="A28" t="s">
        <v>15</v>
      </c>
      <c r="B28" s="4">
        <v>1261</v>
      </c>
      <c r="C28" s="4">
        <v>1201</v>
      </c>
      <c r="D28" s="4">
        <v>1201</v>
      </c>
      <c r="E28" s="4">
        <v>1201</v>
      </c>
      <c r="F28" s="4">
        <v>1202</v>
      </c>
    </row>
    <row r="29" spans="1:13" x14ac:dyDescent="0.25">
      <c r="A29" s="2" t="s">
        <v>16</v>
      </c>
      <c r="B29" s="2">
        <f>SUM(B26:B28)</f>
        <v>1323</v>
      </c>
      <c r="C29" s="2">
        <f t="shared" ref="C29:F29" si="7">SUM(C26:C28)</f>
        <v>1279</v>
      </c>
      <c r="D29" s="2">
        <f t="shared" si="7"/>
        <v>1312</v>
      </c>
      <c r="E29" s="2">
        <f t="shared" si="7"/>
        <v>1316</v>
      </c>
      <c r="F29" s="2">
        <f t="shared" si="7"/>
        <v>1322</v>
      </c>
      <c r="H29" s="2"/>
      <c r="I29" s="2"/>
      <c r="J29" s="2"/>
      <c r="K29" s="2"/>
      <c r="L29" s="2"/>
      <c r="M29" s="2"/>
    </row>
    <row r="30" spans="1:13" x14ac:dyDescent="0.25">
      <c r="A30" s="1" t="s">
        <v>22</v>
      </c>
      <c r="B30" s="1">
        <f>SUM(B29,B25)</f>
        <v>1509</v>
      </c>
      <c r="C30" s="1">
        <f t="shared" ref="C30:F30" si="8">SUM(C29,C25)</f>
        <v>1397</v>
      </c>
      <c r="D30" s="1">
        <f t="shared" si="8"/>
        <v>1381</v>
      </c>
      <c r="E30" s="1">
        <f t="shared" si="8"/>
        <v>1432</v>
      </c>
      <c r="F30" s="1">
        <f t="shared" si="8"/>
        <v>1420</v>
      </c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</row>
    <row r="32" spans="1:13" x14ac:dyDescent="0.25">
      <c r="A32" s="1" t="s">
        <v>23</v>
      </c>
    </row>
    <row r="33" spans="1:13" x14ac:dyDescent="0.25">
      <c r="A33" s="1" t="s">
        <v>35</v>
      </c>
    </row>
    <row r="34" spans="1:13" x14ac:dyDescent="0.25">
      <c r="A34" t="s">
        <v>28</v>
      </c>
      <c r="B34" s="4">
        <v>0</v>
      </c>
      <c r="C34" s="4">
        <v>5</v>
      </c>
      <c r="D34" s="4">
        <v>12</v>
      </c>
      <c r="E34" s="4">
        <v>22</v>
      </c>
      <c r="F34" s="4">
        <v>30</v>
      </c>
    </row>
    <row r="35" spans="1:13" x14ac:dyDescent="0.25">
      <c r="A35" t="s">
        <v>29</v>
      </c>
      <c r="B35" s="4">
        <v>10</v>
      </c>
      <c r="C35" s="4">
        <v>17</v>
      </c>
      <c r="D35" s="4">
        <v>7</v>
      </c>
      <c r="E35" s="4">
        <v>5</v>
      </c>
      <c r="F35" s="4">
        <v>7</v>
      </c>
    </row>
    <row r="36" spans="1:13" x14ac:dyDescent="0.25">
      <c r="A36" s="2" t="s">
        <v>30</v>
      </c>
      <c r="B36" s="2">
        <f>SUM(B34:B35)</f>
        <v>10</v>
      </c>
      <c r="C36" s="2">
        <f t="shared" ref="C36:F36" si="9">SUM(C34:C35)</f>
        <v>22</v>
      </c>
      <c r="D36" s="2">
        <f t="shared" si="9"/>
        <v>19</v>
      </c>
      <c r="E36" s="2">
        <f t="shared" si="9"/>
        <v>27</v>
      </c>
      <c r="F36" s="2">
        <f t="shared" si="9"/>
        <v>37</v>
      </c>
      <c r="H36" s="2"/>
      <c r="I36" s="2"/>
      <c r="J36" s="2"/>
      <c r="K36" s="2"/>
      <c r="L36" s="2"/>
      <c r="M36" s="2"/>
    </row>
    <row r="37" spans="1:13" x14ac:dyDescent="0.25">
      <c r="A37" t="s">
        <v>37</v>
      </c>
      <c r="B37" s="4">
        <v>55</v>
      </c>
      <c r="C37" s="4">
        <v>43</v>
      </c>
      <c r="D37" s="4">
        <v>55</v>
      </c>
      <c r="E37" s="4">
        <v>45</v>
      </c>
      <c r="F37" s="4">
        <v>31</v>
      </c>
      <c r="H37" s="12">
        <f>$G$70*-H7</f>
        <v>198.48628077975374</v>
      </c>
      <c r="I37" s="12">
        <f t="shared" ref="I37:L37" si="10">$G$70*-I7</f>
        <v>212.38032043433654</v>
      </c>
      <c r="J37" s="12">
        <f t="shared" si="10"/>
        <v>227.24694286474008</v>
      </c>
      <c r="K37" s="12">
        <f t="shared" si="10"/>
        <v>243.15422886527188</v>
      </c>
      <c r="L37" s="12">
        <f t="shared" si="10"/>
        <v>260.17502488584097</v>
      </c>
      <c r="M37" s="12"/>
    </row>
    <row r="38" spans="1:13" x14ac:dyDescent="0.25">
      <c r="A38" t="s">
        <v>31</v>
      </c>
      <c r="B38" s="4">
        <v>591</v>
      </c>
      <c r="C38" s="4">
        <v>600</v>
      </c>
      <c r="D38" s="4">
        <v>810</v>
      </c>
      <c r="E38" s="4">
        <v>1055</v>
      </c>
      <c r="F38" s="4">
        <v>830</v>
      </c>
    </row>
    <row r="39" spans="1:13" x14ac:dyDescent="0.25">
      <c r="A39" t="s">
        <v>32</v>
      </c>
      <c r="B39">
        <v>20</v>
      </c>
      <c r="C39">
        <v>166</v>
      </c>
      <c r="D39">
        <v>166</v>
      </c>
      <c r="E39">
        <v>167</v>
      </c>
      <c r="F39">
        <v>168</v>
      </c>
      <c r="H39" s="12">
        <f>$G$71/H7</f>
        <v>1.1796194277030907</v>
      </c>
      <c r="I39" s="12">
        <f t="shared" ref="I39:L39" si="11">$G$71/I7</f>
        <v>1.1024480632739164</v>
      </c>
      <c r="J39" s="12">
        <f t="shared" si="11"/>
        <v>1.0303252927793611</v>
      </c>
      <c r="K39" s="12">
        <f t="shared" si="11"/>
        <v>0.96292083437323484</v>
      </c>
      <c r="L39" s="12">
        <f t="shared" si="11"/>
        <v>0.89992601343292955</v>
      </c>
      <c r="M39" s="12"/>
    </row>
    <row r="40" spans="1:13" x14ac:dyDescent="0.25">
      <c r="A40" s="2" t="s">
        <v>33</v>
      </c>
      <c r="B40" s="2">
        <f>SUM(B37:B39)</f>
        <v>666</v>
      </c>
      <c r="C40" s="2">
        <f t="shared" ref="C40:F40" si="12">SUM(C37:C39)</f>
        <v>809</v>
      </c>
      <c r="D40" s="2">
        <f t="shared" si="12"/>
        <v>1031</v>
      </c>
      <c r="E40" s="2">
        <f t="shared" si="12"/>
        <v>1267</v>
      </c>
      <c r="F40" s="2">
        <f t="shared" si="12"/>
        <v>1029</v>
      </c>
    </row>
    <row r="41" spans="1:13" x14ac:dyDescent="0.25">
      <c r="A41" s="3" t="s">
        <v>36</v>
      </c>
    </row>
    <row r="42" spans="1:13" x14ac:dyDescent="0.25">
      <c r="A42" t="s">
        <v>24</v>
      </c>
      <c r="B42" s="4">
        <v>25</v>
      </c>
      <c r="C42" s="4">
        <v>32</v>
      </c>
      <c r="D42" s="4">
        <v>32</v>
      </c>
      <c r="E42" s="4">
        <v>32</v>
      </c>
      <c r="F42" s="4">
        <v>224</v>
      </c>
    </row>
    <row r="43" spans="1:13" x14ac:dyDescent="0.25">
      <c r="A43" t="s">
        <v>25</v>
      </c>
      <c r="B43" s="4">
        <v>1998</v>
      </c>
      <c r="C43" s="4">
        <v>2237</v>
      </c>
      <c r="D43" s="4">
        <v>2237</v>
      </c>
      <c r="E43" s="4">
        <v>2237</v>
      </c>
      <c r="F43" s="4">
        <v>2237</v>
      </c>
    </row>
    <row r="44" spans="1:13" x14ac:dyDescent="0.25">
      <c r="A44" t="s">
        <v>26</v>
      </c>
      <c r="B44" s="4">
        <v>-349</v>
      </c>
      <c r="C44" s="4">
        <v>-1188</v>
      </c>
      <c r="D44" s="4">
        <v>-1702</v>
      </c>
      <c r="E44" s="4">
        <v>-1937</v>
      </c>
      <c r="F44" s="4">
        <v>-2132</v>
      </c>
    </row>
    <row r="45" spans="1:13" x14ac:dyDescent="0.25">
      <c r="A45" t="s">
        <v>11</v>
      </c>
      <c r="B45" s="4">
        <v>-839</v>
      </c>
      <c r="C45" s="4">
        <v>-513</v>
      </c>
      <c r="D45" s="4">
        <v>-235</v>
      </c>
      <c r="E45" s="4">
        <v>-195</v>
      </c>
      <c r="F45" s="4">
        <v>25</v>
      </c>
    </row>
    <row r="46" spans="1:13" x14ac:dyDescent="0.25">
      <c r="A46" t="s">
        <v>42</v>
      </c>
      <c r="B46" s="4">
        <v>2</v>
      </c>
      <c r="C46" s="4">
        <v>2</v>
      </c>
      <c r="D46" s="4">
        <v>1</v>
      </c>
      <c r="E46" s="4">
        <v>-1</v>
      </c>
      <c r="F46" s="4">
        <v>0</v>
      </c>
    </row>
    <row r="47" spans="1:13" x14ac:dyDescent="0.25">
      <c r="A47" s="2" t="s">
        <v>27</v>
      </c>
      <c r="B47" s="2">
        <f>SUM(B42:B45)-B46</f>
        <v>833</v>
      </c>
      <c r="C47" s="2">
        <f t="shared" ref="C47:F47" si="13">SUM(C42:C45)-C46</f>
        <v>566</v>
      </c>
      <c r="D47" s="2">
        <f t="shared" si="13"/>
        <v>331</v>
      </c>
      <c r="E47" s="2">
        <f t="shared" si="13"/>
        <v>138</v>
      </c>
      <c r="F47" s="2">
        <f t="shared" si="13"/>
        <v>354</v>
      </c>
      <c r="H47" s="2"/>
      <c r="I47" s="2"/>
      <c r="J47" s="2"/>
      <c r="K47" s="2"/>
      <c r="L47" s="2"/>
      <c r="M47" s="2"/>
    </row>
    <row r="48" spans="1:13" x14ac:dyDescent="0.25">
      <c r="A48" s="2" t="s">
        <v>34</v>
      </c>
      <c r="B48" s="2">
        <f>SUM(B47,B40,B36)</f>
        <v>1509</v>
      </c>
      <c r="C48" s="2">
        <f t="shared" ref="C48:F48" si="14">SUM(C47,C40,C36)</f>
        <v>1397</v>
      </c>
      <c r="D48" s="2">
        <f t="shared" si="14"/>
        <v>1381</v>
      </c>
      <c r="E48" s="2">
        <f t="shared" si="14"/>
        <v>1432</v>
      </c>
      <c r="F48" s="2">
        <f t="shared" si="14"/>
        <v>1420</v>
      </c>
      <c r="H48" s="2"/>
      <c r="I48" s="2"/>
      <c r="J48" s="2"/>
      <c r="K48" s="2"/>
      <c r="L48" s="2"/>
      <c r="M48" s="2"/>
    </row>
    <row r="52" spans="1:12" x14ac:dyDescent="0.25">
      <c r="A52" s="13" t="s">
        <v>61</v>
      </c>
      <c r="B52" s="10"/>
      <c r="C52" s="10"/>
      <c r="D52" s="10"/>
      <c r="E52" s="10"/>
      <c r="F52" s="10"/>
      <c r="H52" s="10"/>
      <c r="I52" s="10"/>
      <c r="J52" s="10"/>
      <c r="K52" s="10"/>
      <c r="L52" s="10"/>
    </row>
    <row r="53" spans="1:12" x14ac:dyDescent="0.25">
      <c r="A53" t="s">
        <v>17</v>
      </c>
      <c r="B53">
        <f>B22</f>
        <v>97</v>
      </c>
      <c r="C53">
        <f t="shared" ref="C53:F53" si="15">C22</f>
        <v>60</v>
      </c>
      <c r="D53" t="str">
        <f t="shared" si="15"/>
        <v>-</v>
      </c>
      <c r="E53">
        <f t="shared" si="15"/>
        <v>55</v>
      </c>
      <c r="F53" t="str">
        <f t="shared" si="15"/>
        <v>-</v>
      </c>
      <c r="H53" s="8">
        <f>H22</f>
        <v>78.66234413965087</v>
      </c>
      <c r="I53" s="8">
        <f t="shared" ref="I53:L53" si="16">I22</f>
        <v>84.168708229426443</v>
      </c>
      <c r="J53" s="8">
        <f t="shared" si="16"/>
        <v>90.060517805486299</v>
      </c>
      <c r="K53" s="8">
        <f t="shared" si="16"/>
        <v>96.364754051870321</v>
      </c>
      <c r="L53" s="8">
        <f t="shared" si="16"/>
        <v>103.11028683550127</v>
      </c>
    </row>
    <row r="54" spans="1:12" x14ac:dyDescent="0.25">
      <c r="A54" t="s">
        <v>18</v>
      </c>
      <c r="B54">
        <f>B23</f>
        <v>38</v>
      </c>
      <c r="C54">
        <f t="shared" ref="C54:F54" si="17">C23</f>
        <v>28</v>
      </c>
      <c r="D54">
        <f t="shared" si="17"/>
        <v>35</v>
      </c>
      <c r="E54">
        <f t="shared" si="17"/>
        <v>24</v>
      </c>
      <c r="F54">
        <f t="shared" si="17"/>
        <v>35</v>
      </c>
      <c r="H54" s="8">
        <f t="shared" ref="H54:L55" si="18">H23</f>
        <v>35.887693266832912</v>
      </c>
      <c r="I54" s="8">
        <f t="shared" si="18"/>
        <v>38.399831795511219</v>
      </c>
      <c r="J54" s="8">
        <f t="shared" si="18"/>
        <v>41.087820021197004</v>
      </c>
      <c r="K54" s="8">
        <f t="shared" si="18"/>
        <v>43.963967422680795</v>
      </c>
      <c r="L54" s="8">
        <f t="shared" si="18"/>
        <v>47.041445142268458</v>
      </c>
    </row>
    <row r="55" spans="1:12" x14ac:dyDescent="0.25">
      <c r="A55" t="s">
        <v>21</v>
      </c>
      <c r="B55">
        <f>B24</f>
        <v>12</v>
      </c>
      <c r="C55">
        <f t="shared" ref="C55:F55" si="19">C24</f>
        <v>9</v>
      </c>
      <c r="D55">
        <f t="shared" si="19"/>
        <v>11</v>
      </c>
      <c r="E55">
        <f t="shared" si="19"/>
        <v>18</v>
      </c>
      <c r="F55">
        <f t="shared" si="19"/>
        <v>33</v>
      </c>
      <c r="H55" s="8">
        <f t="shared" si="18"/>
        <v>30.527019950124686</v>
      </c>
      <c r="I55" s="8">
        <f t="shared" si="18"/>
        <v>32.663911346633419</v>
      </c>
      <c r="J55" s="8">
        <f t="shared" si="18"/>
        <v>34.950385140897758</v>
      </c>
      <c r="K55" s="8">
        <f t="shared" si="18"/>
        <v>37.396912100760595</v>
      </c>
      <c r="L55" s="8">
        <f t="shared" si="18"/>
        <v>40.014695947813841</v>
      </c>
    </row>
    <row r="56" spans="1:12" x14ac:dyDescent="0.25">
      <c r="A56" t="s">
        <v>37</v>
      </c>
      <c r="B56">
        <f>-B37</f>
        <v>-55</v>
      </c>
      <c r="C56">
        <f t="shared" ref="C56:F56" si="20">-C37</f>
        <v>-43</v>
      </c>
      <c r="D56">
        <f t="shared" si="20"/>
        <v>-55</v>
      </c>
      <c r="E56">
        <f t="shared" si="20"/>
        <v>-45</v>
      </c>
      <c r="F56">
        <f t="shared" si="20"/>
        <v>-31</v>
      </c>
      <c r="H56" s="8">
        <f>-H37</f>
        <v>-198.48628077975374</v>
      </c>
      <c r="I56" s="8">
        <f t="shared" ref="I56:L56" si="21">-I37</f>
        <v>-212.38032043433654</v>
      </c>
      <c r="J56" s="8">
        <f t="shared" si="21"/>
        <v>-227.24694286474008</v>
      </c>
      <c r="K56" s="8">
        <f t="shared" si="21"/>
        <v>-243.15422886527188</v>
      </c>
      <c r="L56" s="8">
        <f t="shared" si="21"/>
        <v>-260.17502488584097</v>
      </c>
    </row>
    <row r="57" spans="1:12" x14ac:dyDescent="0.25">
      <c r="A57" t="s">
        <v>32</v>
      </c>
      <c r="B57">
        <f>-B39</f>
        <v>-20</v>
      </c>
      <c r="C57">
        <f>-C39</f>
        <v>-166</v>
      </c>
      <c r="D57">
        <f>-D39</f>
        <v>-166</v>
      </c>
      <c r="E57">
        <f>-E39</f>
        <v>-167</v>
      </c>
      <c r="F57">
        <f>-F39</f>
        <v>-168</v>
      </c>
      <c r="H57" s="8">
        <f>-H39</f>
        <v>-1.1796194277030907</v>
      </c>
      <c r="I57" s="8">
        <f t="shared" ref="I57:L57" si="22">-I39</f>
        <v>-1.1024480632739164</v>
      </c>
      <c r="J57" s="8">
        <f t="shared" si="22"/>
        <v>-1.0303252927793611</v>
      </c>
      <c r="K57" s="8">
        <f t="shared" si="22"/>
        <v>-0.96292083437323484</v>
      </c>
      <c r="L57" s="8">
        <f t="shared" si="22"/>
        <v>-0.89992601343292955</v>
      </c>
    </row>
    <row r="58" spans="1:12" x14ac:dyDescent="0.25">
      <c r="B58" s="15">
        <f>SUM(B53:B57)</f>
        <v>72</v>
      </c>
      <c r="C58" s="15">
        <f t="shared" ref="C58" si="23">SUM(C53:C57)</f>
        <v>-112</v>
      </c>
      <c r="D58" s="15">
        <f t="shared" ref="D58" si="24">SUM(D53:D57)</f>
        <v>-175</v>
      </c>
      <c r="E58" s="15">
        <f t="shared" ref="E58" si="25">SUM(E53:E57)</f>
        <v>-115</v>
      </c>
      <c r="F58" s="15">
        <f t="shared" ref="F58" si="26">SUM(F53:F57)</f>
        <v>-131</v>
      </c>
      <c r="G58" s="9" t="s">
        <v>79</v>
      </c>
      <c r="H58" s="15">
        <f>SUM(H53:H57)</f>
        <v>-54.588842850848366</v>
      </c>
      <c r="I58" s="15">
        <f t="shared" ref="I58:L58" si="27">SUM(I53:I57)</f>
        <v>-58.250317126039384</v>
      </c>
      <c r="J58" s="15">
        <f t="shared" si="27"/>
        <v>-62.178545189938369</v>
      </c>
      <c r="K58" s="15">
        <f t="shared" si="27"/>
        <v>-66.391516124333393</v>
      </c>
      <c r="L58" s="15">
        <f t="shared" si="27"/>
        <v>-70.908522973690353</v>
      </c>
    </row>
    <row r="60" spans="1:12" x14ac:dyDescent="0.25">
      <c r="A60" s="13" t="s">
        <v>74</v>
      </c>
      <c r="B60" s="13">
        <v>2015</v>
      </c>
      <c r="C60" s="13">
        <v>2016</v>
      </c>
      <c r="D60" s="13">
        <v>2017</v>
      </c>
      <c r="E60" s="13">
        <v>2018</v>
      </c>
      <c r="F60" s="13">
        <v>2019</v>
      </c>
      <c r="G60" s="14" t="s">
        <v>75</v>
      </c>
    </row>
    <row r="61" spans="1:12" x14ac:dyDescent="0.25">
      <c r="A61" t="s">
        <v>3</v>
      </c>
      <c r="B61" s="7">
        <f t="shared" ref="B61:F66" si="28">-B7/SUM(B$5:B$6)</f>
        <v>3.2000000000000001E-2</v>
      </c>
      <c r="C61" s="7">
        <f t="shared" si="28"/>
        <v>7.3349633251833741E-3</v>
      </c>
      <c r="D61" s="7">
        <f t="shared" si="28"/>
        <v>0</v>
      </c>
      <c r="E61" s="7">
        <f t="shared" si="28"/>
        <v>3.6764705882352941E-3</v>
      </c>
      <c r="F61" s="7">
        <f t="shared" si="28"/>
        <v>3.7653239929947457E-2</v>
      </c>
      <c r="G61" s="7">
        <f>AVERAGE(E61:F61)</f>
        <v>2.0664855259091376E-2</v>
      </c>
    </row>
    <row r="62" spans="1:12" x14ac:dyDescent="0.25">
      <c r="A62" t="s">
        <v>5</v>
      </c>
      <c r="B62" s="7">
        <f t="shared" si="28"/>
        <v>2.472</v>
      </c>
      <c r="C62" s="7">
        <f t="shared" si="28"/>
        <v>0.77750611246943768</v>
      </c>
      <c r="D62" s="7">
        <f t="shared" si="28"/>
        <v>0.4576271186440678</v>
      </c>
      <c r="E62" s="7">
        <f t="shared" si="28"/>
        <v>0.47303921568627449</v>
      </c>
      <c r="F62" s="7">
        <f t="shared" si="28"/>
        <v>0.39141856392294222</v>
      </c>
      <c r="G62" s="7">
        <f t="shared" ref="G62:G71" si="29">AVERAGE(E62:F62)</f>
        <v>0.43222888980460838</v>
      </c>
    </row>
    <row r="63" spans="1:12" x14ac:dyDescent="0.25">
      <c r="A63" t="s">
        <v>6</v>
      </c>
      <c r="B63" s="7">
        <f t="shared" si="28"/>
        <v>0.16800000000000001</v>
      </c>
      <c r="C63" s="7">
        <f t="shared" si="28"/>
        <v>7.3349633251833746E-2</v>
      </c>
      <c r="D63" s="7">
        <f t="shared" si="28"/>
        <v>6.51890482398957E-2</v>
      </c>
      <c r="E63" s="7">
        <f t="shared" si="28"/>
        <v>2.0833333333333332E-2</v>
      </c>
      <c r="F63" s="7">
        <f t="shared" si="28"/>
        <v>1.4886164623467601E-2</v>
      </c>
      <c r="G63" s="7">
        <f t="shared" si="29"/>
        <v>1.7859748978400466E-2</v>
      </c>
    </row>
    <row r="64" spans="1:12" x14ac:dyDescent="0.25">
      <c r="A64" t="s">
        <v>7</v>
      </c>
      <c r="B64" s="7">
        <f t="shared" si="28"/>
        <v>5.04</v>
      </c>
      <c r="C64" s="7">
        <f t="shared" si="28"/>
        <v>1.3960880195599021</v>
      </c>
      <c r="D64" s="7">
        <f t="shared" si="28"/>
        <v>0.78357235984354623</v>
      </c>
      <c r="E64" s="7">
        <f t="shared" si="28"/>
        <v>0.74387254901960786</v>
      </c>
      <c r="F64" s="7">
        <f t="shared" si="28"/>
        <v>0.53327495621716292</v>
      </c>
      <c r="G64" s="7">
        <f t="shared" si="29"/>
        <v>0.63857375261838545</v>
      </c>
    </row>
    <row r="65" spans="1:7" x14ac:dyDescent="0.25">
      <c r="A65" t="s">
        <v>8</v>
      </c>
      <c r="B65" s="7">
        <f t="shared" si="28"/>
        <v>6.7119999999999997</v>
      </c>
      <c r="C65" s="7">
        <f t="shared" si="28"/>
        <v>1.256723716381418</v>
      </c>
      <c r="D65" s="7">
        <f t="shared" si="28"/>
        <v>0.30769230769230771</v>
      </c>
      <c r="E65" s="7">
        <f t="shared" si="28"/>
        <v>0.23897058823529413</v>
      </c>
      <c r="F65" s="7">
        <f t="shared" si="28"/>
        <v>-2.276707530647986E-2</v>
      </c>
      <c r="G65" s="7">
        <f t="shared" si="29"/>
        <v>0.10810175646440713</v>
      </c>
    </row>
    <row r="66" spans="1:7" x14ac:dyDescent="0.25">
      <c r="A66" t="s">
        <v>41</v>
      </c>
      <c r="B66" s="7">
        <f t="shared" si="28"/>
        <v>0</v>
      </c>
      <c r="C66" s="7">
        <f t="shared" si="28"/>
        <v>0</v>
      </c>
      <c r="D66" s="7">
        <f t="shared" si="28"/>
        <v>0</v>
      </c>
      <c r="E66" s="7">
        <f t="shared" si="28"/>
        <v>0</v>
      </c>
      <c r="F66" s="7">
        <f t="shared" si="28"/>
        <v>8.7565674255691769E-4</v>
      </c>
      <c r="G66" s="7">
        <f t="shared" si="29"/>
        <v>4.3782837127845885E-4</v>
      </c>
    </row>
    <row r="67" spans="1:7" x14ac:dyDescent="0.25">
      <c r="A67" t="s">
        <v>76</v>
      </c>
      <c r="B67" s="7">
        <f>B22/B5</f>
        <v>0.8584070796460177</v>
      </c>
      <c r="C67" s="7">
        <f t="shared" ref="C67:E67" si="30">C22/C5</f>
        <v>0.15037593984962405</v>
      </c>
      <c r="D67" s="7"/>
      <c r="E67" s="7">
        <f t="shared" si="30"/>
        <v>6.8578553615960103E-2</v>
      </c>
      <c r="F67" s="7"/>
      <c r="G67" s="7">
        <f t="shared" si="29"/>
        <v>6.8578553615960103E-2</v>
      </c>
    </row>
    <row r="68" spans="1:7" x14ac:dyDescent="0.25">
      <c r="A68" t="s">
        <v>77</v>
      </c>
      <c r="B68" s="7">
        <f>B23/B5</f>
        <v>0.33628318584070799</v>
      </c>
      <c r="C68" s="7">
        <f t="shared" ref="C68:F68" si="31">C23/C5</f>
        <v>7.0175438596491224E-2</v>
      </c>
      <c r="D68" s="7">
        <f t="shared" si="31"/>
        <v>4.6604527296937419E-2</v>
      </c>
      <c r="E68" s="7">
        <f t="shared" si="31"/>
        <v>2.9925187032418952E-2</v>
      </c>
      <c r="F68" s="7">
        <f t="shared" si="31"/>
        <v>3.2649253731343281E-2</v>
      </c>
      <c r="G68" s="7">
        <f t="shared" si="29"/>
        <v>3.1287220381881115E-2</v>
      </c>
    </row>
    <row r="69" spans="1:7" x14ac:dyDescent="0.25">
      <c r="A69" t="s">
        <v>78</v>
      </c>
      <c r="B69" s="7">
        <f>B24/B5</f>
        <v>0.10619469026548672</v>
      </c>
      <c r="C69" s="7">
        <f t="shared" ref="C69:F69" si="32">C24/C5</f>
        <v>2.2556390977443608E-2</v>
      </c>
      <c r="D69" s="7">
        <f t="shared" si="32"/>
        <v>1.4647137150466045E-2</v>
      </c>
      <c r="E69" s="7">
        <f t="shared" si="32"/>
        <v>2.2443890274314215E-2</v>
      </c>
      <c r="F69" s="7">
        <f t="shared" si="32"/>
        <v>3.0783582089552237E-2</v>
      </c>
      <c r="G69" s="7">
        <f t="shared" si="29"/>
        <v>2.6613736181933224E-2</v>
      </c>
    </row>
    <row r="70" spans="1:7" x14ac:dyDescent="0.25">
      <c r="A70" t="s">
        <v>37</v>
      </c>
      <c r="B70" s="7">
        <f>B37/-B7</f>
        <v>13.75</v>
      </c>
      <c r="C70" s="7">
        <f t="shared" ref="C70:F70" si="33">C37/-C7</f>
        <v>14.333333333333334</v>
      </c>
      <c r="D70" s="7"/>
      <c r="E70" s="7">
        <f t="shared" si="33"/>
        <v>15</v>
      </c>
      <c r="F70" s="7">
        <f t="shared" si="33"/>
        <v>0.72093023255813948</v>
      </c>
      <c r="G70" s="7">
        <f t="shared" si="29"/>
        <v>7.8604651162790695</v>
      </c>
    </row>
    <row r="71" spans="1:7" x14ac:dyDescent="0.25">
      <c r="A71" t="s">
        <v>32</v>
      </c>
      <c r="B71" s="7">
        <f>B39/B7</f>
        <v>-5</v>
      </c>
      <c r="C71" s="7">
        <f t="shared" ref="C71:F71" si="34">C39/C7</f>
        <v>-55.333333333333336</v>
      </c>
      <c r="D71" s="7"/>
      <c r="E71" s="7">
        <f t="shared" si="34"/>
        <v>-55.666666666666664</v>
      </c>
      <c r="F71" s="7">
        <f t="shared" si="34"/>
        <v>-3.9069767441860463</v>
      </c>
      <c r="G71" s="7">
        <f t="shared" si="29"/>
        <v>-29.786821705426355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2"/>
  <sheetViews>
    <sheetView showGridLines="0" tabSelected="1" topLeftCell="A3" workbookViewId="0">
      <selection activeCell="I19" sqref="I19"/>
    </sheetView>
  </sheetViews>
  <sheetFormatPr defaultRowHeight="15" x14ac:dyDescent="0.25"/>
  <cols>
    <col min="2" max="2" width="26.85546875" bestFit="1" customWidth="1"/>
    <col min="3" max="3" width="14.5703125" customWidth="1"/>
    <col min="4" max="4" width="12.85546875" customWidth="1"/>
    <col min="5" max="5" width="12.5703125" customWidth="1"/>
    <col min="6" max="6" width="12.42578125" customWidth="1"/>
    <col min="7" max="7" width="13.28515625" customWidth="1"/>
    <col min="8" max="8" width="13.5703125" customWidth="1"/>
    <col min="12" max="12" width="9.5703125" customWidth="1"/>
  </cols>
  <sheetData>
    <row r="5" spans="2:14" x14ac:dyDescent="0.25">
      <c r="B5" s="19" t="s">
        <v>43</v>
      </c>
      <c r="C5" s="27" t="s">
        <v>62</v>
      </c>
      <c r="F5" s="19" t="s">
        <v>49</v>
      </c>
      <c r="G5" s="20"/>
      <c r="H5" s="28" t="s">
        <v>50</v>
      </c>
      <c r="K5" s="21" t="s">
        <v>53</v>
      </c>
      <c r="L5" s="22"/>
      <c r="M5" s="22"/>
      <c r="N5" s="23"/>
    </row>
    <row r="6" spans="2:14" x14ac:dyDescent="0.25">
      <c r="B6" s="16" t="s">
        <v>44</v>
      </c>
      <c r="C6" s="55">
        <f>Sheet1!F5</f>
        <v>1072</v>
      </c>
      <c r="F6" s="16" t="s">
        <v>51</v>
      </c>
      <c r="G6" s="17"/>
      <c r="H6" s="57">
        <v>0.2</v>
      </c>
      <c r="K6" s="24">
        <f>F32</f>
        <v>-1300.5787643379813</v>
      </c>
      <c r="L6" s="10"/>
      <c r="M6" s="10"/>
      <c r="N6" s="25"/>
    </row>
    <row r="7" spans="2:14" x14ac:dyDescent="0.25">
      <c r="B7" s="16" t="s">
        <v>45</v>
      </c>
      <c r="C7" s="55">
        <f>C8-Sheet1!F9</f>
        <v>43</v>
      </c>
      <c r="F7" s="16" t="s">
        <v>59</v>
      </c>
      <c r="G7" s="17"/>
      <c r="H7" s="57">
        <v>7.0000000000000007E-2</v>
      </c>
    </row>
    <row r="8" spans="2:14" x14ac:dyDescent="0.25">
      <c r="B8" s="16" t="s">
        <v>8</v>
      </c>
      <c r="C8" s="55">
        <f>Sheet1!F11</f>
        <v>26</v>
      </c>
      <c r="F8" s="18" t="s">
        <v>60</v>
      </c>
      <c r="G8" s="10"/>
      <c r="H8" s="58">
        <v>0.1</v>
      </c>
    </row>
    <row r="9" spans="2:14" x14ac:dyDescent="0.25">
      <c r="B9" s="16" t="s">
        <v>46</v>
      </c>
      <c r="C9" s="55">
        <f>-Sheet1!F9</f>
        <v>17</v>
      </c>
    </row>
    <row r="10" spans="2:14" x14ac:dyDescent="0.25">
      <c r="B10" s="16" t="s">
        <v>47</v>
      </c>
      <c r="C10" s="26">
        <v>1.4</v>
      </c>
    </row>
    <row r="11" spans="2:14" x14ac:dyDescent="0.25">
      <c r="B11" s="18" t="s">
        <v>48</v>
      </c>
      <c r="C11" s="56">
        <f>Sheet1!F58</f>
        <v>-131</v>
      </c>
    </row>
    <row r="15" spans="2:14" x14ac:dyDescent="0.25">
      <c r="B15" s="31"/>
      <c r="C15" s="29">
        <v>2019</v>
      </c>
      <c r="D15" s="29">
        <v>2020</v>
      </c>
      <c r="E15" s="29">
        <v>2021</v>
      </c>
      <c r="F15" s="29">
        <v>2022</v>
      </c>
      <c r="G15" s="29">
        <v>2023</v>
      </c>
      <c r="H15" s="30">
        <v>2024</v>
      </c>
    </row>
    <row r="16" spans="2:14" x14ac:dyDescent="0.25">
      <c r="B16" s="59" t="s">
        <v>54</v>
      </c>
      <c r="C16" s="60"/>
      <c r="D16" s="61">
        <f>H7</f>
        <v>7.0000000000000007E-2</v>
      </c>
      <c r="E16" s="62">
        <f>(1+$D$16)^E26-1</f>
        <v>0.14490000000000003</v>
      </c>
      <c r="F16" s="62">
        <f>(1+$D$16)^F26-1</f>
        <v>0.2250430000000001</v>
      </c>
      <c r="G16" s="62">
        <f>(1+$D$16)^G26-1</f>
        <v>0.31079601000000001</v>
      </c>
      <c r="H16" s="63">
        <f>(1+$D$16)^H26-1</f>
        <v>0.40255173070000017</v>
      </c>
    </row>
    <row r="17" spans="2:8" x14ac:dyDescent="0.25">
      <c r="B17" s="32" t="s">
        <v>73</v>
      </c>
      <c r="C17" s="34">
        <f>C6</f>
        <v>1072</v>
      </c>
      <c r="D17" s="34">
        <f>$C$17*(1+D16)</f>
        <v>1147.04</v>
      </c>
      <c r="E17" s="34">
        <f t="shared" ref="E17:H17" si="0">$C$17*(1+E16)</f>
        <v>1227.3328000000001</v>
      </c>
      <c r="F17" s="34">
        <f t="shared" si="0"/>
        <v>1313.2460960000001</v>
      </c>
      <c r="G17" s="34">
        <f t="shared" si="0"/>
        <v>1405.17332272</v>
      </c>
      <c r="H17" s="35">
        <f t="shared" si="0"/>
        <v>1503.5354553104003</v>
      </c>
    </row>
    <row r="18" spans="2:8" x14ac:dyDescent="0.25">
      <c r="B18" s="32" t="s">
        <v>45</v>
      </c>
      <c r="C18" s="36">
        <f>Sheet1!F11+Sheet1!F9</f>
        <v>9</v>
      </c>
      <c r="D18" s="36">
        <f>Sheet1!H11+Sheet1!H9</f>
        <v>-155.41487745098041</v>
      </c>
      <c r="E18" s="36">
        <f>Sheet1!I11+Sheet1!I9</f>
        <v>-166.29391887254923</v>
      </c>
      <c r="F18" s="36">
        <f>Sheet1!J11+Sheet1!J9</f>
        <v>-177.9344931936277</v>
      </c>
      <c r="G18" s="36">
        <f>Sheet1!K11+Sheet1!K9</f>
        <v>-190.38990771718136</v>
      </c>
      <c r="H18" s="37">
        <f>Sheet1!L11+Sheet1!L9</f>
        <v>-203.71720125738435</v>
      </c>
    </row>
    <row r="19" spans="2:8" x14ac:dyDescent="0.25">
      <c r="B19" s="32" t="s">
        <v>46</v>
      </c>
      <c r="C19" s="36">
        <f>C9</f>
        <v>17</v>
      </c>
      <c r="D19" s="36">
        <f>$C$19*(1+D16)</f>
        <v>18.190000000000001</v>
      </c>
      <c r="E19" s="36">
        <f t="shared" ref="E19:H19" si="1">$C$19*(1+E16)</f>
        <v>19.4633</v>
      </c>
      <c r="F19" s="36">
        <f t="shared" si="1"/>
        <v>20.825731000000001</v>
      </c>
      <c r="G19" s="36">
        <f t="shared" si="1"/>
        <v>22.283532170000001</v>
      </c>
      <c r="H19" s="37">
        <f t="shared" si="1"/>
        <v>23.843379421900003</v>
      </c>
    </row>
    <row r="20" spans="2:8" x14ac:dyDescent="0.25">
      <c r="B20" s="32" t="s">
        <v>8</v>
      </c>
      <c r="C20" s="36">
        <f>C18-C19</f>
        <v>-8</v>
      </c>
      <c r="D20" s="36">
        <f t="shared" ref="D20:H20" si="2">D18-D19</f>
        <v>-173.60487745098041</v>
      </c>
      <c r="E20" s="36">
        <f t="shared" si="2"/>
        <v>-185.75721887254923</v>
      </c>
      <c r="F20" s="36">
        <f t="shared" si="2"/>
        <v>-198.76022419362769</v>
      </c>
      <c r="G20" s="36">
        <f t="shared" si="2"/>
        <v>-212.67343988718136</v>
      </c>
      <c r="H20" s="37">
        <f t="shared" si="2"/>
        <v>-227.56058067928436</v>
      </c>
    </row>
    <row r="21" spans="2:8" x14ac:dyDescent="0.25">
      <c r="B21" s="32" t="s">
        <v>55</v>
      </c>
      <c r="C21" s="36"/>
      <c r="D21" s="36"/>
      <c r="E21" s="36"/>
      <c r="F21" s="36"/>
      <c r="G21" s="36"/>
      <c r="H21" s="37"/>
    </row>
    <row r="22" spans="2:8" x14ac:dyDescent="0.25">
      <c r="B22" s="32" t="s">
        <v>56</v>
      </c>
      <c r="C22" s="36">
        <f>C20-C21</f>
        <v>-8</v>
      </c>
      <c r="D22" s="36">
        <f t="shared" ref="D22:H22" si="3">D20-D21</f>
        <v>-173.60487745098041</v>
      </c>
      <c r="E22" s="36">
        <f t="shared" si="3"/>
        <v>-185.75721887254923</v>
      </c>
      <c r="F22" s="36">
        <f t="shared" si="3"/>
        <v>-198.76022419362769</v>
      </c>
      <c r="G22" s="36">
        <f t="shared" si="3"/>
        <v>-212.67343988718136</v>
      </c>
      <c r="H22" s="37">
        <f t="shared" si="3"/>
        <v>-227.56058067928436</v>
      </c>
    </row>
    <row r="23" spans="2:8" x14ac:dyDescent="0.25">
      <c r="B23" s="32" t="s">
        <v>57</v>
      </c>
      <c r="C23" s="36">
        <v>2.75</v>
      </c>
      <c r="D23" s="36">
        <v>2.9012500000000001</v>
      </c>
      <c r="E23" s="36">
        <v>3.0511479166666668</v>
      </c>
      <c r="F23" s="36">
        <v>3.1986200659722224</v>
      </c>
      <c r="G23" s="36">
        <v>3.3425579689409721</v>
      </c>
      <c r="H23" s="37">
        <v>3.481831217646846</v>
      </c>
    </row>
    <row r="24" spans="2:8" x14ac:dyDescent="0.25">
      <c r="B24" s="38" t="s">
        <v>52</v>
      </c>
      <c r="C24" s="54">
        <f>Sheet1!F58-Sheet1!H58</f>
        <v>-76.411157149151634</v>
      </c>
      <c r="D24" s="54">
        <f>Sheet1!H58-Sheet1!I58</f>
        <v>3.6614742751910185</v>
      </c>
      <c r="E24" s="54">
        <f>Sheet1!I58-Sheet1!J58</f>
        <v>3.9282280638989846</v>
      </c>
      <c r="F24" s="54">
        <f>Sheet1!J58-Sheet1!K58</f>
        <v>4.2129709343950239</v>
      </c>
      <c r="G24" s="54">
        <f>Sheet1!K58-Sheet1!L58</f>
        <v>4.5170068493569602</v>
      </c>
      <c r="H24" s="40"/>
    </row>
    <row r="25" spans="2:8" x14ac:dyDescent="0.25">
      <c r="B25" s="41" t="s">
        <v>58</v>
      </c>
      <c r="C25" s="42">
        <f>C22+C19+(-C23)+C24</f>
        <v>-70.161157149151634</v>
      </c>
      <c r="D25" s="42">
        <f t="shared" ref="D25:H25" si="4">D22+D19+(-D23)+D24</f>
        <v>-154.65465317578941</v>
      </c>
      <c r="E25" s="42">
        <f t="shared" si="4"/>
        <v>-165.41683872531692</v>
      </c>
      <c r="F25" s="42">
        <f t="shared" si="4"/>
        <v>-176.92014232520489</v>
      </c>
      <c r="G25" s="42">
        <f t="shared" si="4"/>
        <v>-189.21545883676538</v>
      </c>
      <c r="H25" s="43">
        <f t="shared" si="4"/>
        <v>-207.1990324750312</v>
      </c>
    </row>
    <row r="26" spans="2:8" x14ac:dyDescent="0.25">
      <c r="B26" s="32" t="s">
        <v>72</v>
      </c>
      <c r="C26" s="33">
        <v>0</v>
      </c>
      <c r="D26" s="33">
        <v>1</v>
      </c>
      <c r="E26" s="33">
        <v>2</v>
      </c>
      <c r="F26" s="33">
        <v>3</v>
      </c>
      <c r="G26" s="33">
        <v>4</v>
      </c>
      <c r="H26" s="47">
        <v>5</v>
      </c>
    </row>
    <row r="27" spans="2:8" x14ac:dyDescent="0.25">
      <c r="B27" s="32" t="s">
        <v>63</v>
      </c>
      <c r="C27" s="48">
        <f t="shared" ref="C27:H27" si="5">(1+$H$8)^-C26</f>
        <v>1</v>
      </c>
      <c r="D27" s="48">
        <f t="shared" si="5"/>
        <v>0.90909090909090906</v>
      </c>
      <c r="E27" s="48">
        <f t="shared" si="5"/>
        <v>0.82644628099173545</v>
      </c>
      <c r="F27" s="48">
        <f t="shared" si="5"/>
        <v>0.75131480090157754</v>
      </c>
      <c r="G27" s="48">
        <f t="shared" si="5"/>
        <v>0.68301345536507052</v>
      </c>
      <c r="H27" s="49">
        <f t="shared" si="5"/>
        <v>0.62092132305915493</v>
      </c>
    </row>
    <row r="28" spans="2:8" x14ac:dyDescent="0.25">
      <c r="B28" s="44" t="s">
        <v>71</v>
      </c>
      <c r="C28" s="45">
        <f>C25*C27</f>
        <v>-70.161157149151634</v>
      </c>
      <c r="D28" s="45">
        <f t="shared" ref="D28:H28" si="6">D25*D27</f>
        <v>-140.59513925071764</v>
      </c>
      <c r="E28" s="45">
        <f t="shared" si="6"/>
        <v>-136.70813117794785</v>
      </c>
      <c r="F28" s="45">
        <f t="shared" si="6"/>
        <v>-132.92272150654009</v>
      </c>
      <c r="G28" s="45">
        <f t="shared" si="6"/>
        <v>-129.23670434858639</v>
      </c>
      <c r="H28" s="46">
        <f t="shared" si="6"/>
        <v>-128.65429738097319</v>
      </c>
    </row>
    <row r="31" spans="2:8" ht="60" x14ac:dyDescent="0.25">
      <c r="B31" s="50" t="s">
        <v>64</v>
      </c>
      <c r="C31" s="51" t="s">
        <v>65</v>
      </c>
      <c r="D31" s="51" t="s">
        <v>66</v>
      </c>
      <c r="E31" s="51" t="s">
        <v>67</v>
      </c>
      <c r="F31" s="51" t="s">
        <v>68</v>
      </c>
      <c r="G31" s="51" t="s">
        <v>69</v>
      </c>
      <c r="H31" s="52" t="s">
        <v>70</v>
      </c>
    </row>
    <row r="32" spans="2:8" x14ac:dyDescent="0.25">
      <c r="B32" s="53">
        <v>0.1</v>
      </c>
      <c r="C32" s="39">
        <f>SUM(D28:H28)</f>
        <v>-668.11699366476512</v>
      </c>
      <c r="D32" s="39">
        <f>5*H18</f>
        <v>-1018.5860062869217</v>
      </c>
      <c r="E32" s="39">
        <f>D32/(1+B32)^H26</f>
        <v>-632.46177067321617</v>
      </c>
      <c r="F32" s="39">
        <f>C32+E32</f>
        <v>-1300.5787643379813</v>
      </c>
      <c r="G32" s="39">
        <f>C32/F32</f>
        <v>0.51370744470431906</v>
      </c>
      <c r="H32" s="40">
        <f>E32/F32</f>
        <v>0.48629255529568094</v>
      </c>
    </row>
  </sheetData>
  <dataValidations count="1">
    <dataValidation type="list" allowBlank="1" showInputMessage="1" showErrorMessage="1" sqref="H7">
      <formula1>"7%,15%,0%"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Zarkovic</dc:creator>
  <cp:lastModifiedBy>user</cp:lastModifiedBy>
  <dcterms:created xsi:type="dcterms:W3CDTF">2021-02-04T21:53:04Z</dcterms:created>
  <dcterms:modified xsi:type="dcterms:W3CDTF">2021-02-11T17:11:14Z</dcterms:modified>
</cp:coreProperties>
</file>