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InkAnnotation="0" defaultThemeVersion="124226"/>
  <mc:AlternateContent xmlns:mc="http://schemas.openxmlformats.org/markup-compatibility/2006">
    <mc:Choice Requires="x15">
      <x15ac:absPath xmlns:x15ac="http://schemas.microsoft.com/office/spreadsheetml/2010/11/ac" url="C:\Users\F104101\surfdrive\Paper_3\Python_compact_Github\excel files\"/>
    </mc:Choice>
  </mc:AlternateContent>
  <xr:revisionPtr revIDLastSave="0" documentId="13_ncr:1_{0AA40D71-654A-405B-8842-C7639AE53DAB}" xr6:coauthVersionLast="41" xr6:coauthVersionMax="43" xr10:uidLastSave="{00000000-0000-0000-0000-000000000000}"/>
  <bookViews>
    <workbookView xWindow="-108" yWindow="-108" windowWidth="23256" windowHeight="12576" tabRatio="842" xr2:uid="{00000000-000D-0000-FFFF-FFFF00000000}"/>
  </bookViews>
  <sheets>
    <sheet name="Description" sheetId="55" r:id="rId1"/>
    <sheet name="Housing types" sheetId="9" r:id="rId2"/>
    <sheet name="Materials" sheetId="8" r:id="rId3"/>
    <sheet name="Export" sheetId="56" r:id="rId4"/>
    <sheet name="Export2" sheetId="57" r:id="rId5"/>
    <sheet name="Boxplots" sheetId="60" r:id="rId6"/>
    <sheet name="Region 1" sheetId="10" r:id="rId7"/>
    <sheet name="Region 2" sheetId="62" r:id="rId8"/>
    <sheet name="Region 3" sheetId="12" r:id="rId9"/>
    <sheet name="Region 4" sheetId="13" r:id="rId10"/>
    <sheet name="Region 5" sheetId="44" r:id="rId11"/>
    <sheet name="Region 6" sheetId="63" r:id="rId12"/>
    <sheet name="Region 7" sheetId="16" r:id="rId13"/>
    <sheet name="Region 8" sheetId="45" r:id="rId14"/>
    <sheet name="Region 9" sheetId="18" r:id="rId15"/>
    <sheet name="Region 10" sheetId="19" r:id="rId16"/>
    <sheet name="Region 11" sheetId="61" r:id="rId17"/>
    <sheet name="Region 12" sheetId="21" r:id="rId18"/>
    <sheet name="Region 13" sheetId="51" r:id="rId19"/>
    <sheet name="Region 14" sheetId="23" r:id="rId20"/>
    <sheet name="Region 15" sheetId="24" r:id="rId21"/>
    <sheet name="Region 16" sheetId="25" r:id="rId22"/>
    <sheet name="Region 17" sheetId="46" r:id="rId23"/>
    <sheet name="Region 18" sheetId="47" r:id="rId24"/>
    <sheet name="Region 19" sheetId="28" r:id="rId25"/>
    <sheet name="Region 20" sheetId="48" r:id="rId26"/>
    <sheet name="Region 21" sheetId="30" r:id="rId27"/>
    <sheet name="Region 22" sheetId="31" r:id="rId28"/>
    <sheet name="Region 23" sheetId="49" r:id="rId29"/>
    <sheet name="Region 24" sheetId="52" r:id="rId30"/>
    <sheet name="Region 25" sheetId="34" r:id="rId31"/>
    <sheet name="Region 26" sheetId="35" r:id="rId32"/>
  </sheets>
  <definedNames>
    <definedName name="_xlnm._FilterDatabase" localSheetId="3" hidden="1">Export!$A$1:$O$109</definedName>
    <definedName name="_xlnm._FilterDatabase" localSheetId="6" hidden="1">'Region 1'!$A$1:$AA$16</definedName>
    <definedName name="_xlnm._FilterDatabase" localSheetId="16" hidden="1">'Region 11'!$A$1:$AB$96</definedName>
    <definedName name="_xlnm._FilterDatabase" localSheetId="17" hidden="1">'Region 12'!$A$1:$AB$96</definedName>
    <definedName name="_xlnm._FilterDatabase" localSheetId="23" hidden="1">'Region 18'!$A$1:$AA$52</definedName>
    <definedName name="_xlnm._FilterDatabase" localSheetId="24" hidden="1">'Region 19'!$A$1:$AB$26</definedName>
    <definedName name="_xlnm._FilterDatabase" localSheetId="7" hidden="1">'Region 2'!$A$1:$AA$16</definedName>
    <definedName name="_xlnm._FilterDatabase" localSheetId="25" hidden="1">'Region 20'!$A$1:$AA$45</definedName>
    <definedName name="_xlnm._FilterDatabase" localSheetId="26" hidden="1">'Region 21'!$A$1:$AA$14</definedName>
    <definedName name="_xlnm._FilterDatabase" localSheetId="28" hidden="1">'Region 23'!$S:$S</definedName>
    <definedName name="_xlnm._FilterDatabase" localSheetId="29" hidden="1">'Region 24'!$A$1:$AA$69</definedName>
    <definedName name="_xlnm._FilterDatabase" localSheetId="10" hidden="1">'Region 5'!$A$1:$AB$17</definedName>
    <definedName name="_xlnm._FilterDatabase" localSheetId="11" hidden="1">'Region 6'!$A$1:$AB$17</definedName>
    <definedName name="_xlnm._FilterDatabase" localSheetId="13" hidden="1">'Region 8'!$A$1:$AA$13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5" i="60" l="1"/>
  <c r="M105" i="60"/>
  <c r="L105" i="60"/>
  <c r="K105" i="60"/>
  <c r="J105" i="60"/>
  <c r="I105" i="60"/>
  <c r="H105" i="60"/>
  <c r="G105" i="60"/>
  <c r="F105" i="60"/>
  <c r="E105" i="60"/>
  <c r="N104" i="60"/>
  <c r="M104" i="60"/>
  <c r="L104" i="60"/>
  <c r="K104" i="60"/>
  <c r="J104" i="60"/>
  <c r="I104" i="60"/>
  <c r="H104" i="60"/>
  <c r="G104" i="60"/>
  <c r="F104" i="60"/>
  <c r="E104" i="60"/>
  <c r="N103" i="60"/>
  <c r="M103" i="60"/>
  <c r="L103" i="60"/>
  <c r="J103" i="60"/>
  <c r="H103" i="60"/>
  <c r="G103" i="60"/>
  <c r="F103" i="60"/>
  <c r="E103" i="60"/>
  <c r="N102" i="60"/>
  <c r="M102" i="60"/>
  <c r="L102" i="60"/>
  <c r="K102" i="60"/>
  <c r="J102" i="60"/>
  <c r="I102" i="60"/>
  <c r="H102" i="60"/>
  <c r="G102" i="60"/>
  <c r="E102" i="60"/>
  <c r="N101" i="60"/>
  <c r="M101" i="60"/>
  <c r="L101" i="60"/>
  <c r="K101" i="60"/>
  <c r="J101" i="60"/>
  <c r="I101" i="60"/>
  <c r="H101" i="60"/>
  <c r="G101" i="60"/>
  <c r="F101" i="60"/>
  <c r="E101" i="60"/>
  <c r="N100" i="60"/>
  <c r="M100" i="60"/>
  <c r="L100" i="60"/>
  <c r="K100" i="60"/>
  <c r="J100" i="60"/>
  <c r="I100" i="60"/>
  <c r="H100" i="60"/>
  <c r="G100" i="60"/>
  <c r="F100" i="60"/>
  <c r="E100" i="60"/>
  <c r="N99" i="60"/>
  <c r="M99" i="60"/>
  <c r="L99" i="60"/>
  <c r="K99" i="60"/>
  <c r="J99" i="60"/>
  <c r="I99" i="60"/>
  <c r="G99" i="60"/>
  <c r="F99" i="60"/>
  <c r="N98" i="60"/>
  <c r="M98" i="60"/>
  <c r="L98" i="60"/>
  <c r="K98" i="60"/>
  <c r="J98" i="60"/>
  <c r="I98" i="60"/>
  <c r="H98" i="60"/>
  <c r="F98" i="60"/>
  <c r="N97" i="60"/>
  <c r="M97" i="60"/>
  <c r="L97" i="60"/>
  <c r="K97" i="60"/>
  <c r="J97" i="60"/>
  <c r="I97" i="60"/>
  <c r="H97" i="60"/>
  <c r="G97" i="60"/>
  <c r="F97" i="60"/>
  <c r="N96" i="60"/>
  <c r="M96" i="60"/>
  <c r="L96" i="60"/>
  <c r="K96" i="60"/>
  <c r="J96" i="60"/>
  <c r="I96" i="60"/>
  <c r="H96" i="60"/>
  <c r="G96" i="60"/>
  <c r="F96" i="60"/>
  <c r="E96" i="60"/>
  <c r="N95" i="60"/>
  <c r="M95" i="60"/>
  <c r="L95" i="60"/>
  <c r="K95" i="60"/>
  <c r="J95" i="60"/>
  <c r="I95" i="60"/>
  <c r="H95" i="60"/>
  <c r="G95" i="60"/>
  <c r="F95" i="60"/>
  <c r="E95" i="60"/>
  <c r="N94" i="60"/>
  <c r="M94" i="60"/>
  <c r="L94" i="60"/>
  <c r="K94" i="60"/>
  <c r="J94" i="60"/>
  <c r="I94" i="60"/>
  <c r="H94" i="60"/>
  <c r="G94" i="60"/>
  <c r="F94" i="60"/>
  <c r="E94" i="60"/>
  <c r="N93" i="60"/>
  <c r="M93" i="60"/>
  <c r="L93" i="60"/>
  <c r="K93" i="60"/>
  <c r="J93" i="60"/>
  <c r="I93" i="60"/>
  <c r="H93" i="60"/>
  <c r="G93" i="60"/>
  <c r="F93" i="60"/>
  <c r="E93" i="60"/>
  <c r="N92" i="60"/>
  <c r="M92" i="60"/>
  <c r="L92" i="60"/>
  <c r="K92" i="60"/>
  <c r="J92" i="60"/>
  <c r="I92" i="60"/>
  <c r="H92" i="60"/>
  <c r="G92" i="60"/>
  <c r="F92" i="60"/>
  <c r="N91" i="60"/>
  <c r="M91" i="60"/>
  <c r="L91" i="60"/>
  <c r="K91" i="60"/>
  <c r="J91" i="60"/>
  <c r="I91" i="60"/>
  <c r="H91" i="60"/>
  <c r="G91" i="60"/>
  <c r="E91" i="60"/>
  <c r="N90" i="60"/>
  <c r="M90" i="60"/>
  <c r="L90" i="60"/>
  <c r="K90" i="60"/>
  <c r="J90" i="60"/>
  <c r="I90" i="60"/>
  <c r="H90" i="60"/>
  <c r="F90" i="60"/>
  <c r="N89" i="60"/>
  <c r="M89" i="60"/>
  <c r="L89" i="60"/>
  <c r="K89" i="60"/>
  <c r="J89" i="60"/>
  <c r="I89" i="60"/>
  <c r="H89" i="60"/>
  <c r="G89" i="60"/>
  <c r="F89" i="60"/>
  <c r="E89" i="60"/>
  <c r="N88" i="60"/>
  <c r="M88" i="60"/>
  <c r="L88" i="60"/>
  <c r="K88" i="60"/>
  <c r="J88" i="60"/>
  <c r="I88" i="60"/>
  <c r="H88" i="60"/>
  <c r="G88" i="60"/>
  <c r="F88" i="60"/>
  <c r="E88" i="60"/>
  <c r="N87" i="60"/>
  <c r="M87" i="60"/>
  <c r="L87" i="60"/>
  <c r="K87" i="60"/>
  <c r="J87" i="60"/>
  <c r="I87" i="60"/>
  <c r="H87" i="60"/>
  <c r="G87" i="60"/>
  <c r="F87" i="60"/>
  <c r="E87" i="60"/>
  <c r="N86" i="60"/>
  <c r="M86" i="60"/>
  <c r="L86" i="60"/>
  <c r="K86" i="60"/>
  <c r="J86" i="60"/>
  <c r="I86" i="60"/>
  <c r="H86" i="60"/>
  <c r="G86" i="60"/>
  <c r="F86" i="60"/>
  <c r="E86" i="60"/>
  <c r="N85" i="60"/>
  <c r="M85" i="60"/>
  <c r="L85" i="60"/>
  <c r="K85" i="60"/>
  <c r="J85" i="60"/>
  <c r="I85" i="60"/>
  <c r="H85" i="60"/>
  <c r="G85" i="60"/>
  <c r="F85" i="60"/>
  <c r="E85" i="60"/>
  <c r="N84" i="60"/>
  <c r="M84" i="60"/>
  <c r="L84" i="60"/>
  <c r="K84" i="60"/>
  <c r="J84" i="60"/>
  <c r="I84" i="60"/>
  <c r="H84" i="60"/>
  <c r="G84" i="60"/>
  <c r="F84" i="60"/>
  <c r="N83" i="60"/>
  <c r="M83" i="60"/>
  <c r="L83" i="60"/>
  <c r="K83" i="60"/>
  <c r="J83" i="60"/>
  <c r="I83" i="60"/>
  <c r="H83" i="60"/>
  <c r="G83" i="60"/>
  <c r="F83" i="60"/>
  <c r="E83" i="60"/>
  <c r="N82" i="60"/>
  <c r="M82" i="60"/>
  <c r="L82" i="60"/>
  <c r="K82" i="60"/>
  <c r="J82" i="60"/>
  <c r="I82" i="60"/>
  <c r="H82" i="60"/>
  <c r="G82" i="60"/>
  <c r="F82" i="60"/>
  <c r="E82" i="60"/>
  <c r="N81" i="60"/>
  <c r="M81" i="60"/>
  <c r="L81" i="60"/>
  <c r="K81" i="60"/>
  <c r="J81" i="60"/>
  <c r="I81" i="60"/>
  <c r="H81" i="60"/>
  <c r="F81" i="60"/>
  <c r="E81" i="60"/>
  <c r="N80" i="60"/>
  <c r="M80" i="60"/>
  <c r="L80" i="60"/>
  <c r="K80" i="60"/>
  <c r="J80" i="60"/>
  <c r="I80" i="60"/>
  <c r="H80" i="60"/>
  <c r="G80" i="60"/>
  <c r="E80" i="60"/>
  <c r="N79" i="60"/>
  <c r="M79" i="60"/>
  <c r="L79" i="60"/>
  <c r="K79" i="60"/>
  <c r="J79" i="60"/>
  <c r="I79" i="60"/>
  <c r="H79" i="60"/>
  <c r="G79" i="60"/>
  <c r="F79" i="60"/>
  <c r="E79" i="60"/>
  <c r="N78" i="60"/>
  <c r="M78" i="60"/>
  <c r="L78" i="60"/>
  <c r="K78" i="60"/>
  <c r="J78" i="60"/>
  <c r="I78" i="60"/>
  <c r="H78" i="60"/>
  <c r="G78" i="60"/>
  <c r="F78" i="60"/>
  <c r="E78" i="60"/>
  <c r="N77" i="60"/>
  <c r="M77" i="60"/>
  <c r="L77" i="60"/>
  <c r="K77" i="60"/>
  <c r="J77" i="60"/>
  <c r="I77" i="60"/>
  <c r="H77" i="60"/>
  <c r="G77" i="60"/>
  <c r="F77" i="60"/>
  <c r="N76" i="60"/>
  <c r="M76" i="60"/>
  <c r="L76" i="60"/>
  <c r="K76" i="60"/>
  <c r="J76" i="60"/>
  <c r="I76" i="60"/>
  <c r="H76" i="60"/>
  <c r="G76" i="60"/>
  <c r="F76" i="60"/>
  <c r="E76" i="60"/>
  <c r="N75" i="60"/>
  <c r="M75" i="60"/>
  <c r="L75" i="60"/>
  <c r="K75" i="60"/>
  <c r="J75" i="60"/>
  <c r="I75" i="60"/>
  <c r="H75" i="60"/>
  <c r="G75" i="60"/>
  <c r="F75" i="60"/>
  <c r="E75" i="60"/>
  <c r="N74" i="60"/>
  <c r="M74" i="60"/>
  <c r="L74" i="60"/>
  <c r="K74" i="60"/>
  <c r="J74" i="60"/>
  <c r="I74" i="60"/>
  <c r="H74" i="60"/>
  <c r="G74" i="60"/>
  <c r="F74" i="60"/>
  <c r="N73" i="60"/>
  <c r="M73" i="60"/>
  <c r="L73" i="60"/>
  <c r="K73" i="60"/>
  <c r="J73" i="60"/>
  <c r="I73" i="60"/>
  <c r="H73" i="60"/>
  <c r="G73" i="60"/>
  <c r="F73" i="60"/>
  <c r="E73" i="60"/>
  <c r="N72" i="60"/>
  <c r="M72" i="60"/>
  <c r="L72" i="60"/>
  <c r="K72" i="60"/>
  <c r="J72" i="60"/>
  <c r="I72" i="60"/>
  <c r="H72" i="60"/>
  <c r="G72" i="60"/>
  <c r="E72" i="60"/>
  <c r="N71" i="60"/>
  <c r="M71" i="60"/>
  <c r="L71" i="60"/>
  <c r="K71" i="60"/>
  <c r="J71" i="60"/>
  <c r="I71" i="60"/>
  <c r="H71" i="60"/>
  <c r="G71" i="60"/>
  <c r="E71" i="60"/>
  <c r="N70" i="60"/>
  <c r="M70" i="60"/>
  <c r="L70" i="60"/>
  <c r="K70" i="60"/>
  <c r="J70" i="60"/>
  <c r="I70" i="60"/>
  <c r="H70" i="60"/>
  <c r="G70" i="60"/>
  <c r="F70" i="60"/>
  <c r="N69" i="60"/>
  <c r="M69" i="60"/>
  <c r="L69" i="60"/>
  <c r="K69" i="60"/>
  <c r="J69" i="60"/>
  <c r="I69" i="60"/>
  <c r="H69" i="60"/>
  <c r="G69" i="60"/>
  <c r="F69" i="60"/>
  <c r="E69" i="60"/>
  <c r="N68" i="60"/>
  <c r="M68" i="60"/>
  <c r="L68" i="60"/>
  <c r="K68" i="60"/>
  <c r="J68" i="60"/>
  <c r="I68" i="60"/>
  <c r="H68" i="60"/>
  <c r="G68" i="60"/>
  <c r="F68" i="60"/>
  <c r="E68" i="60"/>
  <c r="N67" i="60"/>
  <c r="M67" i="60"/>
  <c r="L67" i="60"/>
  <c r="K67" i="60"/>
  <c r="J67" i="60"/>
  <c r="I67" i="60"/>
  <c r="H67" i="60"/>
  <c r="G67" i="60"/>
  <c r="F67" i="60"/>
  <c r="E67" i="60"/>
  <c r="N66" i="60"/>
  <c r="M66" i="60"/>
  <c r="L66" i="60"/>
  <c r="K66" i="60"/>
  <c r="J66" i="60"/>
  <c r="I66" i="60"/>
  <c r="H66" i="60"/>
  <c r="G66" i="60"/>
  <c r="F66" i="60"/>
  <c r="N65" i="60"/>
  <c r="M65" i="60"/>
  <c r="L65" i="60"/>
  <c r="K65" i="60"/>
  <c r="J65" i="60"/>
  <c r="I65" i="60"/>
  <c r="H65" i="60"/>
  <c r="G65" i="60"/>
  <c r="E65" i="60"/>
  <c r="N64" i="60"/>
  <c r="M64" i="60"/>
  <c r="L64" i="60"/>
  <c r="J64" i="60"/>
  <c r="I64" i="60"/>
  <c r="H64" i="60"/>
  <c r="G64" i="60"/>
  <c r="F64" i="60"/>
  <c r="N63" i="60"/>
  <c r="M63" i="60"/>
  <c r="L63" i="60"/>
  <c r="K63" i="60"/>
  <c r="J63" i="60"/>
  <c r="I63" i="60"/>
  <c r="H63" i="60"/>
  <c r="G63" i="60"/>
  <c r="F63" i="60"/>
  <c r="E63" i="60"/>
  <c r="N62" i="60"/>
  <c r="M62" i="60"/>
  <c r="L62" i="60"/>
  <c r="K62" i="60"/>
  <c r="J62" i="60"/>
  <c r="I62" i="60"/>
  <c r="H62" i="60"/>
  <c r="G62" i="60"/>
  <c r="F62" i="60"/>
  <c r="E62" i="60"/>
  <c r="N61" i="60"/>
  <c r="M61" i="60"/>
  <c r="L61" i="60"/>
  <c r="K61" i="60"/>
  <c r="J61" i="60"/>
  <c r="I61" i="60"/>
  <c r="H61" i="60"/>
  <c r="G61" i="60"/>
  <c r="F61" i="60"/>
  <c r="E61" i="60"/>
  <c r="N60" i="60"/>
  <c r="M60" i="60"/>
  <c r="L60" i="60"/>
  <c r="K60" i="60"/>
  <c r="J60" i="60"/>
  <c r="I60" i="60"/>
  <c r="H60" i="60"/>
  <c r="G60" i="60"/>
  <c r="F60" i="60"/>
  <c r="E60" i="60"/>
  <c r="N59" i="60"/>
  <c r="M59" i="60"/>
  <c r="L59" i="60"/>
  <c r="K59" i="60"/>
  <c r="J59" i="60"/>
  <c r="I59" i="60"/>
  <c r="H59" i="60"/>
  <c r="G59" i="60"/>
  <c r="F59" i="60"/>
  <c r="N58" i="60"/>
  <c r="M58" i="60"/>
  <c r="L58" i="60"/>
  <c r="K58" i="60"/>
  <c r="J58" i="60"/>
  <c r="I58" i="60"/>
  <c r="H58" i="60"/>
  <c r="G58" i="60"/>
  <c r="F58" i="60"/>
  <c r="E58" i="60"/>
  <c r="N57" i="60"/>
  <c r="M57" i="60"/>
  <c r="L57" i="60"/>
  <c r="K57" i="60"/>
  <c r="J57" i="60"/>
  <c r="I57" i="60"/>
  <c r="H57" i="60"/>
  <c r="G57" i="60"/>
  <c r="F57" i="60"/>
  <c r="E57" i="60"/>
  <c r="N56" i="60"/>
  <c r="M56" i="60"/>
  <c r="L56" i="60"/>
  <c r="K56" i="60"/>
  <c r="J56" i="60"/>
  <c r="I56" i="60"/>
  <c r="H56" i="60"/>
  <c r="G56" i="60"/>
  <c r="F56" i="60"/>
  <c r="E56" i="60"/>
  <c r="N55" i="60"/>
  <c r="M55" i="60"/>
  <c r="L55" i="60"/>
  <c r="K55" i="60"/>
  <c r="J55" i="60"/>
  <c r="I55" i="60"/>
  <c r="H55" i="60"/>
  <c r="F55" i="60"/>
  <c r="E55" i="60"/>
  <c r="N54" i="60"/>
  <c r="M54" i="60"/>
  <c r="L54" i="60"/>
  <c r="K54" i="60"/>
  <c r="J54" i="60"/>
  <c r="I54" i="60"/>
  <c r="H54" i="60"/>
  <c r="G54" i="60"/>
  <c r="F54" i="60"/>
  <c r="E54" i="60"/>
  <c r="N53" i="60"/>
  <c r="M53" i="60"/>
  <c r="L53" i="60"/>
  <c r="K53" i="60"/>
  <c r="J53" i="60"/>
  <c r="I53" i="60"/>
  <c r="H53" i="60"/>
  <c r="G53" i="60"/>
  <c r="F53" i="60"/>
  <c r="E53" i="60"/>
  <c r="N52" i="60"/>
  <c r="M52" i="60"/>
  <c r="L52" i="60"/>
  <c r="K52" i="60"/>
  <c r="J52" i="60"/>
  <c r="I52" i="60"/>
  <c r="H52" i="60"/>
  <c r="G52" i="60"/>
  <c r="F52" i="60"/>
  <c r="E52" i="60"/>
  <c r="N51" i="60"/>
  <c r="M51" i="60"/>
  <c r="L51" i="60"/>
  <c r="K51" i="60"/>
  <c r="J51" i="60"/>
  <c r="I51" i="60"/>
  <c r="H51" i="60"/>
  <c r="G51" i="60"/>
  <c r="F51" i="60"/>
  <c r="N50" i="60"/>
  <c r="M50" i="60"/>
  <c r="L50" i="60"/>
  <c r="K50" i="60"/>
  <c r="J50" i="60"/>
  <c r="I50" i="60"/>
  <c r="H50" i="60"/>
  <c r="G50" i="60"/>
  <c r="F50" i="60"/>
  <c r="E50" i="60"/>
  <c r="N49" i="60"/>
  <c r="M49" i="60"/>
  <c r="L49" i="60"/>
  <c r="K49" i="60"/>
  <c r="J49" i="60"/>
  <c r="I49" i="60"/>
  <c r="H49" i="60"/>
  <c r="G49" i="60"/>
  <c r="F49" i="60"/>
  <c r="E49" i="60"/>
  <c r="N48" i="60"/>
  <c r="M48" i="60"/>
  <c r="L48" i="60"/>
  <c r="K48" i="60"/>
  <c r="J48" i="60"/>
  <c r="I48" i="60"/>
  <c r="H48" i="60"/>
  <c r="G48" i="60"/>
  <c r="E48" i="60"/>
  <c r="N47" i="60"/>
  <c r="M47" i="60"/>
  <c r="L47" i="60"/>
  <c r="K47" i="60"/>
  <c r="J47" i="60"/>
  <c r="I47" i="60"/>
  <c r="H47" i="60"/>
  <c r="G47" i="60"/>
  <c r="F47" i="60"/>
  <c r="E47" i="60"/>
  <c r="N46" i="60"/>
  <c r="M46" i="60"/>
  <c r="L46" i="60"/>
  <c r="K46" i="60"/>
  <c r="J46" i="60"/>
  <c r="I46" i="60"/>
  <c r="H46" i="60"/>
  <c r="G46" i="60"/>
  <c r="F46" i="60"/>
  <c r="E46" i="60"/>
  <c r="N45" i="60"/>
  <c r="M45" i="60"/>
  <c r="L45" i="60"/>
  <c r="K45" i="60"/>
  <c r="J45" i="60"/>
  <c r="I45" i="60"/>
  <c r="H45" i="60"/>
  <c r="G45" i="60"/>
  <c r="F45" i="60"/>
  <c r="E45" i="60"/>
  <c r="N44" i="60"/>
  <c r="M44" i="60"/>
  <c r="L44" i="60"/>
  <c r="K44" i="60"/>
  <c r="J44" i="60"/>
  <c r="I44" i="60"/>
  <c r="H44" i="60"/>
  <c r="G44" i="60"/>
  <c r="F44" i="60"/>
  <c r="E44" i="60"/>
  <c r="N43" i="60"/>
  <c r="M43" i="60"/>
  <c r="L43" i="60"/>
  <c r="K43" i="60"/>
  <c r="J43" i="60"/>
  <c r="I43" i="60"/>
  <c r="H43" i="60"/>
  <c r="G43" i="60"/>
  <c r="F43" i="60"/>
  <c r="E43" i="60"/>
  <c r="N42" i="60"/>
  <c r="M42" i="60"/>
  <c r="L42" i="60"/>
  <c r="K42" i="60"/>
  <c r="J42" i="60"/>
  <c r="I42" i="60"/>
  <c r="H42" i="60"/>
  <c r="G42" i="60"/>
  <c r="F42" i="60"/>
  <c r="E42" i="60"/>
  <c r="N41" i="60"/>
  <c r="M41" i="60"/>
  <c r="L41" i="60"/>
  <c r="K41" i="60"/>
  <c r="J41" i="60"/>
  <c r="I41" i="60"/>
  <c r="H41" i="60"/>
  <c r="G41" i="60"/>
  <c r="F41" i="60"/>
  <c r="E41" i="60"/>
  <c r="N40" i="60"/>
  <c r="M40" i="60"/>
  <c r="L40" i="60"/>
  <c r="K40" i="60"/>
  <c r="J40" i="60"/>
  <c r="I40" i="60"/>
  <c r="H40" i="60"/>
  <c r="G40" i="60"/>
  <c r="F40" i="60"/>
  <c r="E40" i="60"/>
  <c r="N39" i="60"/>
  <c r="M39" i="60"/>
  <c r="L39" i="60"/>
  <c r="K39" i="60"/>
  <c r="J39" i="60"/>
  <c r="I39" i="60"/>
  <c r="H39" i="60"/>
  <c r="G39" i="60"/>
  <c r="F39" i="60"/>
  <c r="E39" i="60"/>
  <c r="N38" i="60"/>
  <c r="M38" i="60"/>
  <c r="L38" i="60"/>
  <c r="K38" i="60"/>
  <c r="I38" i="60"/>
  <c r="G38" i="60"/>
  <c r="E38" i="60"/>
  <c r="N37" i="60"/>
  <c r="M37" i="60"/>
  <c r="L37" i="60"/>
  <c r="K37" i="60"/>
  <c r="J37" i="60"/>
  <c r="I37" i="60"/>
  <c r="H37" i="60"/>
  <c r="G37" i="60"/>
  <c r="F37" i="60"/>
  <c r="E37" i="60"/>
  <c r="N36" i="60"/>
  <c r="M36" i="60"/>
  <c r="L36" i="60"/>
  <c r="K36" i="60"/>
  <c r="J36" i="60"/>
  <c r="I36" i="60"/>
  <c r="H36" i="60"/>
  <c r="G36" i="60"/>
  <c r="F36" i="60"/>
  <c r="E36" i="60"/>
  <c r="N35" i="60"/>
  <c r="M35" i="60"/>
  <c r="L35" i="60"/>
  <c r="K35" i="60"/>
  <c r="J35" i="60"/>
  <c r="I35" i="60"/>
  <c r="H35" i="60"/>
  <c r="G35" i="60"/>
  <c r="F35" i="60"/>
  <c r="E35" i="60"/>
  <c r="N34" i="60"/>
  <c r="M34" i="60"/>
  <c r="L34" i="60"/>
  <c r="K34" i="60"/>
  <c r="J34" i="60"/>
  <c r="I34" i="60"/>
  <c r="H34" i="60"/>
  <c r="G34" i="60"/>
  <c r="F34" i="60"/>
  <c r="E34" i="60"/>
  <c r="N33" i="60"/>
  <c r="M33" i="60"/>
  <c r="L33" i="60"/>
  <c r="K33" i="60"/>
  <c r="J33" i="60"/>
  <c r="I33" i="60"/>
  <c r="H33" i="60"/>
  <c r="F33" i="60"/>
  <c r="E33" i="60"/>
  <c r="N32" i="60"/>
  <c r="M32" i="60"/>
  <c r="L32" i="60"/>
  <c r="K32" i="60"/>
  <c r="J32" i="60"/>
  <c r="I32" i="60"/>
  <c r="H32" i="60"/>
  <c r="G32" i="60"/>
  <c r="F32" i="60"/>
  <c r="E32" i="60"/>
  <c r="N31" i="60"/>
  <c r="M31" i="60"/>
  <c r="L31" i="60"/>
  <c r="K31" i="60"/>
  <c r="J31" i="60"/>
  <c r="I31" i="60"/>
  <c r="H31" i="60"/>
  <c r="G31" i="60"/>
  <c r="F31" i="60"/>
  <c r="E31" i="60"/>
  <c r="N30" i="60"/>
  <c r="M30" i="60"/>
  <c r="L30" i="60"/>
  <c r="K30" i="60"/>
  <c r="J30" i="60"/>
  <c r="I30" i="60"/>
  <c r="H30" i="60"/>
  <c r="G30" i="60"/>
  <c r="F30" i="60"/>
  <c r="E30" i="60"/>
  <c r="N29" i="60"/>
  <c r="M29" i="60"/>
  <c r="L29" i="60"/>
  <c r="K29" i="60"/>
  <c r="J29" i="60"/>
  <c r="I29" i="60"/>
  <c r="H29" i="60"/>
  <c r="G29" i="60"/>
  <c r="F29" i="60"/>
  <c r="E29" i="60"/>
  <c r="N28" i="60"/>
  <c r="M28" i="60"/>
  <c r="L28" i="60"/>
  <c r="K28" i="60"/>
  <c r="J28" i="60"/>
  <c r="I28" i="60"/>
  <c r="H28" i="60"/>
  <c r="G28" i="60"/>
  <c r="F28" i="60"/>
  <c r="E28" i="60"/>
  <c r="N7" i="60"/>
  <c r="M7" i="60"/>
  <c r="L7" i="60"/>
  <c r="K7" i="60"/>
  <c r="J7" i="60"/>
  <c r="I7" i="60"/>
  <c r="H7" i="60"/>
  <c r="G7" i="60"/>
  <c r="N3" i="60"/>
  <c r="M3" i="60"/>
  <c r="L3" i="60"/>
  <c r="K3" i="60"/>
  <c r="J3" i="60"/>
  <c r="I3" i="60"/>
  <c r="H3" i="60"/>
  <c r="F2" i="60"/>
  <c r="H2" i="60"/>
  <c r="I2" i="60"/>
  <c r="J2" i="60"/>
  <c r="K2" i="60"/>
  <c r="L2" i="60"/>
  <c r="M2" i="60"/>
  <c r="N2" i="60"/>
  <c r="W20" i="63" l="1"/>
  <c r="R20" i="63"/>
  <c r="W19" i="63"/>
  <c r="R19" i="63"/>
  <c r="W18" i="63"/>
  <c r="R18" i="63"/>
  <c r="W17" i="63"/>
  <c r="R17" i="63"/>
  <c r="W16" i="63"/>
  <c r="G33" i="60" s="1"/>
  <c r="R16" i="63"/>
  <c r="W15" i="63"/>
  <c r="R15" i="63"/>
  <c r="W14" i="63"/>
  <c r="R14" i="63"/>
  <c r="W13" i="63"/>
  <c r="F7" i="60" s="1"/>
  <c r="R13" i="63"/>
  <c r="P12" i="63"/>
  <c r="Q12" i="63" s="1"/>
  <c r="P11" i="63"/>
  <c r="Q11" i="63" s="1"/>
  <c r="W10" i="63"/>
  <c r="U10" i="63"/>
  <c r="P10" i="63"/>
  <c r="Q10" i="63" s="1"/>
  <c r="AB9" i="63"/>
  <c r="W9" i="63"/>
  <c r="E59" i="60" s="1"/>
  <c r="U9" i="63"/>
  <c r="P9" i="63"/>
  <c r="Q9" i="63" s="1"/>
  <c r="P8" i="63"/>
  <c r="Q8" i="63" s="1"/>
  <c r="M8" i="63"/>
  <c r="W7" i="63"/>
  <c r="U7" i="63"/>
  <c r="P7" i="63"/>
  <c r="Q7" i="63" s="1"/>
  <c r="M7" i="63"/>
  <c r="AB6" i="63"/>
  <c r="P6" i="63"/>
  <c r="Q6" i="63" s="1"/>
  <c r="M6" i="63"/>
  <c r="P5" i="63"/>
  <c r="Q5" i="63" s="1"/>
  <c r="M5" i="63"/>
  <c r="P4" i="63"/>
  <c r="Q4" i="63" s="1"/>
  <c r="M4" i="63"/>
  <c r="W3" i="63"/>
  <c r="U3" i="63"/>
  <c r="P3" i="63"/>
  <c r="Q3" i="63" s="1"/>
  <c r="M3" i="63"/>
  <c r="AB2" i="63"/>
  <c r="W2" i="63"/>
  <c r="E7" i="60" s="1"/>
  <c r="U2" i="63"/>
  <c r="P2" i="63"/>
  <c r="Q2" i="63" s="1"/>
  <c r="M2" i="63"/>
  <c r="U29" i="62" l="1"/>
  <c r="N29" i="62"/>
  <c r="P29" i="62" s="1"/>
  <c r="Q29" i="62" s="1"/>
  <c r="U28" i="62"/>
  <c r="N28" i="62"/>
  <c r="P28" i="62" s="1"/>
  <c r="Q28" i="62" s="1"/>
  <c r="U27" i="62"/>
  <c r="N27" i="62"/>
  <c r="P27" i="62" s="1"/>
  <c r="Q27" i="62" s="1"/>
  <c r="U26" i="62"/>
  <c r="N26" i="62"/>
  <c r="P26" i="62" s="1"/>
  <c r="Q26" i="62" s="1"/>
  <c r="U25" i="62"/>
  <c r="N25" i="62"/>
  <c r="P25" i="62" s="1"/>
  <c r="Q25" i="62" s="1"/>
  <c r="U24" i="62"/>
  <c r="N24" i="62"/>
  <c r="P24" i="62" s="1"/>
  <c r="Q24" i="62" s="1"/>
  <c r="U23" i="62"/>
  <c r="N23" i="62"/>
  <c r="P23" i="62" s="1"/>
  <c r="Q23" i="62" s="1"/>
  <c r="U22" i="62"/>
  <c r="N22" i="62"/>
  <c r="P22" i="62" s="1"/>
  <c r="Q22" i="62" s="1"/>
  <c r="U21" i="62"/>
  <c r="N21" i="62"/>
  <c r="P21" i="62" s="1"/>
  <c r="Q21" i="62" s="1"/>
  <c r="U20" i="62"/>
  <c r="P20" i="62"/>
  <c r="Q20" i="62" s="1"/>
  <c r="R20" i="62" s="1"/>
  <c r="U19" i="62"/>
  <c r="P19" i="62"/>
  <c r="Q19" i="62" s="1"/>
  <c r="R19" i="62" s="1"/>
  <c r="U18" i="62"/>
  <c r="P18" i="62"/>
  <c r="Q18" i="62" s="1"/>
  <c r="R18" i="62" s="1"/>
  <c r="U17" i="62"/>
  <c r="Y17" i="62" s="1"/>
  <c r="P17" i="62"/>
  <c r="Q17" i="62" s="1"/>
  <c r="R17" i="62" s="1"/>
  <c r="U16" i="62"/>
  <c r="P16" i="62"/>
  <c r="Q16" i="62" s="1"/>
  <c r="R16" i="62" s="1"/>
  <c r="U15" i="62"/>
  <c r="P15" i="62"/>
  <c r="Q15" i="62" s="1"/>
  <c r="R15" i="62" s="1"/>
  <c r="U14" i="62"/>
  <c r="P14" i="62"/>
  <c r="Q14" i="62" s="1"/>
  <c r="R14" i="62" s="1"/>
  <c r="U13" i="62"/>
  <c r="P13" i="62"/>
  <c r="Q13" i="62" s="1"/>
  <c r="R13" i="62" s="1"/>
  <c r="Y12" i="62"/>
  <c r="W12" i="62"/>
  <c r="R12" i="62"/>
  <c r="Y11" i="62"/>
  <c r="W11" i="62"/>
  <c r="R11" i="62"/>
  <c r="Y10" i="62"/>
  <c r="W10" i="62"/>
  <c r="R10" i="62"/>
  <c r="Y9" i="62"/>
  <c r="W9" i="62"/>
  <c r="R9" i="62"/>
  <c r="U8" i="62"/>
  <c r="W8" i="62" s="1"/>
  <c r="F3" i="60" s="1"/>
  <c r="R8" i="62"/>
  <c r="Y7" i="62"/>
  <c r="W7" i="62"/>
  <c r="R7" i="62"/>
  <c r="Y6" i="62"/>
  <c r="W6" i="62"/>
  <c r="R6" i="62"/>
  <c r="Y5" i="62"/>
  <c r="W5" i="62"/>
  <c r="R5" i="62"/>
  <c r="U4" i="62"/>
  <c r="Y4" i="62" s="1"/>
  <c r="R4" i="62"/>
  <c r="U3" i="62"/>
  <c r="Y3" i="62" s="1"/>
  <c r="R3" i="62"/>
  <c r="Y2" i="62"/>
  <c r="W2" i="62"/>
  <c r="E3" i="60" s="1"/>
  <c r="R2" i="62"/>
  <c r="W16" i="62" l="1"/>
  <c r="W20" i="62"/>
  <c r="Y8" i="62"/>
  <c r="Y16" i="62"/>
  <c r="Y20" i="62"/>
  <c r="W14" i="62"/>
  <c r="W18" i="62"/>
  <c r="Y14" i="62"/>
  <c r="Y18" i="62"/>
  <c r="W13" i="62"/>
  <c r="W21" i="62"/>
  <c r="W23" i="62"/>
  <c r="G81" i="60" s="1"/>
  <c r="W27" i="62"/>
  <c r="W29" i="62"/>
  <c r="W15" i="62"/>
  <c r="W19" i="62"/>
  <c r="W22" i="62"/>
  <c r="W24" i="62"/>
  <c r="W26" i="62"/>
  <c r="G55" i="60" s="1"/>
  <c r="W28" i="62"/>
  <c r="W25" i="62"/>
  <c r="W17" i="62"/>
  <c r="G3" i="60" s="1"/>
  <c r="W3" i="62"/>
  <c r="W4" i="62"/>
  <c r="Y13" i="62"/>
  <c r="Y15" i="62"/>
  <c r="Y19" i="62"/>
  <c r="O21" i="62"/>
  <c r="Y21" i="62" s="1"/>
  <c r="O22" i="62"/>
  <c r="Y22" i="62" s="1"/>
  <c r="O23" i="62"/>
  <c r="Y23" i="62" s="1"/>
  <c r="O24" i="62"/>
  <c r="Y24" i="62" s="1"/>
  <c r="O25" i="62"/>
  <c r="Y25" i="62" s="1"/>
  <c r="O26" i="62"/>
  <c r="Y26" i="62" s="1"/>
  <c r="O27" i="62"/>
  <c r="Y27" i="62" s="1"/>
  <c r="O28" i="62"/>
  <c r="Y28" i="62" s="1"/>
  <c r="O29" i="62"/>
  <c r="Y29" i="62" s="1"/>
  <c r="N12" i="60"/>
  <c r="M12" i="60"/>
  <c r="L12" i="60"/>
  <c r="K12" i="60"/>
  <c r="J12" i="60"/>
  <c r="F12" i="60"/>
  <c r="W274" i="61"/>
  <c r="W270" i="61"/>
  <c r="W266" i="61"/>
  <c r="W262" i="61"/>
  <c r="W258" i="61"/>
  <c r="W254" i="61"/>
  <c r="W250" i="61"/>
  <c r="W246" i="61"/>
  <c r="W242" i="61"/>
  <c r="W238" i="61"/>
  <c r="W231" i="61"/>
  <c r="K64" i="60" s="1"/>
  <c r="W230" i="61"/>
  <c r="W226" i="61"/>
  <c r="W222" i="61"/>
  <c r="W218" i="61"/>
  <c r="W214" i="61"/>
  <c r="W213" i="61"/>
  <c r="W202" i="61"/>
  <c r="W198" i="61"/>
  <c r="W194" i="61"/>
  <c r="W190" i="61"/>
  <c r="W186" i="61"/>
  <c r="W182" i="61"/>
  <c r="W178" i="61"/>
  <c r="W174" i="61"/>
  <c r="W170" i="61"/>
  <c r="W166" i="61"/>
  <c r="W162" i="61"/>
  <c r="W158" i="61"/>
  <c r="W154" i="61"/>
  <c r="W151" i="61"/>
  <c r="W150" i="61"/>
  <c r="R150" i="61"/>
  <c r="W149" i="61"/>
  <c r="R149" i="61"/>
  <c r="W148" i="61"/>
  <c r="J38" i="60" s="1"/>
  <c r="R148" i="61"/>
  <c r="W147" i="61"/>
  <c r="R147" i="61"/>
  <c r="W146" i="61"/>
  <c r="R146" i="61"/>
  <c r="W145" i="61"/>
  <c r="R145" i="61"/>
  <c r="W144" i="61"/>
  <c r="R144" i="61"/>
  <c r="W143" i="61"/>
  <c r="I12" i="60" s="1"/>
  <c r="R143" i="61"/>
  <c r="W142" i="61"/>
  <c r="U142" i="61"/>
  <c r="R142" i="61"/>
  <c r="U141" i="61"/>
  <c r="W141" i="61" s="1"/>
  <c r="R141" i="61"/>
  <c r="U140" i="61"/>
  <c r="W140" i="61" s="1"/>
  <c r="R140" i="61"/>
  <c r="U139" i="61"/>
  <c r="W139" i="61" s="1"/>
  <c r="H38" i="60" s="1"/>
  <c r="R139" i="61"/>
  <c r="U138" i="61"/>
  <c r="W138" i="61" s="1"/>
  <c r="R138" i="61"/>
  <c r="U137" i="61"/>
  <c r="W137" i="61" s="1"/>
  <c r="H12" i="60" s="1"/>
  <c r="R137" i="61"/>
  <c r="U136" i="61"/>
  <c r="Q136" i="61"/>
  <c r="R136" i="61" s="1"/>
  <c r="U135" i="61"/>
  <c r="Q135" i="61"/>
  <c r="R135" i="61" s="1"/>
  <c r="U134" i="61"/>
  <c r="Q134" i="61"/>
  <c r="R134" i="61" s="1"/>
  <c r="U133" i="61"/>
  <c r="Q133" i="61"/>
  <c r="R133" i="61" s="1"/>
  <c r="U132" i="61"/>
  <c r="Q132" i="61"/>
  <c r="R132" i="61" s="1"/>
  <c r="U131" i="61"/>
  <c r="Q131" i="61"/>
  <c r="R131" i="61" s="1"/>
  <c r="U130" i="61"/>
  <c r="Q130" i="61"/>
  <c r="R130" i="61" s="1"/>
  <c r="U129" i="61"/>
  <c r="Q129" i="61"/>
  <c r="R129" i="61" s="1"/>
  <c r="Q128" i="61"/>
  <c r="W128" i="61" s="1"/>
  <c r="Q127" i="61"/>
  <c r="R127" i="61" s="1"/>
  <c r="Q126" i="61"/>
  <c r="R126" i="61" s="1"/>
  <c r="Q125" i="61"/>
  <c r="P125" i="61"/>
  <c r="U124" i="61"/>
  <c r="Q124" i="61"/>
  <c r="R124" i="61" s="1"/>
  <c r="P124" i="61"/>
  <c r="Q123" i="61"/>
  <c r="R123" i="61" s="1"/>
  <c r="P123" i="61"/>
  <c r="U122" i="61"/>
  <c r="Q122" i="61"/>
  <c r="R122" i="61" s="1"/>
  <c r="P122" i="61"/>
  <c r="U121" i="61"/>
  <c r="Q121" i="61"/>
  <c r="P121" i="61"/>
  <c r="U120" i="61"/>
  <c r="Q120" i="61"/>
  <c r="R120" i="61" s="1"/>
  <c r="P120" i="61"/>
  <c r="U119" i="61"/>
  <c r="Q119" i="61"/>
  <c r="R119" i="61" s="1"/>
  <c r="P119" i="61"/>
  <c r="U118" i="61"/>
  <c r="Q118" i="61"/>
  <c r="R118" i="61" s="1"/>
  <c r="P118" i="61"/>
  <c r="U117" i="61"/>
  <c r="Q117" i="61"/>
  <c r="P117" i="61"/>
  <c r="U116" i="61"/>
  <c r="Q116" i="61"/>
  <c r="R116" i="61" s="1"/>
  <c r="P116" i="61"/>
  <c r="U115" i="61"/>
  <c r="Q115" i="61"/>
  <c r="R115" i="61" s="1"/>
  <c r="P115" i="61"/>
  <c r="U114" i="61"/>
  <c r="Q114" i="61"/>
  <c r="R114" i="61" s="1"/>
  <c r="P114" i="61"/>
  <c r="U113" i="61"/>
  <c r="Q113" i="61"/>
  <c r="P113" i="61"/>
  <c r="U112" i="61"/>
  <c r="Q112" i="61"/>
  <c r="R112" i="61" s="1"/>
  <c r="P112" i="61"/>
  <c r="Q111" i="61"/>
  <c r="P111" i="61"/>
  <c r="U110" i="61"/>
  <c r="Q110" i="61"/>
  <c r="R110" i="61" s="1"/>
  <c r="P110" i="61"/>
  <c r="U109" i="61"/>
  <c r="Q109" i="61"/>
  <c r="R109" i="61" s="1"/>
  <c r="P109" i="61"/>
  <c r="U108" i="61"/>
  <c r="Q108" i="61"/>
  <c r="P108" i="61"/>
  <c r="U107" i="61"/>
  <c r="Q107" i="61"/>
  <c r="P107" i="61"/>
  <c r="U106" i="61"/>
  <c r="Q106" i="61"/>
  <c r="R106" i="61" s="1"/>
  <c r="P106" i="61"/>
  <c r="U105" i="61"/>
  <c r="Q105" i="61"/>
  <c r="P105" i="61"/>
  <c r="U104" i="61"/>
  <c r="Q104" i="61"/>
  <c r="P104" i="61"/>
  <c r="U103" i="61"/>
  <c r="Q103" i="61"/>
  <c r="P103" i="61"/>
  <c r="U102" i="61"/>
  <c r="Q102" i="61"/>
  <c r="R102" i="61" s="1"/>
  <c r="P102" i="61"/>
  <c r="U101" i="61"/>
  <c r="Q101" i="61"/>
  <c r="R101" i="61" s="1"/>
  <c r="P101" i="61"/>
  <c r="U100" i="61"/>
  <c r="Q100" i="61"/>
  <c r="P100" i="61"/>
  <c r="U99" i="61"/>
  <c r="Q99" i="61"/>
  <c r="P99" i="61"/>
  <c r="U98" i="61"/>
  <c r="Q98" i="61"/>
  <c r="R98" i="61" s="1"/>
  <c r="P98" i="61"/>
  <c r="U97" i="61"/>
  <c r="Q97" i="61"/>
  <c r="P97" i="61"/>
  <c r="U96" i="61"/>
  <c r="Q96" i="61"/>
  <c r="P96" i="61"/>
  <c r="U95" i="61"/>
  <c r="Q95" i="61"/>
  <c r="P95" i="61"/>
  <c r="U94" i="61"/>
  <c r="Q94" i="61"/>
  <c r="R94" i="61" s="1"/>
  <c r="P94" i="61"/>
  <c r="U93" i="61"/>
  <c r="Q93" i="61"/>
  <c r="P93" i="61"/>
  <c r="U92" i="61"/>
  <c r="Q92" i="61"/>
  <c r="P92" i="61"/>
  <c r="U91" i="61"/>
  <c r="Q91" i="61"/>
  <c r="P91" i="61"/>
  <c r="U90" i="61"/>
  <c r="Q90" i="61"/>
  <c r="R90" i="61" s="1"/>
  <c r="P90" i="61"/>
  <c r="U89" i="61"/>
  <c r="Q89" i="61"/>
  <c r="P89" i="61"/>
  <c r="U88" i="61"/>
  <c r="Q88" i="61"/>
  <c r="P88" i="61"/>
  <c r="Q87" i="61"/>
  <c r="W87" i="61" s="1"/>
  <c r="P87" i="61"/>
  <c r="U86" i="61"/>
  <c r="Q86" i="61"/>
  <c r="P86" i="61"/>
  <c r="Q85" i="61"/>
  <c r="W85" i="61" s="1"/>
  <c r="P85" i="61"/>
  <c r="U84" i="61"/>
  <c r="Q84" i="61"/>
  <c r="R84" i="61" s="1"/>
  <c r="P84" i="61"/>
  <c r="U83" i="61"/>
  <c r="Q83" i="61"/>
  <c r="R83" i="61" s="1"/>
  <c r="P83" i="61"/>
  <c r="U82" i="61"/>
  <c r="Q82" i="61"/>
  <c r="P82" i="61"/>
  <c r="Q81" i="61"/>
  <c r="W81" i="61" s="1"/>
  <c r="P81" i="61"/>
  <c r="U80" i="61"/>
  <c r="Q80" i="61"/>
  <c r="R80" i="61" s="1"/>
  <c r="P80" i="61"/>
  <c r="Q79" i="61"/>
  <c r="W79" i="61" s="1"/>
  <c r="P79" i="61"/>
  <c r="U78" i="61"/>
  <c r="Q78" i="61"/>
  <c r="R78" i="61" s="1"/>
  <c r="P78" i="61"/>
  <c r="U77" i="61"/>
  <c r="Q77" i="61"/>
  <c r="R77" i="61" s="1"/>
  <c r="P77" i="61"/>
  <c r="U76" i="61"/>
  <c r="Q76" i="61"/>
  <c r="P76" i="61"/>
  <c r="U75" i="61"/>
  <c r="Q75" i="61"/>
  <c r="P75" i="61"/>
  <c r="U74" i="61"/>
  <c r="Q74" i="61"/>
  <c r="R74" i="61" s="1"/>
  <c r="P74" i="61"/>
  <c r="U73" i="61"/>
  <c r="Q73" i="61"/>
  <c r="R73" i="61" s="1"/>
  <c r="P73" i="61"/>
  <c r="U72" i="61"/>
  <c r="Q72" i="61"/>
  <c r="P72" i="61"/>
  <c r="U71" i="61"/>
  <c r="Q71" i="61"/>
  <c r="P71" i="61"/>
  <c r="U70" i="61"/>
  <c r="Q70" i="61"/>
  <c r="R70" i="61" s="1"/>
  <c r="P70" i="61"/>
  <c r="U69" i="61"/>
  <c r="Q69" i="61"/>
  <c r="R69" i="61" s="1"/>
  <c r="P69" i="61"/>
  <c r="U68" i="61"/>
  <c r="Q68" i="61"/>
  <c r="P68" i="61"/>
  <c r="U67" i="61"/>
  <c r="Q67" i="61"/>
  <c r="R67" i="61" s="1"/>
  <c r="P67" i="61"/>
  <c r="U66" i="61"/>
  <c r="Q66" i="61"/>
  <c r="R66" i="61" s="1"/>
  <c r="P66" i="61"/>
  <c r="U65" i="61"/>
  <c r="Q65" i="61"/>
  <c r="P65" i="61"/>
  <c r="U64" i="61"/>
  <c r="Q64" i="61"/>
  <c r="P64" i="61"/>
  <c r="U63" i="61"/>
  <c r="Q63" i="61"/>
  <c r="P63" i="61"/>
  <c r="U62" i="61"/>
  <c r="Q62" i="61"/>
  <c r="R62" i="61" s="1"/>
  <c r="P62" i="61"/>
  <c r="U61" i="61"/>
  <c r="Q61" i="61"/>
  <c r="R61" i="61" s="1"/>
  <c r="P61" i="61"/>
  <c r="U60" i="61"/>
  <c r="Q60" i="61"/>
  <c r="P60" i="61"/>
  <c r="U59" i="61"/>
  <c r="Q59" i="61"/>
  <c r="R59" i="61" s="1"/>
  <c r="P59" i="61"/>
  <c r="U58" i="61"/>
  <c r="Q58" i="61"/>
  <c r="R58" i="61" s="1"/>
  <c r="P58" i="61"/>
  <c r="U57" i="61"/>
  <c r="Q57" i="61"/>
  <c r="R57" i="61" s="1"/>
  <c r="P57" i="61"/>
  <c r="U56" i="61"/>
  <c r="Q56" i="61"/>
  <c r="P56" i="61"/>
  <c r="U55" i="61"/>
  <c r="Q55" i="61"/>
  <c r="R55" i="61" s="1"/>
  <c r="P55" i="61"/>
  <c r="U54" i="61"/>
  <c r="Q54" i="61"/>
  <c r="R54" i="61" s="1"/>
  <c r="P54" i="61"/>
  <c r="U53" i="61"/>
  <c r="Q53" i="61"/>
  <c r="R53" i="61" s="1"/>
  <c r="P53" i="61"/>
  <c r="U52" i="61"/>
  <c r="Q52" i="61"/>
  <c r="P52" i="61"/>
  <c r="U51" i="61"/>
  <c r="Q51" i="61"/>
  <c r="P51" i="61"/>
  <c r="U50" i="61"/>
  <c r="Q50" i="61"/>
  <c r="R50" i="61" s="1"/>
  <c r="P50" i="61"/>
  <c r="U49" i="61"/>
  <c r="Q49" i="61"/>
  <c r="R49" i="61" s="1"/>
  <c r="P49" i="61"/>
  <c r="U48" i="61"/>
  <c r="Q48" i="61"/>
  <c r="P48" i="61"/>
  <c r="U47" i="61"/>
  <c r="Q47" i="61"/>
  <c r="R47" i="61" s="1"/>
  <c r="P47" i="61"/>
  <c r="U46" i="61"/>
  <c r="Q46" i="61"/>
  <c r="R46" i="61" s="1"/>
  <c r="P46" i="61"/>
  <c r="U45" i="61"/>
  <c r="Q45" i="61"/>
  <c r="R45" i="61" s="1"/>
  <c r="P45" i="61"/>
  <c r="U44" i="61"/>
  <c r="Q44" i="61"/>
  <c r="P44" i="61"/>
  <c r="Q43" i="61"/>
  <c r="W43" i="61" s="1"/>
  <c r="P43" i="61"/>
  <c r="U42" i="61"/>
  <c r="Q42" i="61"/>
  <c r="R42" i="61" s="1"/>
  <c r="P42" i="61"/>
  <c r="Q41" i="61"/>
  <c r="W41" i="61" s="1"/>
  <c r="P41" i="61"/>
  <c r="U40" i="61"/>
  <c r="Q40" i="61"/>
  <c r="R40" i="61" s="1"/>
  <c r="P40" i="61"/>
  <c r="Q39" i="61"/>
  <c r="R39" i="61" s="1"/>
  <c r="P39" i="61"/>
  <c r="U38" i="61"/>
  <c r="Q38" i="61"/>
  <c r="W38" i="61" s="1"/>
  <c r="P38" i="61"/>
  <c r="Q37" i="61"/>
  <c r="R37" i="61" s="1"/>
  <c r="P37" i="61"/>
  <c r="U36" i="61"/>
  <c r="Q36" i="61"/>
  <c r="P36" i="61"/>
  <c r="Q35" i="61"/>
  <c r="W35" i="61" s="1"/>
  <c r="P35" i="61"/>
  <c r="U34" i="61"/>
  <c r="Q34" i="61"/>
  <c r="R34" i="61" s="1"/>
  <c r="P34" i="61"/>
  <c r="Q33" i="61"/>
  <c r="W33" i="61" s="1"/>
  <c r="P33" i="61"/>
  <c r="U32" i="61"/>
  <c r="Q32" i="61"/>
  <c r="R32" i="61" s="1"/>
  <c r="P32" i="61"/>
  <c r="Q31" i="61"/>
  <c r="R31" i="61" s="1"/>
  <c r="P31" i="61"/>
  <c r="U30" i="61"/>
  <c r="Q30" i="61"/>
  <c r="R30" i="61" s="1"/>
  <c r="P30" i="61"/>
  <c r="Q29" i="61"/>
  <c r="R29" i="61" s="1"/>
  <c r="P29" i="61"/>
  <c r="U28" i="61"/>
  <c r="Q28" i="61"/>
  <c r="P28" i="61"/>
  <c r="U27" i="61"/>
  <c r="Q27" i="61"/>
  <c r="P27" i="61"/>
  <c r="U26" i="61"/>
  <c r="Q26" i="61"/>
  <c r="R26" i="61" s="1"/>
  <c r="P26" i="61"/>
  <c r="U25" i="61"/>
  <c r="Q25" i="61"/>
  <c r="R25" i="61" s="1"/>
  <c r="P25" i="61"/>
  <c r="U24" i="61"/>
  <c r="Q24" i="61"/>
  <c r="P24" i="61"/>
  <c r="U23" i="61"/>
  <c r="Q23" i="61"/>
  <c r="P23" i="61"/>
  <c r="U22" i="61"/>
  <c r="Q22" i="61"/>
  <c r="R22" i="61" s="1"/>
  <c r="P22" i="61"/>
  <c r="U21" i="61"/>
  <c r="Q21" i="61"/>
  <c r="R21" i="61" s="1"/>
  <c r="P21" i="61"/>
  <c r="U20" i="61"/>
  <c r="Q20" i="61"/>
  <c r="P20" i="61"/>
  <c r="U19" i="61"/>
  <c r="Q19" i="61"/>
  <c r="R19" i="61" s="1"/>
  <c r="P19" i="61"/>
  <c r="U18" i="61"/>
  <c r="Q18" i="61"/>
  <c r="R18" i="61" s="1"/>
  <c r="P18" i="61"/>
  <c r="U17" i="61"/>
  <c r="Q17" i="61"/>
  <c r="R17" i="61" s="1"/>
  <c r="P17" i="61"/>
  <c r="U16" i="61"/>
  <c r="Q16" i="61"/>
  <c r="P16" i="61"/>
  <c r="U15" i="61"/>
  <c r="Q15" i="61"/>
  <c r="W15" i="61" s="1"/>
  <c r="P15" i="61"/>
  <c r="Q14" i="61"/>
  <c r="W14" i="61" s="1"/>
  <c r="P14" i="61"/>
  <c r="U13" i="61"/>
  <c r="Q13" i="61"/>
  <c r="R13" i="61" s="1"/>
  <c r="P13" i="61"/>
  <c r="Q12" i="61"/>
  <c r="W12" i="61" s="1"/>
  <c r="P12" i="61"/>
  <c r="U11" i="61"/>
  <c r="Q11" i="61"/>
  <c r="R11" i="61" s="1"/>
  <c r="P11" i="61"/>
  <c r="U10" i="61"/>
  <c r="Q10" i="61"/>
  <c r="P10" i="61"/>
  <c r="U9" i="61"/>
  <c r="Q9" i="61"/>
  <c r="P9" i="61"/>
  <c r="U8" i="61"/>
  <c r="Q8" i="61"/>
  <c r="R8" i="61" s="1"/>
  <c r="P8" i="61"/>
  <c r="U7" i="61"/>
  <c r="Q7" i="61"/>
  <c r="R7" i="61" s="1"/>
  <c r="P7" i="61"/>
  <c r="U6" i="61"/>
  <c r="Q6" i="61"/>
  <c r="P6" i="61"/>
  <c r="U5" i="61"/>
  <c r="Q5" i="61"/>
  <c r="W5" i="61" s="1"/>
  <c r="P5" i="61"/>
  <c r="U4" i="61"/>
  <c r="Q4" i="61"/>
  <c r="R4" i="61" s="1"/>
  <c r="P4" i="61"/>
  <c r="U3" i="61"/>
  <c r="Q3" i="61"/>
  <c r="R3" i="61" s="1"/>
  <c r="P3" i="61"/>
  <c r="U2" i="61"/>
  <c r="Q2" i="61"/>
  <c r="P2" i="61"/>
  <c r="W31" i="61" l="1"/>
  <c r="W45" i="61"/>
  <c r="W57" i="61"/>
  <c r="W61" i="61"/>
  <c r="W109" i="61"/>
  <c r="W122" i="61"/>
  <c r="W129" i="61"/>
  <c r="W17" i="61"/>
  <c r="W30" i="61"/>
  <c r="W47" i="61"/>
  <c r="W2" i="61"/>
  <c r="W21" i="61"/>
  <c r="W40" i="61"/>
  <c r="W64" i="61"/>
  <c r="W68" i="61"/>
  <c r="W69" i="61"/>
  <c r="W72" i="61"/>
  <c r="W73" i="61"/>
  <c r="W82" i="61"/>
  <c r="W88" i="61"/>
  <c r="W92" i="61"/>
  <c r="W96" i="61"/>
  <c r="W100" i="61"/>
  <c r="W105" i="61"/>
  <c r="W132" i="61"/>
  <c r="W3" i="61"/>
  <c r="W6" i="61"/>
  <c r="W10" i="61"/>
  <c r="W27" i="61"/>
  <c r="W48" i="61"/>
  <c r="W52" i="61"/>
  <c r="W58" i="61"/>
  <c r="W59" i="61"/>
  <c r="W71" i="61"/>
  <c r="W101" i="61"/>
  <c r="W104" i="61"/>
  <c r="W108" i="61"/>
  <c r="W29" i="61"/>
  <c r="W102" i="61"/>
  <c r="W116" i="61"/>
  <c r="W131" i="61"/>
  <c r="W7" i="61"/>
  <c r="W23" i="61"/>
  <c r="R27" i="61"/>
  <c r="W49" i="61"/>
  <c r="W53" i="61"/>
  <c r="W67" i="61"/>
  <c r="W75" i="61"/>
  <c r="W86" i="61"/>
  <c r="W115" i="61"/>
  <c r="W136" i="61"/>
  <c r="R15" i="61"/>
  <c r="W39" i="61"/>
  <c r="W46" i="61"/>
  <c r="W123" i="61"/>
  <c r="W127" i="61"/>
  <c r="F38" i="60" s="1"/>
  <c r="R79" i="61"/>
  <c r="W9" i="61"/>
  <c r="W11" i="61"/>
  <c r="W19" i="61"/>
  <c r="R23" i="61"/>
  <c r="W25" i="61"/>
  <c r="W32" i="61"/>
  <c r="W51" i="61"/>
  <c r="W62" i="61"/>
  <c r="W65" i="61"/>
  <c r="W66" i="61"/>
  <c r="R75" i="61"/>
  <c r="W77" i="61"/>
  <c r="W83" i="61"/>
  <c r="R86" i="61"/>
  <c r="W89" i="61"/>
  <c r="W90" i="61"/>
  <c r="W93" i="61"/>
  <c r="W94" i="61"/>
  <c r="W97" i="61"/>
  <c r="W110" i="61"/>
  <c r="W112" i="61"/>
  <c r="W117" i="61"/>
  <c r="W118" i="61"/>
  <c r="W119" i="61"/>
  <c r="W120" i="61"/>
  <c r="R24" i="62"/>
  <c r="W18" i="61"/>
  <c r="W26" i="61"/>
  <c r="R38" i="61"/>
  <c r="R51" i="61"/>
  <c r="W55" i="61"/>
  <c r="W63" i="61"/>
  <c r="R71" i="61"/>
  <c r="W78" i="61"/>
  <c r="R89" i="61"/>
  <c r="W95" i="61"/>
  <c r="R97" i="61"/>
  <c r="W114" i="61"/>
  <c r="W133" i="61"/>
  <c r="W99" i="61"/>
  <c r="R99" i="61"/>
  <c r="W107" i="61"/>
  <c r="R107" i="61"/>
  <c r="W125" i="61"/>
  <c r="R125" i="61"/>
  <c r="R5" i="61"/>
  <c r="R9" i="61"/>
  <c r="R12" i="61"/>
  <c r="R14" i="61"/>
  <c r="W22" i="61"/>
  <c r="W54" i="61"/>
  <c r="R65" i="61"/>
  <c r="W74" i="61"/>
  <c r="R85" i="61"/>
  <c r="W91" i="61"/>
  <c r="R93" i="61"/>
  <c r="R105" i="61"/>
  <c r="W4" i="61"/>
  <c r="W8" i="61"/>
  <c r="W13" i="61"/>
  <c r="R33" i="61"/>
  <c r="W34" i="61"/>
  <c r="W36" i="61"/>
  <c r="W37" i="61"/>
  <c r="R41" i="61"/>
  <c r="W42" i="61"/>
  <c r="W44" i="61"/>
  <c r="W50" i="61"/>
  <c r="W60" i="61"/>
  <c r="R63" i="61"/>
  <c r="W70" i="61"/>
  <c r="W80" i="61"/>
  <c r="W84" i="61"/>
  <c r="R91" i="61"/>
  <c r="R95" i="61"/>
  <c r="W98" i="61"/>
  <c r="W103" i="61"/>
  <c r="R103" i="61"/>
  <c r="W106" i="61"/>
  <c r="W111" i="61"/>
  <c r="R111" i="61"/>
  <c r="W124" i="61"/>
  <c r="W126" i="61"/>
  <c r="W135" i="61"/>
  <c r="W16" i="61"/>
  <c r="W20" i="61"/>
  <c r="W24" i="61"/>
  <c r="W28" i="61"/>
  <c r="W56" i="61"/>
  <c r="W76" i="61"/>
  <c r="W121" i="61"/>
  <c r="W130" i="61"/>
  <c r="G12" i="60" s="1"/>
  <c r="W134" i="61"/>
  <c r="G90" i="60" s="1"/>
  <c r="R23" i="62"/>
  <c r="R22" i="62"/>
  <c r="W113" i="61"/>
  <c r="R29" i="62"/>
  <c r="R27" i="62"/>
  <c r="R28" i="62"/>
  <c r="R21" i="62"/>
  <c r="R26" i="62"/>
  <c r="R25" i="62"/>
  <c r="R2" i="61"/>
  <c r="R6" i="61"/>
  <c r="R10" i="61"/>
  <c r="R16" i="61"/>
  <c r="R20" i="61"/>
  <c r="R24" i="61"/>
  <c r="R28" i="61"/>
  <c r="R35" i="61"/>
  <c r="R36" i="61"/>
  <c r="R43" i="61"/>
  <c r="R44" i="61"/>
  <c r="R48" i="61"/>
  <c r="R52" i="61"/>
  <c r="R56" i="61"/>
  <c r="R60" i="61"/>
  <c r="R64" i="61"/>
  <c r="R68" i="61"/>
  <c r="R72" i="61"/>
  <c r="R76" i="61"/>
  <c r="R81" i="61"/>
  <c r="R82" i="61"/>
  <c r="R87" i="61"/>
  <c r="R88" i="61"/>
  <c r="R92" i="61"/>
  <c r="R96" i="61"/>
  <c r="R100" i="61"/>
  <c r="R104" i="61"/>
  <c r="R108" i="61"/>
  <c r="R113" i="61"/>
  <c r="R117" i="61"/>
  <c r="R121" i="61"/>
  <c r="R128" i="61"/>
  <c r="Q12" i="45"/>
  <c r="O12" i="45"/>
  <c r="E90" i="60" l="1"/>
  <c r="E64" i="60"/>
  <c r="E12" i="60"/>
  <c r="R12" i="45"/>
  <c r="Q10" i="60"/>
  <c r="R10" i="60"/>
  <c r="S10" i="60"/>
  <c r="Q11" i="60"/>
  <c r="R11" i="60"/>
  <c r="S11" i="60"/>
  <c r="Q12" i="60"/>
  <c r="R12" i="60"/>
  <c r="S12" i="60"/>
  <c r="Q13" i="60"/>
  <c r="R13" i="60"/>
  <c r="S13" i="60"/>
  <c r="Q14" i="60"/>
  <c r="R14" i="60"/>
  <c r="S14" i="60"/>
  <c r="Q15" i="60"/>
  <c r="R15" i="60"/>
  <c r="S15" i="60"/>
  <c r="Q16" i="60"/>
  <c r="R16" i="60"/>
  <c r="S16" i="60"/>
  <c r="Q17" i="60"/>
  <c r="R17" i="60"/>
  <c r="S17" i="60"/>
  <c r="Q18" i="60"/>
  <c r="R18" i="60"/>
  <c r="S18" i="60"/>
  <c r="Q19" i="60"/>
  <c r="R19" i="60"/>
  <c r="S19" i="60"/>
  <c r="Q20" i="60"/>
  <c r="R20" i="60"/>
  <c r="S20" i="60"/>
  <c r="Q21" i="60"/>
  <c r="R21" i="60"/>
  <c r="S21" i="60"/>
  <c r="Q22" i="60"/>
  <c r="R22" i="60"/>
  <c r="S22" i="60"/>
  <c r="Q23" i="60"/>
  <c r="R23" i="60"/>
  <c r="S23" i="60"/>
  <c r="Q24" i="60"/>
  <c r="R24" i="60"/>
  <c r="S24" i="60"/>
  <c r="Q25" i="60"/>
  <c r="R25" i="60"/>
  <c r="S25" i="60"/>
  <c r="Q26" i="60"/>
  <c r="R26" i="60"/>
  <c r="S26" i="60"/>
  <c r="Q27" i="60"/>
  <c r="R27" i="60"/>
  <c r="S27" i="60"/>
  <c r="Q28" i="60"/>
  <c r="R28" i="60"/>
  <c r="Q29" i="60"/>
  <c r="R29" i="60"/>
  <c r="Q30" i="60"/>
  <c r="R30" i="60"/>
  <c r="Q31" i="60"/>
  <c r="R31" i="60"/>
  <c r="Q32" i="60"/>
  <c r="R32" i="60"/>
  <c r="Q33" i="60"/>
  <c r="R33" i="60"/>
  <c r="Q34" i="60"/>
  <c r="R34" i="60"/>
  <c r="Q35" i="60"/>
  <c r="R35" i="60"/>
  <c r="Q36" i="60"/>
  <c r="R36" i="60"/>
  <c r="Q37" i="60"/>
  <c r="R37" i="60"/>
  <c r="Q38" i="60"/>
  <c r="R38" i="60"/>
  <c r="Q39" i="60"/>
  <c r="R39" i="60"/>
  <c r="Q40" i="60"/>
  <c r="R40" i="60"/>
  <c r="Q41" i="60"/>
  <c r="R41" i="60"/>
  <c r="Q42" i="60"/>
  <c r="R42" i="60"/>
  <c r="Q43" i="60"/>
  <c r="R43" i="60"/>
  <c r="Q44" i="60"/>
  <c r="R44" i="60"/>
  <c r="Q45" i="60"/>
  <c r="R45" i="60"/>
  <c r="Q46" i="60"/>
  <c r="R46" i="60"/>
  <c r="Q47" i="60"/>
  <c r="R47" i="60"/>
  <c r="Q48" i="60"/>
  <c r="R48" i="60"/>
  <c r="Q49" i="60"/>
  <c r="R49" i="60"/>
  <c r="Q50" i="60"/>
  <c r="R50" i="60"/>
  <c r="Q51" i="60"/>
  <c r="R51" i="60"/>
  <c r="Q52" i="60"/>
  <c r="R52" i="60"/>
  <c r="Q53" i="60"/>
  <c r="R53" i="60"/>
  <c r="Q54" i="60"/>
  <c r="R54" i="60"/>
  <c r="Q55" i="60"/>
  <c r="R55" i="60"/>
  <c r="Q56" i="60"/>
  <c r="R56" i="60"/>
  <c r="Q57" i="60"/>
  <c r="R57" i="60"/>
  <c r="Q58" i="60"/>
  <c r="R58" i="60"/>
  <c r="Q59" i="60"/>
  <c r="R59" i="60"/>
  <c r="Q60" i="60"/>
  <c r="R60" i="60"/>
  <c r="Q61" i="60"/>
  <c r="R61" i="60"/>
  <c r="Q62" i="60"/>
  <c r="R62" i="60"/>
  <c r="Q63" i="60"/>
  <c r="R63" i="60"/>
  <c r="Q64" i="60"/>
  <c r="R64" i="60"/>
  <c r="Q65" i="60"/>
  <c r="R65" i="60"/>
  <c r="Q66" i="60"/>
  <c r="R66" i="60"/>
  <c r="Q67" i="60"/>
  <c r="R67" i="60"/>
  <c r="Q68" i="60"/>
  <c r="R68" i="60"/>
  <c r="Q69" i="60"/>
  <c r="R69" i="60"/>
  <c r="Q70" i="60"/>
  <c r="R70" i="60"/>
  <c r="Q71" i="60"/>
  <c r="R71" i="60"/>
  <c r="Q72" i="60"/>
  <c r="R72" i="60"/>
  <c r="Q73" i="60"/>
  <c r="R73" i="60"/>
  <c r="Q74" i="60"/>
  <c r="R74" i="60"/>
  <c r="Q75" i="60"/>
  <c r="R75" i="60"/>
  <c r="Q76" i="60"/>
  <c r="R76" i="60"/>
  <c r="Q77" i="60"/>
  <c r="R77" i="60"/>
  <c r="Q78" i="60"/>
  <c r="R78" i="60"/>
  <c r="Q79" i="60"/>
  <c r="R79" i="60"/>
  <c r="Q80" i="60"/>
  <c r="R80" i="60"/>
  <c r="Q81" i="60"/>
  <c r="R81" i="60"/>
  <c r="Q82" i="60"/>
  <c r="R82" i="60"/>
  <c r="Q83" i="60"/>
  <c r="R83" i="60"/>
  <c r="Q84" i="60"/>
  <c r="R84" i="60"/>
  <c r="Q85" i="60"/>
  <c r="R85" i="60"/>
  <c r="Q86" i="60"/>
  <c r="R86" i="60"/>
  <c r="Q87" i="60"/>
  <c r="R87" i="60"/>
  <c r="Q88" i="60"/>
  <c r="R88" i="60"/>
  <c r="Q89" i="60"/>
  <c r="R89" i="60"/>
  <c r="Q90" i="60"/>
  <c r="R90" i="60"/>
  <c r="Q91" i="60"/>
  <c r="R91" i="60"/>
  <c r="Q92" i="60"/>
  <c r="R92" i="60"/>
  <c r="Q93" i="60"/>
  <c r="R93" i="60"/>
  <c r="Q94" i="60"/>
  <c r="R94" i="60"/>
  <c r="Q95" i="60"/>
  <c r="R95" i="60"/>
  <c r="Q96" i="60"/>
  <c r="R96" i="60"/>
  <c r="Q97" i="60"/>
  <c r="R97" i="60"/>
  <c r="Q98" i="60"/>
  <c r="R98" i="60"/>
  <c r="Q99" i="60"/>
  <c r="R99" i="60"/>
  <c r="Q100" i="60"/>
  <c r="R100" i="60"/>
  <c r="Q101" i="60"/>
  <c r="R101" i="60"/>
  <c r="Q102" i="60"/>
  <c r="R102" i="60"/>
  <c r="Q103" i="60"/>
  <c r="R103" i="60"/>
  <c r="Q104" i="60"/>
  <c r="R104" i="60"/>
  <c r="Q105" i="60"/>
  <c r="R105" i="60"/>
  <c r="Q106" i="60"/>
  <c r="Q107" i="60"/>
  <c r="Q108" i="60"/>
  <c r="Q109" i="60"/>
  <c r="Q110" i="60"/>
  <c r="Q111" i="60"/>
  <c r="Q112" i="60"/>
  <c r="Q113" i="60"/>
  <c r="Q114" i="60"/>
  <c r="Q115" i="60"/>
  <c r="Q116" i="60"/>
  <c r="Q117" i="60"/>
  <c r="Q118" i="60"/>
  <c r="Q119" i="60"/>
  <c r="Q120" i="60"/>
  <c r="Q121" i="60"/>
  <c r="Q122" i="60"/>
  <c r="Q123" i="60"/>
  <c r="Q124" i="60"/>
  <c r="Q125" i="60"/>
  <c r="Q126" i="60"/>
  <c r="Q127" i="60"/>
  <c r="Q128" i="60"/>
  <c r="Q129" i="60"/>
  <c r="Q130" i="60"/>
  <c r="Q131" i="60"/>
  <c r="Q132" i="60"/>
  <c r="Q133" i="60"/>
  <c r="Q134" i="60"/>
  <c r="Q135" i="60"/>
  <c r="Q136" i="60"/>
  <c r="Q137" i="60"/>
  <c r="Q138" i="60"/>
  <c r="Q139" i="60"/>
  <c r="Q140" i="60"/>
  <c r="Q141" i="60"/>
  <c r="Q142" i="60"/>
  <c r="Q143" i="60"/>
  <c r="Q144" i="60"/>
  <c r="Q145" i="60"/>
  <c r="Q146" i="60"/>
  <c r="Q147" i="60"/>
  <c r="Q148" i="60"/>
  <c r="Q149" i="60"/>
  <c r="Q150" i="60"/>
  <c r="Q151" i="60"/>
  <c r="Q152" i="60"/>
  <c r="Q153" i="60"/>
  <c r="Q154" i="60"/>
  <c r="Q155" i="60"/>
  <c r="Q156" i="60"/>
  <c r="Q157" i="60"/>
  <c r="Q158" i="60"/>
  <c r="Q159" i="60"/>
  <c r="Q160" i="60"/>
  <c r="Q161" i="60"/>
  <c r="Q162" i="60"/>
  <c r="Q163" i="60"/>
  <c r="Q164" i="60"/>
  <c r="Q165" i="60"/>
  <c r="Q166" i="60"/>
  <c r="Q167" i="60"/>
  <c r="Q168" i="60"/>
  <c r="Q169" i="60"/>
  <c r="Q170" i="60"/>
  <c r="Q171" i="60"/>
  <c r="Q172" i="60"/>
  <c r="Q173" i="60"/>
  <c r="Q174" i="60"/>
  <c r="Q175" i="60"/>
  <c r="Q176" i="60"/>
  <c r="Q177" i="60"/>
  <c r="Q178" i="60"/>
  <c r="Q179" i="60"/>
  <c r="Q180" i="60"/>
  <c r="Q181" i="60"/>
  <c r="Q182" i="60"/>
  <c r="Q183" i="60"/>
  <c r="Q184" i="60"/>
  <c r="Q185" i="60"/>
  <c r="Q186" i="60"/>
  <c r="Q187" i="60"/>
  <c r="Q188" i="60"/>
  <c r="Q189" i="60"/>
  <c r="Q190" i="60"/>
  <c r="Q191" i="60"/>
  <c r="Q192" i="60"/>
  <c r="Q193" i="60"/>
  <c r="Q194" i="60"/>
  <c r="Q195" i="60"/>
  <c r="Q196" i="60"/>
  <c r="Q197" i="60"/>
  <c r="Q198" i="60"/>
  <c r="Q199" i="60"/>
  <c r="Q200" i="60"/>
  <c r="Q201" i="60"/>
  <c r="Q202" i="60"/>
  <c r="Q203" i="60"/>
  <c r="Q204" i="60"/>
  <c r="Q205" i="60"/>
  <c r="Q206" i="60"/>
  <c r="Q207" i="60"/>
  <c r="Q208" i="60"/>
  <c r="Q209" i="60"/>
  <c r="Q210" i="60"/>
  <c r="Q211" i="60"/>
  <c r="Q212" i="60"/>
  <c r="Q213" i="60"/>
  <c r="Q214" i="60"/>
  <c r="Q215" i="60"/>
  <c r="Q216" i="60"/>
  <c r="Q217" i="60"/>
  <c r="Q218" i="60"/>
  <c r="Q219" i="60"/>
  <c r="Q220" i="60"/>
  <c r="Q221" i="60"/>
  <c r="Q222" i="60"/>
  <c r="Q223" i="60"/>
  <c r="Q224" i="60"/>
  <c r="Q225" i="60"/>
  <c r="Q226" i="60"/>
  <c r="Q227" i="60"/>
  <c r="Q228" i="60"/>
  <c r="Q229" i="60"/>
  <c r="Q230" i="60"/>
  <c r="Q231" i="60"/>
  <c r="Q232" i="60"/>
  <c r="Q233" i="60"/>
  <c r="Q234" i="60"/>
  <c r="Q235" i="60"/>
  <c r="Q236" i="60"/>
  <c r="Q237" i="60"/>
  <c r="Q238" i="60"/>
  <c r="Q239" i="60"/>
  <c r="Q240" i="60"/>
  <c r="Q241" i="60"/>
  <c r="Q242" i="60"/>
  <c r="Q243" i="60"/>
  <c r="Q244" i="60"/>
  <c r="Q245" i="60"/>
  <c r="Q246" i="60"/>
  <c r="Q247" i="60"/>
  <c r="Q248" i="60"/>
  <c r="Q249" i="60"/>
  <c r="Q250" i="60"/>
  <c r="Q251" i="60"/>
  <c r="Q252" i="60"/>
  <c r="Q253" i="60"/>
  <c r="Q254" i="60"/>
  <c r="Q255" i="60"/>
  <c r="Q256" i="60"/>
  <c r="Q257" i="60"/>
  <c r="Q258" i="60"/>
  <c r="Q259" i="60"/>
  <c r="Q260" i="60"/>
  <c r="Q261" i="60"/>
  <c r="Q262" i="60"/>
  <c r="Q263" i="60"/>
  <c r="Q264" i="60"/>
  <c r="Q265" i="60"/>
  <c r="Q266" i="60"/>
  <c r="Q267" i="60"/>
  <c r="Q268" i="60"/>
  <c r="Q269" i="60"/>
  <c r="Q270" i="60"/>
  <c r="Q271" i="60"/>
  <c r="Q272" i="60"/>
  <c r="Q273" i="60"/>
  <c r="Q274" i="60"/>
  <c r="Q275" i="60"/>
  <c r="Q276" i="60"/>
  <c r="Q277" i="60"/>
  <c r="Q278" i="60"/>
  <c r="Q279" i="60"/>
  <c r="Q280" i="60"/>
  <c r="Q281" i="60"/>
  <c r="Q282" i="60"/>
  <c r="Q283" i="60"/>
  <c r="Q284" i="60"/>
  <c r="Q285" i="60"/>
  <c r="Q286" i="60"/>
  <c r="Q287" i="60"/>
  <c r="Q288" i="60"/>
  <c r="Q289" i="60"/>
  <c r="Q290" i="60"/>
  <c r="Q291" i="60"/>
  <c r="Q292" i="60"/>
  <c r="Q293" i="60"/>
  <c r="Q294" i="60"/>
  <c r="Q295" i="60"/>
  <c r="Q296" i="60"/>
  <c r="Q297" i="60"/>
  <c r="Q298" i="60"/>
  <c r="Q299" i="60"/>
  <c r="Q300" i="60"/>
  <c r="Q301" i="60"/>
  <c r="Q302" i="60"/>
  <c r="Q303" i="60"/>
  <c r="Q304" i="60"/>
  <c r="Q305" i="60"/>
  <c r="Q306" i="60"/>
  <c r="Q307" i="60"/>
  <c r="Q308" i="60"/>
  <c r="Q309" i="60"/>
  <c r="Q310" i="60"/>
  <c r="Q311" i="60"/>
  <c r="Q312" i="60"/>
  <c r="Q313" i="60"/>
  <c r="Q314" i="60"/>
  <c r="Q315" i="60"/>
  <c r="Q316" i="60"/>
  <c r="Q317" i="60"/>
  <c r="Q318" i="60"/>
  <c r="Q319" i="60"/>
  <c r="Q320" i="60"/>
  <c r="Q321" i="60"/>
  <c r="Q322" i="60"/>
  <c r="Q323" i="60"/>
  <c r="Q324" i="60"/>
  <c r="Q325" i="60"/>
  <c r="Q326" i="60"/>
  <c r="Q327" i="60"/>
  <c r="Q328" i="60"/>
  <c r="Q329" i="60"/>
  <c r="Q330" i="60"/>
  <c r="Q331" i="60"/>
  <c r="Q332" i="60"/>
  <c r="Q333" i="60"/>
  <c r="Q334" i="60"/>
  <c r="Q335" i="60"/>
  <c r="Q336" i="60"/>
  <c r="Q337" i="60"/>
  <c r="Q338" i="60"/>
  <c r="Q339" i="60"/>
  <c r="Q340" i="60"/>
  <c r="Q341" i="60"/>
  <c r="Q342" i="60"/>
  <c r="Q343" i="60"/>
  <c r="Q344" i="60"/>
  <c r="Q345" i="60"/>
  <c r="Q346" i="60"/>
  <c r="Q347" i="60"/>
  <c r="Q348" i="60"/>
  <c r="Q349" i="60"/>
  <c r="Q350" i="60"/>
  <c r="Q351" i="60"/>
  <c r="Q352" i="60"/>
  <c r="Q353" i="60"/>
  <c r="Q354" i="60"/>
  <c r="Q355" i="60"/>
  <c r="Q356" i="60"/>
  <c r="Q357" i="60"/>
  <c r="Q358" i="60"/>
  <c r="Q359" i="60"/>
  <c r="Q360" i="60"/>
  <c r="Q361" i="60"/>
  <c r="Q362" i="60"/>
  <c r="Q363" i="60"/>
  <c r="Q364" i="60"/>
  <c r="Q365" i="60"/>
  <c r="Q366" i="60"/>
  <c r="Q367" i="60"/>
  <c r="Q368" i="60"/>
  <c r="Q369" i="60"/>
  <c r="Q370" i="60"/>
  <c r="Q371" i="60"/>
  <c r="Q372" i="60"/>
  <c r="Q373" i="60"/>
  <c r="Q374" i="60"/>
  <c r="Q375" i="60"/>
  <c r="Q376" i="60"/>
  <c r="Q377" i="60"/>
  <c r="Q378" i="60"/>
  <c r="Q379" i="60"/>
  <c r="Q380" i="60"/>
  <c r="Q381" i="60"/>
  <c r="Q382" i="60"/>
  <c r="Q383" i="60"/>
  <c r="Q384" i="60"/>
  <c r="Q385" i="60"/>
  <c r="Q386" i="60"/>
  <c r="Q387" i="60"/>
  <c r="Q388" i="60"/>
  <c r="Q389" i="60"/>
  <c r="Q390" i="60"/>
  <c r="Q391" i="60"/>
  <c r="Q392" i="60"/>
  <c r="Q393" i="60"/>
  <c r="Q394" i="60"/>
  <c r="Q395" i="60"/>
  <c r="Q396" i="60"/>
  <c r="Q397" i="60"/>
  <c r="Q398" i="60"/>
  <c r="Q399" i="60"/>
  <c r="Q400" i="60"/>
  <c r="Q401" i="60"/>
  <c r="Q402" i="60"/>
  <c r="Q403" i="60"/>
  <c r="Q404" i="60"/>
  <c r="Q405" i="60"/>
  <c r="Q406" i="60"/>
  <c r="Q407" i="60"/>
  <c r="Q408" i="60"/>
  <c r="Q409" i="60"/>
  <c r="Q410" i="60"/>
  <c r="Q411" i="60"/>
  <c r="Q412" i="60"/>
  <c r="Q413" i="60"/>
  <c r="Q414" i="60"/>
  <c r="Q415" i="60"/>
  <c r="Q416" i="60"/>
  <c r="Q417" i="60"/>
  <c r="Q418" i="60"/>
  <c r="Q419" i="60"/>
  <c r="Q420" i="60"/>
  <c r="Q421" i="60"/>
  <c r="Q422" i="60"/>
  <c r="Q423" i="60"/>
  <c r="Q424" i="60"/>
  <c r="Q425" i="60"/>
  <c r="Q426" i="60"/>
  <c r="Q427" i="60"/>
  <c r="Q428" i="60"/>
  <c r="Q429" i="60"/>
  <c r="Q430" i="60"/>
  <c r="Q431" i="60"/>
  <c r="Q432" i="60"/>
  <c r="Q433" i="60"/>
  <c r="Q434" i="60"/>
  <c r="Q435" i="60"/>
  <c r="Q436" i="60"/>
  <c r="Q437" i="60"/>
  <c r="Q438" i="60"/>
  <c r="Q439" i="60"/>
  <c r="Q440" i="60"/>
  <c r="Q441" i="60"/>
  <c r="Q442" i="60"/>
  <c r="Q443" i="60"/>
  <c r="Q444" i="60"/>
  <c r="Q445" i="60"/>
  <c r="Q446" i="60"/>
  <c r="Q447" i="60"/>
  <c r="Q448" i="60"/>
  <c r="Q449" i="60"/>
  <c r="Q450" i="60"/>
  <c r="Q451" i="60"/>
  <c r="Q452" i="60"/>
  <c r="Q453" i="60"/>
  <c r="Q454" i="60"/>
  <c r="Q455" i="60"/>
  <c r="Q456" i="60"/>
  <c r="Q457" i="60"/>
  <c r="Q458" i="60"/>
  <c r="Q459" i="60"/>
  <c r="Q460" i="60"/>
  <c r="Q461" i="60"/>
  <c r="Q462" i="60"/>
  <c r="Q463" i="60"/>
  <c r="Q464" i="60"/>
  <c r="Q465" i="60"/>
  <c r="Q466" i="60"/>
  <c r="Q467" i="60"/>
  <c r="Q468" i="60"/>
  <c r="Q469" i="60"/>
  <c r="Q470" i="60"/>
  <c r="Q471" i="60"/>
  <c r="Q472" i="60"/>
  <c r="Q473" i="60"/>
  <c r="Q474" i="60"/>
  <c r="Q475" i="60"/>
  <c r="Q476" i="60"/>
  <c r="Q477" i="60"/>
  <c r="Q478" i="60"/>
  <c r="Q479" i="60"/>
  <c r="Q480" i="60"/>
  <c r="Q481" i="60"/>
  <c r="Q482" i="60"/>
  <c r="Q483" i="60"/>
  <c r="Q484" i="60"/>
  <c r="Q485" i="60"/>
  <c r="Q486" i="60"/>
  <c r="Q487" i="60"/>
  <c r="Q488" i="60"/>
  <c r="Q489" i="60"/>
  <c r="Q490" i="60"/>
  <c r="Q491" i="60"/>
  <c r="Q492" i="60"/>
  <c r="Q493" i="60"/>
  <c r="Q494" i="60"/>
  <c r="Q495" i="60"/>
  <c r="Q496" i="60"/>
  <c r="Q497" i="60"/>
  <c r="Q498" i="60"/>
  <c r="Q499" i="60"/>
  <c r="Q500" i="60"/>
  <c r="Q501" i="60"/>
  <c r="Q502" i="60"/>
  <c r="Q503" i="60"/>
  <c r="Q504" i="60"/>
  <c r="Q505" i="60"/>
  <c r="Q506" i="60"/>
  <c r="Q507" i="60"/>
  <c r="Q508" i="60"/>
  <c r="Q509" i="60"/>
  <c r="Q510" i="60"/>
  <c r="Q511" i="60"/>
  <c r="Q512" i="60"/>
  <c r="Q513" i="60"/>
  <c r="Q514" i="60"/>
  <c r="Q515" i="60"/>
  <c r="Q516" i="60"/>
  <c r="Q517" i="60"/>
  <c r="Q518" i="60"/>
  <c r="Q519" i="60"/>
  <c r="Q520" i="60"/>
  <c r="Q521" i="60"/>
  <c r="Q522" i="60"/>
  <c r="Q523" i="60"/>
  <c r="Q524" i="60"/>
  <c r="Q525" i="60"/>
  <c r="Q526" i="60"/>
  <c r="Q527" i="60"/>
  <c r="Q528" i="60"/>
  <c r="Q529" i="60"/>
  <c r="Q530" i="60"/>
  <c r="Q531" i="60"/>
  <c r="Q532" i="60"/>
  <c r="Q533" i="60"/>
  <c r="Q534" i="60"/>
  <c r="Q535" i="60"/>
  <c r="Q536" i="60"/>
  <c r="Q537" i="60"/>
  <c r="Q538" i="60"/>
  <c r="Q539" i="60"/>
  <c r="Q540" i="60"/>
  <c r="Q541" i="60"/>
  <c r="Q542" i="60"/>
  <c r="Q543" i="60"/>
  <c r="Q544" i="60"/>
  <c r="Q545" i="60"/>
  <c r="Q546" i="60"/>
  <c r="Q547" i="60"/>
  <c r="Q548" i="60"/>
  <c r="Q549" i="60"/>
  <c r="Q550" i="60"/>
  <c r="Q551" i="60"/>
  <c r="Q552" i="60"/>
  <c r="Q553" i="60"/>
  <c r="Q554" i="60"/>
  <c r="Q555" i="60"/>
  <c r="Q556" i="60"/>
  <c r="Q557" i="60"/>
  <c r="Q558" i="60"/>
  <c r="Q559" i="60"/>
  <c r="Q560" i="60"/>
  <c r="Q561" i="60"/>
  <c r="Q562" i="60"/>
  <c r="Q563" i="60"/>
  <c r="Q564" i="60"/>
  <c r="Q565" i="60"/>
  <c r="Q566" i="60"/>
  <c r="Q567" i="60"/>
  <c r="Q568" i="60"/>
  <c r="Q569" i="60"/>
  <c r="Q570" i="60"/>
  <c r="Q571" i="60"/>
  <c r="Q572" i="60"/>
  <c r="Q573" i="60"/>
  <c r="Q574" i="60"/>
  <c r="Q575" i="60"/>
  <c r="Q576" i="60"/>
  <c r="Q577" i="60"/>
  <c r="Q578" i="60"/>
  <c r="Q579" i="60"/>
  <c r="Q580" i="60"/>
  <c r="Q581" i="60"/>
  <c r="Q582" i="60"/>
  <c r="Q583" i="60"/>
  <c r="Q584" i="60"/>
  <c r="Q585" i="60"/>
  <c r="Q586" i="60"/>
  <c r="Q587" i="60"/>
  <c r="Q588" i="60"/>
  <c r="Q589" i="60"/>
  <c r="Q590" i="60"/>
  <c r="Q591" i="60"/>
  <c r="Q592" i="60"/>
  <c r="Q593" i="60"/>
  <c r="Q594" i="60"/>
  <c r="Q595" i="60"/>
  <c r="Q596" i="60"/>
  <c r="Q597" i="60"/>
  <c r="Q598" i="60"/>
  <c r="Q599" i="60"/>
  <c r="Q600" i="60"/>
  <c r="Q601" i="60"/>
  <c r="Q602" i="60"/>
  <c r="Q603" i="60"/>
  <c r="Q604" i="60"/>
  <c r="Q605" i="60"/>
  <c r="Q606" i="60"/>
  <c r="Q607" i="60"/>
  <c r="Q608" i="60"/>
  <c r="Q609" i="60"/>
  <c r="Q610" i="60"/>
  <c r="Q611" i="60"/>
  <c r="Q612" i="60"/>
  <c r="Q613" i="60"/>
  <c r="Q614" i="60"/>
  <c r="Q615" i="60"/>
  <c r="Q616" i="60"/>
  <c r="Q617" i="60"/>
  <c r="Q618" i="60"/>
  <c r="Q619" i="60"/>
  <c r="Q620" i="60"/>
  <c r="Q621" i="60"/>
  <c r="Q622" i="60"/>
  <c r="Q623" i="60"/>
  <c r="Q624" i="60"/>
  <c r="Q625" i="60"/>
  <c r="Q3" i="60"/>
  <c r="R3" i="60"/>
  <c r="S3" i="60"/>
  <c r="Q4" i="60"/>
  <c r="R4" i="60"/>
  <c r="S4" i="60"/>
  <c r="Q5" i="60"/>
  <c r="R5" i="60"/>
  <c r="S5" i="60"/>
  <c r="Q6" i="60"/>
  <c r="R6" i="60"/>
  <c r="S6" i="60"/>
  <c r="Q7" i="60"/>
  <c r="R7" i="60"/>
  <c r="S7" i="60"/>
  <c r="Q8" i="60"/>
  <c r="R8" i="60"/>
  <c r="S8" i="60"/>
  <c r="Q9" i="60"/>
  <c r="R9" i="60"/>
  <c r="S9" i="60"/>
  <c r="AC1" i="60"/>
  <c r="U1" i="60"/>
  <c r="V1" i="60"/>
  <c r="W1" i="60"/>
  <c r="X1" i="60"/>
  <c r="Y1" i="60"/>
  <c r="Z1" i="60"/>
  <c r="AA1" i="60"/>
  <c r="AB1" i="60"/>
  <c r="T1" i="60"/>
  <c r="R2" i="60"/>
  <c r="S2" i="60"/>
  <c r="Q2" i="60"/>
  <c r="B201" i="60"/>
  <c r="D201" i="60"/>
  <c r="B202" i="60"/>
  <c r="D202" i="60"/>
  <c r="B203" i="60"/>
  <c r="R203" i="60" s="1"/>
  <c r="D203" i="60"/>
  <c r="B204" i="60"/>
  <c r="D204" i="60"/>
  <c r="B205" i="60"/>
  <c r="D205" i="60"/>
  <c r="B206" i="60"/>
  <c r="D206" i="60"/>
  <c r="B207" i="60"/>
  <c r="R207" i="60" s="1"/>
  <c r="D207" i="60"/>
  <c r="B208" i="60"/>
  <c r="D208" i="60"/>
  <c r="B209" i="60"/>
  <c r="D209" i="60"/>
  <c r="B131" i="60"/>
  <c r="C131" i="60"/>
  <c r="D131" i="60"/>
  <c r="B132" i="60"/>
  <c r="R132" i="60" s="1"/>
  <c r="D132" i="60"/>
  <c r="B133" i="60"/>
  <c r="D133" i="60"/>
  <c r="B134" i="60"/>
  <c r="D134" i="60"/>
  <c r="B135" i="60"/>
  <c r="D135" i="60"/>
  <c r="B136" i="60"/>
  <c r="R136" i="60" s="1"/>
  <c r="D136" i="60"/>
  <c r="B137" i="60"/>
  <c r="D137" i="60"/>
  <c r="B138" i="60"/>
  <c r="D138" i="60"/>
  <c r="B139" i="60"/>
  <c r="D139" i="60"/>
  <c r="B140" i="60"/>
  <c r="R140" i="60" s="1"/>
  <c r="D140" i="60"/>
  <c r="B141" i="60"/>
  <c r="D141" i="60"/>
  <c r="B142" i="60"/>
  <c r="D142" i="60"/>
  <c r="B143" i="60"/>
  <c r="D143" i="60"/>
  <c r="B144" i="60"/>
  <c r="R144" i="60" s="1"/>
  <c r="D144" i="60"/>
  <c r="B145" i="60"/>
  <c r="D145" i="60"/>
  <c r="B146" i="60"/>
  <c r="D146" i="60"/>
  <c r="B147" i="60"/>
  <c r="D147" i="60"/>
  <c r="B148" i="60"/>
  <c r="R148" i="60" s="1"/>
  <c r="D148" i="60"/>
  <c r="B149" i="60"/>
  <c r="D149" i="60"/>
  <c r="B150" i="60"/>
  <c r="D150" i="60"/>
  <c r="B151" i="60"/>
  <c r="D151" i="60"/>
  <c r="B152" i="60"/>
  <c r="R152" i="60" s="1"/>
  <c r="D152" i="60"/>
  <c r="B153" i="60"/>
  <c r="D153" i="60"/>
  <c r="B154" i="60"/>
  <c r="D154" i="60"/>
  <c r="B155" i="60"/>
  <c r="D155" i="60"/>
  <c r="B156" i="60"/>
  <c r="R156" i="60" s="1"/>
  <c r="D156" i="60"/>
  <c r="B157" i="60"/>
  <c r="D157" i="60"/>
  <c r="B158" i="60"/>
  <c r="D158" i="60"/>
  <c r="B159" i="60"/>
  <c r="D159" i="60"/>
  <c r="B160" i="60"/>
  <c r="R160" i="60" s="1"/>
  <c r="D160" i="60"/>
  <c r="B161" i="60"/>
  <c r="D161" i="60"/>
  <c r="B162" i="60"/>
  <c r="D162" i="60"/>
  <c r="B163" i="60"/>
  <c r="D163" i="60"/>
  <c r="B164" i="60"/>
  <c r="R164" i="60" s="1"/>
  <c r="D164" i="60"/>
  <c r="B165" i="60"/>
  <c r="D165" i="60"/>
  <c r="B166" i="60"/>
  <c r="D166" i="60"/>
  <c r="B167" i="60"/>
  <c r="D167" i="60"/>
  <c r="B168" i="60"/>
  <c r="R168" i="60" s="1"/>
  <c r="D168" i="60"/>
  <c r="B169" i="60"/>
  <c r="D169" i="60"/>
  <c r="B170" i="60"/>
  <c r="D170" i="60"/>
  <c r="B171" i="60"/>
  <c r="D171" i="60"/>
  <c r="B172" i="60"/>
  <c r="R172" i="60" s="1"/>
  <c r="D172" i="60"/>
  <c r="B173" i="60"/>
  <c r="D173" i="60"/>
  <c r="B174" i="60"/>
  <c r="D174" i="60"/>
  <c r="B175" i="60"/>
  <c r="D175" i="60"/>
  <c r="B176" i="60"/>
  <c r="R176" i="60" s="1"/>
  <c r="D176" i="60"/>
  <c r="B177" i="60"/>
  <c r="D177" i="60"/>
  <c r="B178" i="60"/>
  <c r="D178" i="60"/>
  <c r="B179" i="60"/>
  <c r="D179" i="60"/>
  <c r="B180" i="60"/>
  <c r="D180" i="60"/>
  <c r="B181" i="60"/>
  <c r="D181" i="60"/>
  <c r="B182" i="60"/>
  <c r="D182" i="60"/>
  <c r="B183" i="60"/>
  <c r="R183" i="60" s="1"/>
  <c r="D183" i="60"/>
  <c r="B184" i="60"/>
  <c r="D184" i="60"/>
  <c r="B185" i="60"/>
  <c r="D185" i="60"/>
  <c r="B186" i="60"/>
  <c r="D186" i="60"/>
  <c r="B187" i="60"/>
  <c r="R187" i="60" s="1"/>
  <c r="D187" i="60"/>
  <c r="B188" i="60"/>
  <c r="D188" i="60"/>
  <c r="B189" i="60"/>
  <c r="D189" i="60"/>
  <c r="B190" i="60"/>
  <c r="D190" i="60"/>
  <c r="B191" i="60"/>
  <c r="R191" i="60" s="1"/>
  <c r="D191" i="60"/>
  <c r="B192" i="60"/>
  <c r="D192" i="60"/>
  <c r="B193" i="60"/>
  <c r="D193" i="60"/>
  <c r="B194" i="60"/>
  <c r="D194" i="60"/>
  <c r="B195" i="60"/>
  <c r="R195" i="60" s="1"/>
  <c r="D195" i="60"/>
  <c r="B196" i="60"/>
  <c r="D196" i="60"/>
  <c r="B197" i="60"/>
  <c r="D197" i="60"/>
  <c r="B198" i="60"/>
  <c r="D198" i="60"/>
  <c r="B199" i="60"/>
  <c r="R199" i="60" s="1"/>
  <c r="D199" i="60"/>
  <c r="B200" i="60"/>
  <c r="D200" i="60"/>
  <c r="B110" i="60"/>
  <c r="C110" i="60"/>
  <c r="C318" i="60" s="1"/>
  <c r="D110" i="60"/>
  <c r="B111" i="60"/>
  <c r="C111" i="60"/>
  <c r="D111" i="60"/>
  <c r="B112" i="60"/>
  <c r="R112" i="60" s="1"/>
  <c r="C112" i="60"/>
  <c r="D112" i="60"/>
  <c r="B113" i="60"/>
  <c r="C113" i="60"/>
  <c r="C217" i="60" s="1"/>
  <c r="S217" i="60" s="1"/>
  <c r="D113" i="60"/>
  <c r="B114" i="60"/>
  <c r="C114" i="60"/>
  <c r="D114" i="60"/>
  <c r="B115" i="60"/>
  <c r="C115" i="60"/>
  <c r="D115" i="60"/>
  <c r="B116" i="60"/>
  <c r="R116" i="60" s="1"/>
  <c r="C116" i="60"/>
  <c r="D116" i="60"/>
  <c r="B117" i="60"/>
  <c r="C117" i="60"/>
  <c r="C221" i="60" s="1"/>
  <c r="S221" i="60" s="1"/>
  <c r="D117" i="60"/>
  <c r="B118" i="60"/>
  <c r="C118" i="60"/>
  <c r="D118" i="60"/>
  <c r="B119" i="60"/>
  <c r="C119" i="60"/>
  <c r="D119" i="60"/>
  <c r="B120" i="60"/>
  <c r="R120" i="60" s="1"/>
  <c r="C120" i="60"/>
  <c r="D120" i="60"/>
  <c r="B121" i="60"/>
  <c r="C121" i="60"/>
  <c r="C225" i="60" s="1"/>
  <c r="S225" i="60" s="1"/>
  <c r="D121" i="60"/>
  <c r="B122" i="60"/>
  <c r="C122" i="60"/>
  <c r="D122" i="60"/>
  <c r="B123" i="60"/>
  <c r="C123" i="60"/>
  <c r="D123" i="60"/>
  <c r="B124" i="60"/>
  <c r="R124" i="60" s="1"/>
  <c r="C124" i="60"/>
  <c r="D124" i="60"/>
  <c r="B125" i="60"/>
  <c r="C125" i="60"/>
  <c r="D125" i="60"/>
  <c r="B126" i="60"/>
  <c r="C126" i="60"/>
  <c r="D126" i="60"/>
  <c r="B127" i="60"/>
  <c r="C127" i="60"/>
  <c r="D127" i="60"/>
  <c r="B128" i="60"/>
  <c r="R128" i="60" s="1"/>
  <c r="C128" i="60"/>
  <c r="D128" i="60"/>
  <c r="B129" i="60"/>
  <c r="C129" i="60"/>
  <c r="C233" i="60" s="1"/>
  <c r="S233" i="60" s="1"/>
  <c r="D129" i="60"/>
  <c r="B130" i="60"/>
  <c r="C130" i="60"/>
  <c r="D130" i="60"/>
  <c r="B107" i="60"/>
  <c r="R107" i="60" s="1"/>
  <c r="C107" i="60"/>
  <c r="D107" i="60"/>
  <c r="B108" i="60"/>
  <c r="C108" i="60"/>
  <c r="C212" i="60" s="1"/>
  <c r="S212" i="60" s="1"/>
  <c r="D108" i="60"/>
  <c r="B109" i="60"/>
  <c r="C109" i="60"/>
  <c r="D109" i="60"/>
  <c r="D106" i="60"/>
  <c r="C106" i="60"/>
  <c r="B106" i="60"/>
  <c r="AC105" i="60"/>
  <c r="AB105" i="60"/>
  <c r="AA105" i="60"/>
  <c r="Z105" i="60"/>
  <c r="Y105" i="60"/>
  <c r="X105" i="60"/>
  <c r="W105" i="60"/>
  <c r="V105" i="60"/>
  <c r="U105" i="60"/>
  <c r="T105" i="60"/>
  <c r="AC104" i="60"/>
  <c r="AB104" i="60"/>
  <c r="AA104" i="60"/>
  <c r="Z104" i="60"/>
  <c r="Y104" i="60"/>
  <c r="X104" i="60"/>
  <c r="W104" i="60"/>
  <c r="V104" i="60"/>
  <c r="U104" i="60"/>
  <c r="T104" i="60"/>
  <c r="AC103" i="60"/>
  <c r="AB103" i="60"/>
  <c r="AA103" i="60"/>
  <c r="Y103" i="60"/>
  <c r="W103" i="60"/>
  <c r="V103" i="60"/>
  <c r="U103" i="60"/>
  <c r="T103" i="60"/>
  <c r="AC102" i="60"/>
  <c r="AB102" i="60"/>
  <c r="AA102" i="60"/>
  <c r="Z102" i="60"/>
  <c r="Y102" i="60"/>
  <c r="X102" i="60"/>
  <c r="W102" i="60"/>
  <c r="T102" i="60"/>
  <c r="AC101" i="60"/>
  <c r="AB101" i="60"/>
  <c r="AA101" i="60"/>
  <c r="Z101" i="60"/>
  <c r="Y101" i="60"/>
  <c r="X101" i="60"/>
  <c r="W101" i="60"/>
  <c r="V101" i="60"/>
  <c r="U101" i="60"/>
  <c r="T101" i="60"/>
  <c r="AC100" i="60"/>
  <c r="AB100" i="60"/>
  <c r="AA100" i="60"/>
  <c r="Z100" i="60"/>
  <c r="Y100" i="60"/>
  <c r="X100" i="60"/>
  <c r="W100" i="60"/>
  <c r="V100" i="60"/>
  <c r="U100" i="60"/>
  <c r="T100" i="60"/>
  <c r="AC99" i="60"/>
  <c r="AB99" i="60"/>
  <c r="AA99" i="60"/>
  <c r="Z99" i="60"/>
  <c r="Y99" i="60"/>
  <c r="X99" i="60"/>
  <c r="V99" i="60"/>
  <c r="U99" i="60"/>
  <c r="AC98" i="60"/>
  <c r="AB98" i="60"/>
  <c r="AA98" i="60"/>
  <c r="Z98" i="60"/>
  <c r="Y98" i="60"/>
  <c r="X98" i="60"/>
  <c r="W98" i="60"/>
  <c r="U98" i="60"/>
  <c r="AC97" i="60"/>
  <c r="AB97" i="60"/>
  <c r="AA97" i="60"/>
  <c r="Z97" i="60"/>
  <c r="Y97" i="60"/>
  <c r="X97" i="60"/>
  <c r="W97" i="60"/>
  <c r="V97" i="60"/>
  <c r="U97" i="60"/>
  <c r="AC96" i="60"/>
  <c r="AB96" i="60"/>
  <c r="AA96" i="60"/>
  <c r="Z96" i="60"/>
  <c r="Y96" i="60"/>
  <c r="X96" i="60"/>
  <c r="W96" i="60"/>
  <c r="V96" i="60"/>
  <c r="U96" i="60"/>
  <c r="T96" i="60"/>
  <c r="AC95" i="60"/>
  <c r="AB95" i="60"/>
  <c r="AA95" i="60"/>
  <c r="Z95" i="60"/>
  <c r="Y95" i="60"/>
  <c r="X95" i="60"/>
  <c r="W95" i="60"/>
  <c r="V95" i="60"/>
  <c r="U95" i="60"/>
  <c r="T95" i="60"/>
  <c r="AC94" i="60"/>
  <c r="AB94" i="60"/>
  <c r="AA94" i="60"/>
  <c r="Z94" i="60"/>
  <c r="Y94" i="60"/>
  <c r="X94" i="60"/>
  <c r="W94" i="60"/>
  <c r="V94" i="60"/>
  <c r="U94" i="60"/>
  <c r="T94" i="60"/>
  <c r="AC93" i="60"/>
  <c r="AB93" i="60"/>
  <c r="AA93" i="60"/>
  <c r="Z93" i="60"/>
  <c r="Y93" i="60"/>
  <c r="X93" i="60"/>
  <c r="W93" i="60"/>
  <c r="V93" i="60"/>
  <c r="U93" i="60"/>
  <c r="T93" i="60"/>
  <c r="AC92" i="60"/>
  <c r="AB92" i="60"/>
  <c r="AA92" i="60"/>
  <c r="Z92" i="60"/>
  <c r="Y92" i="60"/>
  <c r="X92" i="60"/>
  <c r="W92" i="60"/>
  <c r="V92" i="60"/>
  <c r="U92" i="60"/>
  <c r="AC91" i="60"/>
  <c r="AB91" i="60"/>
  <c r="AA91" i="60"/>
  <c r="Z91" i="60"/>
  <c r="Y91" i="60"/>
  <c r="X91" i="60"/>
  <c r="W91" i="60"/>
  <c r="V91" i="60"/>
  <c r="T91" i="60"/>
  <c r="AC90" i="60"/>
  <c r="AB90" i="60"/>
  <c r="AA90" i="60"/>
  <c r="Z90" i="60"/>
  <c r="Y90" i="60"/>
  <c r="X90" i="60"/>
  <c r="W90" i="60"/>
  <c r="U90" i="60"/>
  <c r="AC89" i="60"/>
  <c r="AB89" i="60"/>
  <c r="AA89" i="60"/>
  <c r="Z89" i="60"/>
  <c r="Y89" i="60"/>
  <c r="X89" i="60"/>
  <c r="W89" i="60"/>
  <c r="V89" i="60"/>
  <c r="U89" i="60"/>
  <c r="T89" i="60"/>
  <c r="AC88" i="60"/>
  <c r="AB88" i="60"/>
  <c r="AA88" i="60"/>
  <c r="Z88" i="60"/>
  <c r="Y88" i="60"/>
  <c r="X88" i="60"/>
  <c r="W88" i="60"/>
  <c r="V88" i="60"/>
  <c r="U88" i="60"/>
  <c r="T88" i="60"/>
  <c r="AC87" i="60"/>
  <c r="AB87" i="60"/>
  <c r="AA87" i="60"/>
  <c r="Z87" i="60"/>
  <c r="Y87" i="60"/>
  <c r="X87" i="60"/>
  <c r="W87" i="60"/>
  <c r="V87" i="60"/>
  <c r="U87" i="60"/>
  <c r="T87" i="60"/>
  <c r="AC86" i="60"/>
  <c r="AB86" i="60"/>
  <c r="AA86" i="60"/>
  <c r="Z86" i="60"/>
  <c r="Y86" i="60"/>
  <c r="X86" i="60"/>
  <c r="W86" i="60"/>
  <c r="V86" i="60"/>
  <c r="U86" i="60"/>
  <c r="T86" i="60"/>
  <c r="AC85" i="60"/>
  <c r="AB85" i="60"/>
  <c r="AA85" i="60"/>
  <c r="Z85" i="60"/>
  <c r="Y85" i="60"/>
  <c r="X85" i="60"/>
  <c r="W85" i="60"/>
  <c r="V85" i="60"/>
  <c r="U85" i="60"/>
  <c r="T85" i="60"/>
  <c r="AC84" i="60"/>
  <c r="AB84" i="60"/>
  <c r="AA84" i="60"/>
  <c r="Z84" i="60"/>
  <c r="Y84" i="60"/>
  <c r="X84" i="60"/>
  <c r="W84" i="60"/>
  <c r="V84" i="60"/>
  <c r="U84" i="60"/>
  <c r="AC83" i="60"/>
  <c r="AB83" i="60"/>
  <c r="AA83" i="60"/>
  <c r="Z83" i="60"/>
  <c r="Y83" i="60"/>
  <c r="X83" i="60"/>
  <c r="W83" i="60"/>
  <c r="V83" i="60"/>
  <c r="U83" i="60"/>
  <c r="T83" i="60"/>
  <c r="AC82" i="60"/>
  <c r="AB82" i="60"/>
  <c r="AA82" i="60"/>
  <c r="Z82" i="60"/>
  <c r="Y82" i="60"/>
  <c r="X82" i="60"/>
  <c r="W82" i="60"/>
  <c r="V82" i="60"/>
  <c r="U82" i="60"/>
  <c r="T82" i="60"/>
  <c r="AC81" i="60"/>
  <c r="AB81" i="60"/>
  <c r="AA81" i="60"/>
  <c r="Z81" i="60"/>
  <c r="Y81" i="60"/>
  <c r="X81" i="60"/>
  <c r="W81" i="60"/>
  <c r="U81" i="60"/>
  <c r="T81" i="60"/>
  <c r="AC80" i="60"/>
  <c r="AB80" i="60"/>
  <c r="AA80" i="60"/>
  <c r="Z80" i="60"/>
  <c r="Y80" i="60"/>
  <c r="X80" i="60"/>
  <c r="W80" i="60"/>
  <c r="V80" i="60"/>
  <c r="T80" i="60"/>
  <c r="AC79" i="60"/>
  <c r="AB79" i="60"/>
  <c r="AA79" i="60"/>
  <c r="Z79" i="60"/>
  <c r="Y79" i="60"/>
  <c r="X79" i="60"/>
  <c r="W79" i="60"/>
  <c r="V79" i="60"/>
  <c r="U79" i="60"/>
  <c r="T79" i="60"/>
  <c r="AC78" i="60"/>
  <c r="AB78" i="60"/>
  <c r="AA78" i="60"/>
  <c r="Z78" i="60"/>
  <c r="Y78" i="60"/>
  <c r="X78" i="60"/>
  <c r="W78" i="60"/>
  <c r="V78" i="60"/>
  <c r="U78" i="60"/>
  <c r="T78" i="60"/>
  <c r="AC77" i="60"/>
  <c r="AB77" i="60"/>
  <c r="AA77" i="60"/>
  <c r="Z77" i="60"/>
  <c r="Y77" i="60"/>
  <c r="X77" i="60"/>
  <c r="W77" i="60"/>
  <c r="V77" i="60"/>
  <c r="U77" i="60"/>
  <c r="AC76" i="60"/>
  <c r="AB76" i="60"/>
  <c r="AA76" i="60"/>
  <c r="Z76" i="60"/>
  <c r="Y76" i="60"/>
  <c r="X76" i="60"/>
  <c r="W76" i="60"/>
  <c r="V76" i="60"/>
  <c r="U76" i="60"/>
  <c r="T76" i="60"/>
  <c r="AC75" i="60"/>
  <c r="AB75" i="60"/>
  <c r="AA75" i="60"/>
  <c r="Z75" i="60"/>
  <c r="Y75" i="60"/>
  <c r="X75" i="60"/>
  <c r="W75" i="60"/>
  <c r="V75" i="60"/>
  <c r="U75" i="60"/>
  <c r="T75" i="60"/>
  <c r="AC74" i="60"/>
  <c r="AB74" i="60"/>
  <c r="AA74" i="60"/>
  <c r="Z74" i="60"/>
  <c r="Y74" i="60"/>
  <c r="X74" i="60"/>
  <c r="W74" i="60"/>
  <c r="V74" i="60"/>
  <c r="U74" i="60"/>
  <c r="AC73" i="60"/>
  <c r="AB73" i="60"/>
  <c r="AA73" i="60"/>
  <c r="Z73" i="60"/>
  <c r="Y73" i="60"/>
  <c r="X73" i="60"/>
  <c r="W73" i="60"/>
  <c r="V73" i="60"/>
  <c r="U73" i="60"/>
  <c r="T73" i="60"/>
  <c r="AC72" i="60"/>
  <c r="AB72" i="60"/>
  <c r="AA72" i="60"/>
  <c r="Z72" i="60"/>
  <c r="Y72" i="60"/>
  <c r="X72" i="60"/>
  <c r="W72" i="60"/>
  <c r="V72" i="60"/>
  <c r="T72" i="60"/>
  <c r="AC71" i="60"/>
  <c r="AB71" i="60"/>
  <c r="AA71" i="60"/>
  <c r="Z71" i="60"/>
  <c r="Y71" i="60"/>
  <c r="X71" i="60"/>
  <c r="W71" i="60"/>
  <c r="V71" i="60"/>
  <c r="T71" i="60"/>
  <c r="AC70" i="60"/>
  <c r="AB70" i="60"/>
  <c r="AA70" i="60"/>
  <c r="Z70" i="60"/>
  <c r="Y70" i="60"/>
  <c r="X70" i="60"/>
  <c r="W70" i="60"/>
  <c r="V70" i="60"/>
  <c r="U70" i="60"/>
  <c r="AC69" i="60"/>
  <c r="AB69" i="60"/>
  <c r="AA69" i="60"/>
  <c r="Z69" i="60"/>
  <c r="Y69" i="60"/>
  <c r="X69" i="60"/>
  <c r="W69" i="60"/>
  <c r="V69" i="60"/>
  <c r="U69" i="60"/>
  <c r="T69" i="60"/>
  <c r="AC68" i="60"/>
  <c r="AB68" i="60"/>
  <c r="AA68" i="60"/>
  <c r="Z68" i="60"/>
  <c r="Y68" i="60"/>
  <c r="X68" i="60"/>
  <c r="W68" i="60"/>
  <c r="V68" i="60"/>
  <c r="U68" i="60"/>
  <c r="T68" i="60"/>
  <c r="AC67" i="60"/>
  <c r="AB67" i="60"/>
  <c r="AA67" i="60"/>
  <c r="Z67" i="60"/>
  <c r="Y67" i="60"/>
  <c r="X67" i="60"/>
  <c r="W67" i="60"/>
  <c r="V67" i="60"/>
  <c r="U67" i="60"/>
  <c r="T67" i="60"/>
  <c r="AC66" i="60"/>
  <c r="AB66" i="60"/>
  <c r="AA66" i="60"/>
  <c r="Z66" i="60"/>
  <c r="Y66" i="60"/>
  <c r="X66" i="60"/>
  <c r="W66" i="60"/>
  <c r="V66" i="60"/>
  <c r="U66" i="60"/>
  <c r="AC65" i="60"/>
  <c r="AB65" i="60"/>
  <c r="AA65" i="60"/>
  <c r="Z65" i="60"/>
  <c r="Y65" i="60"/>
  <c r="X65" i="60"/>
  <c r="W65" i="60"/>
  <c r="V65" i="60"/>
  <c r="T65" i="60"/>
  <c r="AC64" i="60"/>
  <c r="AB64" i="60"/>
  <c r="AA64" i="60"/>
  <c r="Y64" i="60"/>
  <c r="X64" i="60"/>
  <c r="W64" i="60"/>
  <c r="V64" i="60"/>
  <c r="U64" i="60"/>
  <c r="AC63" i="60"/>
  <c r="AB63" i="60"/>
  <c r="AA63" i="60"/>
  <c r="Z63" i="60"/>
  <c r="Y63" i="60"/>
  <c r="X63" i="60"/>
  <c r="W63" i="60"/>
  <c r="V63" i="60"/>
  <c r="U63" i="60"/>
  <c r="T63" i="60"/>
  <c r="AC62" i="60"/>
  <c r="AB62" i="60"/>
  <c r="AA62" i="60"/>
  <c r="Z62" i="60"/>
  <c r="Y62" i="60"/>
  <c r="X62" i="60"/>
  <c r="W62" i="60"/>
  <c r="V62" i="60"/>
  <c r="U62" i="60"/>
  <c r="T62" i="60"/>
  <c r="AC61" i="60"/>
  <c r="AB61" i="60"/>
  <c r="AA61" i="60"/>
  <c r="Z61" i="60"/>
  <c r="Y61" i="60"/>
  <c r="X61" i="60"/>
  <c r="W61" i="60"/>
  <c r="V61" i="60"/>
  <c r="U61" i="60"/>
  <c r="T61" i="60"/>
  <c r="AC60" i="60"/>
  <c r="AB60" i="60"/>
  <c r="AA60" i="60"/>
  <c r="Z60" i="60"/>
  <c r="Y60" i="60"/>
  <c r="X60" i="60"/>
  <c r="W60" i="60"/>
  <c r="V60" i="60"/>
  <c r="U60" i="60"/>
  <c r="T60" i="60"/>
  <c r="AC59" i="60"/>
  <c r="AB59" i="60"/>
  <c r="AA59" i="60"/>
  <c r="Z59" i="60"/>
  <c r="Y59" i="60"/>
  <c r="X59" i="60"/>
  <c r="W59" i="60"/>
  <c r="V59" i="60"/>
  <c r="U59" i="60"/>
  <c r="AC58" i="60"/>
  <c r="AB58" i="60"/>
  <c r="AA58" i="60"/>
  <c r="Z58" i="60"/>
  <c r="Y58" i="60"/>
  <c r="X58" i="60"/>
  <c r="W58" i="60"/>
  <c r="V58" i="60"/>
  <c r="U58" i="60"/>
  <c r="T58" i="60"/>
  <c r="AC57" i="60"/>
  <c r="AB57" i="60"/>
  <c r="AA57" i="60"/>
  <c r="Z57" i="60"/>
  <c r="Y57" i="60"/>
  <c r="X57" i="60"/>
  <c r="W57" i="60"/>
  <c r="V57" i="60"/>
  <c r="U57" i="60"/>
  <c r="T57" i="60"/>
  <c r="AC56" i="60"/>
  <c r="AB56" i="60"/>
  <c r="AA56" i="60"/>
  <c r="Z56" i="60"/>
  <c r="Y56" i="60"/>
  <c r="X56" i="60"/>
  <c r="W56" i="60"/>
  <c r="V56" i="60"/>
  <c r="U56" i="60"/>
  <c r="T56" i="60"/>
  <c r="AC55" i="60"/>
  <c r="AB55" i="60"/>
  <c r="AA55" i="60"/>
  <c r="Z55" i="60"/>
  <c r="Y55" i="60"/>
  <c r="X55" i="60"/>
  <c r="W55" i="60"/>
  <c r="U55" i="60"/>
  <c r="T55" i="60"/>
  <c r="AC54" i="60"/>
  <c r="AB54" i="60"/>
  <c r="AA54" i="60"/>
  <c r="Z54" i="60"/>
  <c r="Y54" i="60"/>
  <c r="X54" i="60"/>
  <c r="W54" i="60"/>
  <c r="V54" i="60"/>
  <c r="U54" i="60"/>
  <c r="T54" i="60"/>
  <c r="AC53" i="60"/>
  <c r="AB53" i="60"/>
  <c r="AA53" i="60"/>
  <c r="Z53" i="60"/>
  <c r="Y53" i="60"/>
  <c r="X53" i="60"/>
  <c r="W53" i="60"/>
  <c r="V53" i="60"/>
  <c r="U53" i="60"/>
  <c r="T53" i="60"/>
  <c r="AC52" i="60"/>
  <c r="AB52" i="60"/>
  <c r="AA52" i="60"/>
  <c r="Z52" i="60"/>
  <c r="Y52" i="60"/>
  <c r="X52" i="60"/>
  <c r="W52" i="60"/>
  <c r="V52" i="60"/>
  <c r="U52" i="60"/>
  <c r="T52" i="60"/>
  <c r="AC51" i="60"/>
  <c r="AB51" i="60"/>
  <c r="AA51" i="60"/>
  <c r="Z51" i="60"/>
  <c r="Y51" i="60"/>
  <c r="X51" i="60"/>
  <c r="W51" i="60"/>
  <c r="V51" i="60"/>
  <c r="U51" i="60"/>
  <c r="AC50" i="60"/>
  <c r="AB50" i="60"/>
  <c r="AA50" i="60"/>
  <c r="Z50" i="60"/>
  <c r="Y50" i="60"/>
  <c r="X50" i="60"/>
  <c r="W50" i="60"/>
  <c r="V50" i="60"/>
  <c r="U50" i="60"/>
  <c r="T50" i="60"/>
  <c r="AC49" i="60"/>
  <c r="AB49" i="60"/>
  <c r="AA49" i="60"/>
  <c r="Z49" i="60"/>
  <c r="Y49" i="60"/>
  <c r="X49" i="60"/>
  <c r="W49" i="60"/>
  <c r="V49" i="60"/>
  <c r="U49" i="60"/>
  <c r="T49" i="60"/>
  <c r="AC48" i="60"/>
  <c r="AB48" i="60"/>
  <c r="AA48" i="60"/>
  <c r="Z48" i="60"/>
  <c r="Y48" i="60"/>
  <c r="X48" i="60"/>
  <c r="W48" i="60"/>
  <c r="V48" i="60"/>
  <c r="T48" i="60"/>
  <c r="AC47" i="60"/>
  <c r="AB47" i="60"/>
  <c r="AA47" i="60"/>
  <c r="Z47" i="60"/>
  <c r="Y47" i="60"/>
  <c r="X47" i="60"/>
  <c r="W47" i="60"/>
  <c r="V47" i="60"/>
  <c r="U47" i="60"/>
  <c r="T47" i="60"/>
  <c r="AC46" i="60"/>
  <c r="AB46" i="60"/>
  <c r="AA46" i="60"/>
  <c r="Z46" i="60"/>
  <c r="Y46" i="60"/>
  <c r="X46" i="60"/>
  <c r="W46" i="60"/>
  <c r="V46" i="60"/>
  <c r="U46" i="60"/>
  <c r="T46" i="60"/>
  <c r="AC45" i="60"/>
  <c r="AB45" i="60"/>
  <c r="AA45" i="60"/>
  <c r="Z45" i="60"/>
  <c r="Y45" i="60"/>
  <c r="X45" i="60"/>
  <c r="W45" i="60"/>
  <c r="V45" i="60"/>
  <c r="U45" i="60"/>
  <c r="T45" i="60"/>
  <c r="AC44" i="60"/>
  <c r="AB44" i="60"/>
  <c r="AA44" i="60"/>
  <c r="Z44" i="60"/>
  <c r="Y44" i="60"/>
  <c r="X44" i="60"/>
  <c r="W44" i="60"/>
  <c r="V44" i="60"/>
  <c r="U44" i="60"/>
  <c r="T44" i="60"/>
  <c r="AC43" i="60"/>
  <c r="AB43" i="60"/>
  <c r="AA43" i="60"/>
  <c r="Z43" i="60"/>
  <c r="Y43" i="60"/>
  <c r="X43" i="60"/>
  <c r="W43" i="60"/>
  <c r="V43" i="60"/>
  <c r="U43" i="60"/>
  <c r="T43" i="60"/>
  <c r="AC42" i="60"/>
  <c r="AB42" i="60"/>
  <c r="AA42" i="60"/>
  <c r="Z42" i="60"/>
  <c r="Y42" i="60"/>
  <c r="X42" i="60"/>
  <c r="W42" i="60"/>
  <c r="V42" i="60"/>
  <c r="U42" i="60"/>
  <c r="T42" i="60"/>
  <c r="AC41" i="60"/>
  <c r="AB41" i="60"/>
  <c r="AA41" i="60"/>
  <c r="Z41" i="60"/>
  <c r="Y41" i="60"/>
  <c r="X41" i="60"/>
  <c r="W41" i="60"/>
  <c r="V41" i="60"/>
  <c r="U41" i="60"/>
  <c r="T41" i="60"/>
  <c r="AC40" i="60"/>
  <c r="AB40" i="60"/>
  <c r="AA40" i="60"/>
  <c r="Z40" i="60"/>
  <c r="Y40" i="60"/>
  <c r="X40" i="60"/>
  <c r="W40" i="60"/>
  <c r="V40" i="60"/>
  <c r="U40" i="60"/>
  <c r="T40" i="60"/>
  <c r="AC39" i="60"/>
  <c r="AB39" i="60"/>
  <c r="AA39" i="60"/>
  <c r="Z39" i="60"/>
  <c r="Y39" i="60"/>
  <c r="X39" i="60"/>
  <c r="W39" i="60"/>
  <c r="V39" i="60"/>
  <c r="U39" i="60"/>
  <c r="T39" i="60"/>
  <c r="AC38" i="60"/>
  <c r="AB38" i="60"/>
  <c r="AA38" i="60"/>
  <c r="Z38" i="60"/>
  <c r="X38" i="60"/>
  <c r="V38" i="60"/>
  <c r="T38" i="60"/>
  <c r="AC37" i="60"/>
  <c r="AB37" i="60"/>
  <c r="AA37" i="60"/>
  <c r="Z37" i="60"/>
  <c r="Y37" i="60"/>
  <c r="X37" i="60"/>
  <c r="W37" i="60"/>
  <c r="V37" i="60"/>
  <c r="U37" i="60"/>
  <c r="T37" i="60"/>
  <c r="AC36" i="60"/>
  <c r="AB36" i="60"/>
  <c r="AA36" i="60"/>
  <c r="Z36" i="60"/>
  <c r="Y36" i="60"/>
  <c r="X36" i="60"/>
  <c r="W36" i="60"/>
  <c r="V36" i="60"/>
  <c r="U36" i="60"/>
  <c r="T36" i="60"/>
  <c r="AC35" i="60"/>
  <c r="AB35" i="60"/>
  <c r="AA35" i="60"/>
  <c r="Z35" i="60"/>
  <c r="Y35" i="60"/>
  <c r="X35" i="60"/>
  <c r="W35" i="60"/>
  <c r="V35" i="60"/>
  <c r="U35" i="60"/>
  <c r="T35" i="60"/>
  <c r="AC34" i="60"/>
  <c r="AB34" i="60"/>
  <c r="AA34" i="60"/>
  <c r="Z34" i="60"/>
  <c r="Y34" i="60"/>
  <c r="X34" i="60"/>
  <c r="W34" i="60"/>
  <c r="V34" i="60"/>
  <c r="U34" i="60"/>
  <c r="T34" i="60"/>
  <c r="AC33" i="60"/>
  <c r="AB33" i="60"/>
  <c r="AA33" i="60"/>
  <c r="Z33" i="60"/>
  <c r="Y33" i="60"/>
  <c r="X33" i="60"/>
  <c r="W33" i="60"/>
  <c r="U33" i="60"/>
  <c r="T33" i="60"/>
  <c r="AC32" i="60"/>
  <c r="AB32" i="60"/>
  <c r="AA32" i="60"/>
  <c r="Z32" i="60"/>
  <c r="Y32" i="60"/>
  <c r="X32" i="60"/>
  <c r="W32" i="60"/>
  <c r="V32" i="60"/>
  <c r="U32" i="60"/>
  <c r="T32" i="60"/>
  <c r="AC31" i="60"/>
  <c r="AB31" i="60"/>
  <c r="AA31" i="60"/>
  <c r="Z31" i="60"/>
  <c r="Y31" i="60"/>
  <c r="X31" i="60"/>
  <c r="W31" i="60"/>
  <c r="V31" i="60"/>
  <c r="U31" i="60"/>
  <c r="T31" i="60"/>
  <c r="AC30" i="60"/>
  <c r="AB30" i="60"/>
  <c r="AA30" i="60"/>
  <c r="Z30" i="60"/>
  <c r="Y30" i="60"/>
  <c r="X30" i="60"/>
  <c r="W30" i="60"/>
  <c r="V30" i="60"/>
  <c r="U30" i="60"/>
  <c r="T30" i="60"/>
  <c r="AC29" i="60"/>
  <c r="AB29" i="60"/>
  <c r="AA29" i="60"/>
  <c r="Z29" i="60"/>
  <c r="Y29" i="60"/>
  <c r="X29" i="60"/>
  <c r="W29" i="60"/>
  <c r="V29" i="60"/>
  <c r="U29" i="60"/>
  <c r="T29" i="60"/>
  <c r="AC28" i="60"/>
  <c r="AB28" i="60"/>
  <c r="AA28" i="60"/>
  <c r="Z28" i="60"/>
  <c r="Y28" i="60"/>
  <c r="X28" i="60"/>
  <c r="W28" i="60"/>
  <c r="V28" i="60"/>
  <c r="U28" i="60"/>
  <c r="T28" i="60"/>
  <c r="F23" i="60"/>
  <c r="U23" i="60" s="1"/>
  <c r="G23" i="60"/>
  <c r="V23" i="60" s="1"/>
  <c r="H23" i="60"/>
  <c r="W23" i="60" s="1"/>
  <c r="I23" i="60"/>
  <c r="X23" i="60" s="1"/>
  <c r="J23" i="60"/>
  <c r="Y23" i="60" s="1"/>
  <c r="K23" i="60"/>
  <c r="Z23" i="60" s="1"/>
  <c r="L23" i="60"/>
  <c r="AA23" i="60" s="1"/>
  <c r="M23" i="60"/>
  <c r="AB23" i="60" s="1"/>
  <c r="N23" i="60"/>
  <c r="AC23" i="60" s="1"/>
  <c r="H24" i="60"/>
  <c r="W24" i="60" s="1"/>
  <c r="I24" i="60"/>
  <c r="X24" i="60" s="1"/>
  <c r="J24" i="60"/>
  <c r="Y24" i="60" s="1"/>
  <c r="K24" i="60"/>
  <c r="Z24" i="60" s="1"/>
  <c r="L24" i="60"/>
  <c r="AA24" i="60" s="1"/>
  <c r="M24" i="60"/>
  <c r="AB24" i="60" s="1"/>
  <c r="N24" i="60"/>
  <c r="AC24" i="60" s="1"/>
  <c r="I25" i="60"/>
  <c r="X25" i="60" s="1"/>
  <c r="K25" i="60"/>
  <c r="Z25" i="60" s="1"/>
  <c r="L25" i="60"/>
  <c r="AA25" i="60" s="1"/>
  <c r="M25" i="60"/>
  <c r="AB25" i="60" s="1"/>
  <c r="N25" i="60"/>
  <c r="AC25" i="60" s="1"/>
  <c r="F26" i="60"/>
  <c r="U26" i="60" s="1"/>
  <c r="G26" i="60"/>
  <c r="V26" i="60" s="1"/>
  <c r="H26" i="60"/>
  <c r="W26" i="60" s="1"/>
  <c r="I26" i="60"/>
  <c r="X26" i="60" s="1"/>
  <c r="J26" i="60"/>
  <c r="Y26" i="60" s="1"/>
  <c r="K26" i="60"/>
  <c r="Z26" i="60" s="1"/>
  <c r="L26" i="60"/>
  <c r="AA26" i="60" s="1"/>
  <c r="M26" i="60"/>
  <c r="AB26" i="60" s="1"/>
  <c r="N26" i="60"/>
  <c r="AC26" i="60" s="1"/>
  <c r="F27" i="60"/>
  <c r="U27" i="60" s="1"/>
  <c r="G27" i="60"/>
  <c r="V27" i="60" s="1"/>
  <c r="H27" i="60"/>
  <c r="W27" i="60" s="1"/>
  <c r="I27" i="60"/>
  <c r="X27" i="60" s="1"/>
  <c r="J27" i="60"/>
  <c r="Y27" i="60" s="1"/>
  <c r="K27" i="60"/>
  <c r="Z27" i="60" s="1"/>
  <c r="L27" i="60"/>
  <c r="AA27" i="60" s="1"/>
  <c r="M27" i="60"/>
  <c r="AB27" i="60" s="1"/>
  <c r="N27" i="60"/>
  <c r="AC27" i="60" s="1"/>
  <c r="E27" i="60"/>
  <c r="T27" i="60" s="1"/>
  <c r="E26" i="60"/>
  <c r="T26" i="60" s="1"/>
  <c r="E24" i="60"/>
  <c r="T24" i="60" s="1"/>
  <c r="E23" i="60"/>
  <c r="T23" i="60" s="1"/>
  <c r="F22" i="60"/>
  <c r="U22" i="60" s="1"/>
  <c r="G22" i="60"/>
  <c r="V22" i="60" s="1"/>
  <c r="H22" i="60"/>
  <c r="W22" i="60" s="1"/>
  <c r="I22" i="60"/>
  <c r="X22" i="60" s="1"/>
  <c r="J22" i="60"/>
  <c r="Y22" i="60" s="1"/>
  <c r="K22" i="60"/>
  <c r="Z22" i="60" s="1"/>
  <c r="L22" i="60"/>
  <c r="AA22" i="60" s="1"/>
  <c r="M22" i="60"/>
  <c r="AB22" i="60" s="1"/>
  <c r="N22" i="60"/>
  <c r="AC22" i="60" s="1"/>
  <c r="E22" i="60"/>
  <c r="T22" i="60" s="1"/>
  <c r="F15" i="60"/>
  <c r="U15" i="60" s="1"/>
  <c r="G15" i="60"/>
  <c r="V15" i="60" s="1"/>
  <c r="H15" i="60"/>
  <c r="W15" i="60" s="1"/>
  <c r="I15" i="60"/>
  <c r="X15" i="60" s="1"/>
  <c r="J15" i="60"/>
  <c r="Y15" i="60" s="1"/>
  <c r="K15" i="60"/>
  <c r="Z15" i="60" s="1"/>
  <c r="L15" i="60"/>
  <c r="AA15" i="60" s="1"/>
  <c r="M15" i="60"/>
  <c r="AB15" i="60" s="1"/>
  <c r="N15" i="60"/>
  <c r="AC15" i="60" s="1"/>
  <c r="F16" i="60"/>
  <c r="U16" i="60" s="1"/>
  <c r="G16" i="60"/>
  <c r="V16" i="60" s="1"/>
  <c r="H16" i="60"/>
  <c r="W16" i="60" s="1"/>
  <c r="I16" i="60"/>
  <c r="X16" i="60" s="1"/>
  <c r="J16" i="60"/>
  <c r="Y16" i="60" s="1"/>
  <c r="K16" i="60"/>
  <c r="Z16" i="60" s="1"/>
  <c r="L16" i="60"/>
  <c r="AA16" i="60" s="1"/>
  <c r="M16" i="60"/>
  <c r="AB16" i="60" s="1"/>
  <c r="N16" i="60"/>
  <c r="AC16" i="60" s="1"/>
  <c r="F17" i="60"/>
  <c r="U17" i="60" s="1"/>
  <c r="G17" i="60"/>
  <c r="V17" i="60" s="1"/>
  <c r="H17" i="60"/>
  <c r="W17" i="60" s="1"/>
  <c r="I17" i="60"/>
  <c r="X17" i="60" s="1"/>
  <c r="J17" i="60"/>
  <c r="Y17" i="60" s="1"/>
  <c r="K17" i="60"/>
  <c r="Z17" i="60" s="1"/>
  <c r="L17" i="60"/>
  <c r="AA17" i="60" s="1"/>
  <c r="M17" i="60"/>
  <c r="AB17" i="60" s="1"/>
  <c r="N17" i="60"/>
  <c r="AC17" i="60" s="1"/>
  <c r="H18" i="60"/>
  <c r="W18" i="60" s="1"/>
  <c r="I18" i="60"/>
  <c r="X18" i="60" s="1"/>
  <c r="J18" i="60"/>
  <c r="Y18" i="60" s="1"/>
  <c r="K18" i="60"/>
  <c r="Z18" i="60" s="1"/>
  <c r="L18" i="60"/>
  <c r="AA18" i="60" s="1"/>
  <c r="M18" i="60"/>
  <c r="AB18" i="60" s="1"/>
  <c r="N18" i="60"/>
  <c r="AC18" i="60" s="1"/>
  <c r="G19" i="60"/>
  <c r="V19" i="60" s="1"/>
  <c r="H19" i="60"/>
  <c r="W19" i="60" s="1"/>
  <c r="J19" i="60"/>
  <c r="Y19" i="60" s="1"/>
  <c r="K19" i="60"/>
  <c r="Z19" i="60" s="1"/>
  <c r="L19" i="60"/>
  <c r="AA19" i="60" s="1"/>
  <c r="M19" i="60"/>
  <c r="AB19" i="60" s="1"/>
  <c r="N19" i="60"/>
  <c r="AC19" i="60" s="1"/>
  <c r="F20" i="60"/>
  <c r="U20" i="60" s="1"/>
  <c r="G20" i="60"/>
  <c r="V20" i="60" s="1"/>
  <c r="H20" i="60"/>
  <c r="W20" i="60" s="1"/>
  <c r="I20" i="60"/>
  <c r="X20" i="60" s="1"/>
  <c r="J20" i="60"/>
  <c r="Y20" i="60" s="1"/>
  <c r="K20" i="60"/>
  <c r="Z20" i="60" s="1"/>
  <c r="L20" i="60"/>
  <c r="AA20" i="60" s="1"/>
  <c r="M20" i="60"/>
  <c r="AB20" i="60" s="1"/>
  <c r="N20" i="60"/>
  <c r="AC20" i="60" s="1"/>
  <c r="F21" i="60"/>
  <c r="U21" i="60" s="1"/>
  <c r="G21" i="60"/>
  <c r="V21" i="60" s="1"/>
  <c r="H21" i="60"/>
  <c r="W21" i="60" s="1"/>
  <c r="J21" i="60"/>
  <c r="Y21" i="60" s="1"/>
  <c r="K21" i="60"/>
  <c r="Z21" i="60" s="1"/>
  <c r="L21" i="60"/>
  <c r="AA21" i="60" s="1"/>
  <c r="M21" i="60"/>
  <c r="AB21" i="60" s="1"/>
  <c r="N21" i="60"/>
  <c r="AC21" i="60" s="1"/>
  <c r="E21" i="60"/>
  <c r="T21" i="60" s="1"/>
  <c r="E20" i="60"/>
  <c r="T20" i="60" s="1"/>
  <c r="E19" i="60"/>
  <c r="T19" i="60" s="1"/>
  <c r="E18" i="60"/>
  <c r="T18" i="60" s="1"/>
  <c r="E17" i="60"/>
  <c r="T17" i="60" s="1"/>
  <c r="E16" i="60"/>
  <c r="T16" i="60" s="1"/>
  <c r="V7" i="60"/>
  <c r="W7" i="60"/>
  <c r="X7" i="60"/>
  <c r="Y7" i="60"/>
  <c r="Z7" i="60"/>
  <c r="AA7" i="60"/>
  <c r="AB7" i="60"/>
  <c r="AC7" i="60"/>
  <c r="F8" i="60"/>
  <c r="U8" i="60" s="1"/>
  <c r="G8" i="60"/>
  <c r="V8" i="60" s="1"/>
  <c r="H8" i="60"/>
  <c r="W8" i="60" s="1"/>
  <c r="I8" i="60"/>
  <c r="X8" i="60" s="1"/>
  <c r="J8" i="60"/>
  <c r="Y8" i="60" s="1"/>
  <c r="K8" i="60"/>
  <c r="Z8" i="60" s="1"/>
  <c r="L8" i="60"/>
  <c r="AA8" i="60" s="1"/>
  <c r="M8" i="60"/>
  <c r="AB8" i="60" s="1"/>
  <c r="N8" i="60"/>
  <c r="AC8" i="60" s="1"/>
  <c r="F9" i="60"/>
  <c r="U9" i="60" s="1"/>
  <c r="G9" i="60"/>
  <c r="V9" i="60" s="1"/>
  <c r="H9" i="60"/>
  <c r="W9" i="60" s="1"/>
  <c r="I9" i="60"/>
  <c r="X9" i="60" s="1"/>
  <c r="J9" i="60"/>
  <c r="Y9" i="60" s="1"/>
  <c r="K9" i="60"/>
  <c r="Z9" i="60" s="1"/>
  <c r="L9" i="60"/>
  <c r="AA9" i="60" s="1"/>
  <c r="M9" i="60"/>
  <c r="AB9" i="60" s="1"/>
  <c r="N9" i="60"/>
  <c r="AC9" i="60" s="1"/>
  <c r="F10" i="60"/>
  <c r="U10" i="60" s="1"/>
  <c r="G10" i="60"/>
  <c r="V10" i="60" s="1"/>
  <c r="H10" i="60"/>
  <c r="W10" i="60" s="1"/>
  <c r="I10" i="60"/>
  <c r="X10" i="60" s="1"/>
  <c r="J10" i="60"/>
  <c r="Y10" i="60" s="1"/>
  <c r="K10" i="60"/>
  <c r="Z10" i="60" s="1"/>
  <c r="L10" i="60"/>
  <c r="AA10" i="60" s="1"/>
  <c r="M10" i="60"/>
  <c r="AB10" i="60" s="1"/>
  <c r="N10" i="60"/>
  <c r="AC10" i="60" s="1"/>
  <c r="F11" i="60"/>
  <c r="U11" i="60" s="1"/>
  <c r="G11" i="60"/>
  <c r="V11" i="60" s="1"/>
  <c r="H11" i="60"/>
  <c r="W11" i="60" s="1"/>
  <c r="I11" i="60"/>
  <c r="X11" i="60" s="1"/>
  <c r="J11" i="60"/>
  <c r="Y11" i="60" s="1"/>
  <c r="K11" i="60"/>
  <c r="Z11" i="60" s="1"/>
  <c r="L11" i="60"/>
  <c r="AA11" i="60" s="1"/>
  <c r="M11" i="60"/>
  <c r="AB11" i="60" s="1"/>
  <c r="N11" i="60"/>
  <c r="AC11" i="60" s="1"/>
  <c r="U12" i="60"/>
  <c r="Y12" i="60"/>
  <c r="Z12" i="60"/>
  <c r="AA12" i="60"/>
  <c r="AB12" i="60"/>
  <c r="AC12" i="60"/>
  <c r="G13" i="60"/>
  <c r="V13" i="60" s="1"/>
  <c r="H13" i="60"/>
  <c r="W13" i="60" s="1"/>
  <c r="I13" i="60"/>
  <c r="X13" i="60" s="1"/>
  <c r="J13" i="60"/>
  <c r="Y13" i="60" s="1"/>
  <c r="K13" i="60"/>
  <c r="Z13" i="60" s="1"/>
  <c r="L13" i="60"/>
  <c r="AA13" i="60" s="1"/>
  <c r="M13" i="60"/>
  <c r="AB13" i="60" s="1"/>
  <c r="N13" i="60"/>
  <c r="AC13" i="60" s="1"/>
  <c r="F14" i="60"/>
  <c r="U14" i="60" s="1"/>
  <c r="G14" i="60"/>
  <c r="V14" i="60" s="1"/>
  <c r="H14" i="60"/>
  <c r="W14" i="60" s="1"/>
  <c r="I14" i="60"/>
  <c r="X14" i="60" s="1"/>
  <c r="J14" i="60"/>
  <c r="Y14" i="60" s="1"/>
  <c r="K14" i="60"/>
  <c r="Z14" i="60" s="1"/>
  <c r="L14" i="60"/>
  <c r="AA14" i="60" s="1"/>
  <c r="M14" i="60"/>
  <c r="AB14" i="60" s="1"/>
  <c r="N14" i="60"/>
  <c r="AC14" i="60" s="1"/>
  <c r="E15" i="60"/>
  <c r="T15" i="60" s="1"/>
  <c r="E14" i="60"/>
  <c r="T14" i="60" s="1"/>
  <c r="E11" i="60"/>
  <c r="T11" i="60" s="1"/>
  <c r="E10" i="60"/>
  <c r="T10" i="60" s="1"/>
  <c r="E8" i="60"/>
  <c r="T8" i="60" s="1"/>
  <c r="F6" i="60"/>
  <c r="U6" i="60" s="1"/>
  <c r="G6" i="60"/>
  <c r="V6" i="60" s="1"/>
  <c r="H6" i="60"/>
  <c r="W6" i="60" s="1"/>
  <c r="I6" i="60"/>
  <c r="X6" i="60" s="1"/>
  <c r="J6" i="60"/>
  <c r="Y6" i="60" s="1"/>
  <c r="K6" i="60"/>
  <c r="Z6" i="60" s="1"/>
  <c r="L6" i="60"/>
  <c r="AA6" i="60" s="1"/>
  <c r="M6" i="60"/>
  <c r="AB6" i="60" s="1"/>
  <c r="N6" i="60"/>
  <c r="AC6" i="60" s="1"/>
  <c r="F5" i="60"/>
  <c r="U5" i="60" s="1"/>
  <c r="G5" i="60"/>
  <c r="V5" i="60" s="1"/>
  <c r="H5" i="60"/>
  <c r="W5" i="60" s="1"/>
  <c r="I5" i="60"/>
  <c r="X5" i="60" s="1"/>
  <c r="J5" i="60"/>
  <c r="Y5" i="60" s="1"/>
  <c r="K5" i="60"/>
  <c r="Z5" i="60" s="1"/>
  <c r="L5" i="60"/>
  <c r="AA5" i="60" s="1"/>
  <c r="M5" i="60"/>
  <c r="AB5" i="60" s="1"/>
  <c r="N5" i="60"/>
  <c r="AC5" i="60" s="1"/>
  <c r="E5" i="60"/>
  <c r="T5" i="60" s="1"/>
  <c r="F4" i="60"/>
  <c r="U4" i="60" s="1"/>
  <c r="G4" i="60"/>
  <c r="V4" i="60" s="1"/>
  <c r="H4" i="60"/>
  <c r="W4" i="60" s="1"/>
  <c r="I4" i="60"/>
  <c r="X4" i="60" s="1"/>
  <c r="J4" i="60"/>
  <c r="Y4" i="60" s="1"/>
  <c r="K4" i="60"/>
  <c r="Z4" i="60" s="1"/>
  <c r="L4" i="60"/>
  <c r="AA4" i="60" s="1"/>
  <c r="M4" i="60"/>
  <c r="AB4" i="60" s="1"/>
  <c r="N4" i="60"/>
  <c r="AC4" i="60" s="1"/>
  <c r="E4" i="60"/>
  <c r="T4" i="60" s="1"/>
  <c r="W3" i="60"/>
  <c r="X3" i="60"/>
  <c r="Y3" i="60"/>
  <c r="Z3" i="60"/>
  <c r="AA3" i="60"/>
  <c r="AB3" i="60"/>
  <c r="AC3" i="60"/>
  <c r="W2" i="60"/>
  <c r="X2" i="60"/>
  <c r="Y2" i="60"/>
  <c r="Z2" i="60"/>
  <c r="AA2" i="60"/>
  <c r="AB2" i="60"/>
  <c r="AC2" i="60"/>
  <c r="U2" i="60"/>
  <c r="D210" i="60" l="1"/>
  <c r="M106" i="60"/>
  <c r="AB106" i="60" s="1"/>
  <c r="I106" i="60"/>
  <c r="X106" i="60" s="1"/>
  <c r="L106" i="60"/>
  <c r="AA106" i="60" s="1"/>
  <c r="H106" i="60"/>
  <c r="K106" i="60"/>
  <c r="N106" i="60"/>
  <c r="J106" i="60"/>
  <c r="Y106" i="60" s="1"/>
  <c r="F106" i="60"/>
  <c r="U106" i="60" s="1"/>
  <c r="M108" i="60"/>
  <c r="AB108" i="60" s="1"/>
  <c r="I108" i="60"/>
  <c r="X108" i="60" s="1"/>
  <c r="E108" i="60"/>
  <c r="T108" i="60" s="1"/>
  <c r="L108" i="60"/>
  <c r="AA108" i="60" s="1"/>
  <c r="H108" i="60"/>
  <c r="W108" i="60" s="1"/>
  <c r="K108" i="60"/>
  <c r="Z108" i="60" s="1"/>
  <c r="G108" i="60"/>
  <c r="V108" i="60" s="1"/>
  <c r="J108" i="60"/>
  <c r="Y108" i="60" s="1"/>
  <c r="F108" i="60"/>
  <c r="U108" i="60" s="1"/>
  <c r="N108" i="60"/>
  <c r="AC108" i="60" s="1"/>
  <c r="M128" i="60"/>
  <c r="I128" i="60"/>
  <c r="E128" i="60"/>
  <c r="L128" i="60"/>
  <c r="H128" i="60"/>
  <c r="W128" i="60" s="1"/>
  <c r="K128" i="60"/>
  <c r="G128" i="60"/>
  <c r="N128" i="60"/>
  <c r="AC128" i="60" s="1"/>
  <c r="J128" i="60"/>
  <c r="M124" i="60"/>
  <c r="AB124" i="60" s="1"/>
  <c r="I124" i="60"/>
  <c r="X124" i="60" s="1"/>
  <c r="E124" i="60"/>
  <c r="L124" i="60"/>
  <c r="AA124" i="60" s="1"/>
  <c r="H124" i="60"/>
  <c r="W124" i="60" s="1"/>
  <c r="K124" i="60"/>
  <c r="Z124" i="60" s="1"/>
  <c r="G124" i="60"/>
  <c r="J124" i="60"/>
  <c r="Y124" i="60" s="1"/>
  <c r="F124" i="60"/>
  <c r="U124" i="60" s="1"/>
  <c r="N124" i="60"/>
  <c r="AC124" i="60" s="1"/>
  <c r="M120" i="60"/>
  <c r="AB120" i="60" s="1"/>
  <c r="I120" i="60"/>
  <c r="X120" i="60" s="1"/>
  <c r="E120" i="60"/>
  <c r="T120" i="60" s="1"/>
  <c r="L120" i="60"/>
  <c r="AA120" i="60" s="1"/>
  <c r="H120" i="60"/>
  <c r="W120" i="60" s="1"/>
  <c r="K120" i="60"/>
  <c r="Z120" i="60" s="1"/>
  <c r="G120" i="60"/>
  <c r="V120" i="60" s="1"/>
  <c r="N120" i="60"/>
  <c r="AC120" i="60" s="1"/>
  <c r="J120" i="60"/>
  <c r="Y120" i="60" s="1"/>
  <c r="F120" i="60"/>
  <c r="U120" i="60" s="1"/>
  <c r="M116" i="60"/>
  <c r="AB116" i="60" s="1"/>
  <c r="I116" i="60"/>
  <c r="X116" i="60" s="1"/>
  <c r="E116" i="60"/>
  <c r="T116" i="60" s="1"/>
  <c r="L116" i="60"/>
  <c r="AA116" i="60" s="1"/>
  <c r="H116" i="60"/>
  <c r="W116" i="60" s="1"/>
  <c r="K116" i="60"/>
  <c r="G116" i="60"/>
  <c r="J116" i="60"/>
  <c r="Y116" i="60" s="1"/>
  <c r="F116" i="60"/>
  <c r="U116" i="60" s="1"/>
  <c r="N116" i="60"/>
  <c r="AC116" i="60" s="1"/>
  <c r="M112" i="60"/>
  <c r="AB112" i="60" s="1"/>
  <c r="I112" i="60"/>
  <c r="X112" i="60" s="1"/>
  <c r="E112" i="60"/>
  <c r="T112" i="60" s="1"/>
  <c r="L112" i="60"/>
  <c r="AA112" i="60" s="1"/>
  <c r="H112" i="60"/>
  <c r="W112" i="60" s="1"/>
  <c r="K112" i="60"/>
  <c r="Z112" i="60" s="1"/>
  <c r="G112" i="60"/>
  <c r="V112" i="60" s="1"/>
  <c r="N112" i="60"/>
  <c r="AC112" i="60" s="1"/>
  <c r="F112" i="60"/>
  <c r="U112" i="60" s="1"/>
  <c r="J112" i="60"/>
  <c r="Y112" i="60" s="1"/>
  <c r="L208" i="60"/>
  <c r="AA208" i="60" s="1"/>
  <c r="H208" i="60"/>
  <c r="W208" i="60" s="1"/>
  <c r="K208" i="60"/>
  <c r="G208" i="60"/>
  <c r="V208" i="60" s="1"/>
  <c r="N208" i="60"/>
  <c r="AC208" i="60" s="1"/>
  <c r="J208" i="60"/>
  <c r="F208" i="60"/>
  <c r="U208" i="60" s="1"/>
  <c r="E208" i="60"/>
  <c r="M208" i="60"/>
  <c r="AB208" i="60" s="1"/>
  <c r="I208" i="60"/>
  <c r="X208" i="60" s="1"/>
  <c r="L206" i="60"/>
  <c r="AA206" i="60" s="1"/>
  <c r="H206" i="60"/>
  <c r="W206" i="60" s="1"/>
  <c r="K206" i="60"/>
  <c r="Z206" i="60" s="1"/>
  <c r="G206" i="60"/>
  <c r="N206" i="60"/>
  <c r="AC206" i="60" s="1"/>
  <c r="J206" i="60"/>
  <c r="I206" i="60"/>
  <c r="X206" i="60" s="1"/>
  <c r="E206" i="60"/>
  <c r="T206" i="60" s="1"/>
  <c r="M206" i="60"/>
  <c r="AB206" i="60" s="1"/>
  <c r="L204" i="60"/>
  <c r="H204" i="60"/>
  <c r="K204" i="60"/>
  <c r="Z204" i="60" s="1"/>
  <c r="G204" i="60"/>
  <c r="V204" i="60" s="1"/>
  <c r="N204" i="60"/>
  <c r="AC204" i="60" s="1"/>
  <c r="J204" i="60"/>
  <c r="Y204" i="60" s="1"/>
  <c r="F204" i="60"/>
  <c r="U204" i="60" s="1"/>
  <c r="M204" i="60"/>
  <c r="AB204" i="60" s="1"/>
  <c r="I204" i="60"/>
  <c r="X204" i="60" s="1"/>
  <c r="E204" i="60"/>
  <c r="T204" i="60" s="1"/>
  <c r="L202" i="60"/>
  <c r="AA202" i="60" s="1"/>
  <c r="H202" i="60"/>
  <c r="W202" i="60" s="1"/>
  <c r="K202" i="60"/>
  <c r="Z202" i="60" s="1"/>
  <c r="N202" i="60"/>
  <c r="AC202" i="60" s="1"/>
  <c r="J202" i="60"/>
  <c r="Y202" i="60" s="1"/>
  <c r="F202" i="60"/>
  <c r="M202" i="60"/>
  <c r="AB202" i="60" s="1"/>
  <c r="I202" i="60"/>
  <c r="X202" i="60" s="1"/>
  <c r="D317" i="60"/>
  <c r="K109" i="60"/>
  <c r="Z109" i="60" s="1"/>
  <c r="G109" i="60"/>
  <c r="N109" i="60"/>
  <c r="AC109" i="60" s="1"/>
  <c r="J109" i="60"/>
  <c r="Y109" i="60" s="1"/>
  <c r="F109" i="60"/>
  <c r="U109" i="60" s="1"/>
  <c r="M109" i="60"/>
  <c r="AB109" i="60" s="1"/>
  <c r="I109" i="60"/>
  <c r="X109" i="60" s="1"/>
  <c r="E109" i="60"/>
  <c r="T109" i="60" s="1"/>
  <c r="L109" i="60"/>
  <c r="AA109" i="60" s="1"/>
  <c r="H109" i="60"/>
  <c r="K129" i="60"/>
  <c r="N129" i="60"/>
  <c r="AC129" i="60" s="1"/>
  <c r="M129" i="60"/>
  <c r="AB129" i="60" s="1"/>
  <c r="I129" i="60"/>
  <c r="L129" i="60"/>
  <c r="AA129" i="60" s="1"/>
  <c r="K125" i="60"/>
  <c r="Z125" i="60" s="1"/>
  <c r="G125" i="60"/>
  <c r="V125" i="60" s="1"/>
  <c r="N125" i="60"/>
  <c r="AC125" i="60" s="1"/>
  <c r="J125" i="60"/>
  <c r="F125" i="60"/>
  <c r="U125" i="60" s="1"/>
  <c r="M125" i="60"/>
  <c r="AB125" i="60" s="1"/>
  <c r="E125" i="60"/>
  <c r="T125" i="60" s="1"/>
  <c r="L125" i="60"/>
  <c r="AA125" i="60" s="1"/>
  <c r="H125" i="60"/>
  <c r="W125" i="60" s="1"/>
  <c r="K121" i="60"/>
  <c r="Z121" i="60" s="1"/>
  <c r="G121" i="60"/>
  <c r="V121" i="60" s="1"/>
  <c r="N121" i="60"/>
  <c r="AC121" i="60" s="1"/>
  <c r="J121" i="60"/>
  <c r="Y121" i="60" s="1"/>
  <c r="F121" i="60"/>
  <c r="U121" i="60" s="1"/>
  <c r="M121" i="60"/>
  <c r="AB121" i="60" s="1"/>
  <c r="I121" i="60"/>
  <c r="X121" i="60" s="1"/>
  <c r="E121" i="60"/>
  <c r="T121" i="60" s="1"/>
  <c r="H121" i="60"/>
  <c r="W121" i="60" s="1"/>
  <c r="L121" i="60"/>
  <c r="AA121" i="60" s="1"/>
  <c r="K117" i="60"/>
  <c r="G117" i="60"/>
  <c r="V117" i="60" s="1"/>
  <c r="N117" i="60"/>
  <c r="AC117" i="60" s="1"/>
  <c r="J117" i="60"/>
  <c r="F117" i="60"/>
  <c r="U117" i="60" s="1"/>
  <c r="M117" i="60"/>
  <c r="AB117" i="60" s="1"/>
  <c r="I117" i="60"/>
  <c r="X117" i="60" s="1"/>
  <c r="E117" i="60"/>
  <c r="T117" i="60" s="1"/>
  <c r="L117" i="60"/>
  <c r="H117" i="60"/>
  <c r="W117" i="60" s="1"/>
  <c r="K113" i="60"/>
  <c r="G113" i="60"/>
  <c r="V113" i="60" s="1"/>
  <c r="N113" i="60"/>
  <c r="AC113" i="60" s="1"/>
  <c r="J113" i="60"/>
  <c r="Y113" i="60" s="1"/>
  <c r="F113" i="60"/>
  <c r="M113" i="60"/>
  <c r="AB113" i="60" s="1"/>
  <c r="I113" i="60"/>
  <c r="X113" i="60" s="1"/>
  <c r="H113" i="60"/>
  <c r="W113" i="60" s="1"/>
  <c r="L113" i="60"/>
  <c r="AA113" i="60" s="1"/>
  <c r="L200" i="60"/>
  <c r="AA200" i="60" s="1"/>
  <c r="H200" i="60"/>
  <c r="K200" i="60"/>
  <c r="Z200" i="60" s="1"/>
  <c r="G200" i="60"/>
  <c r="N200" i="60"/>
  <c r="J200" i="60"/>
  <c r="Y200" i="60" s="1"/>
  <c r="F200" i="60"/>
  <c r="E200" i="60"/>
  <c r="M200" i="60"/>
  <c r="AB200" i="60" s="1"/>
  <c r="I200" i="60"/>
  <c r="X200" i="60" s="1"/>
  <c r="L198" i="60"/>
  <c r="AA198" i="60" s="1"/>
  <c r="H198" i="60"/>
  <c r="W198" i="60" s="1"/>
  <c r="K198" i="60"/>
  <c r="Z198" i="60" s="1"/>
  <c r="G198" i="60"/>
  <c r="V198" i="60" s="1"/>
  <c r="N198" i="60"/>
  <c r="AC198" i="60" s="1"/>
  <c r="J198" i="60"/>
  <c r="Y198" i="60" s="1"/>
  <c r="F198" i="60"/>
  <c r="U198" i="60" s="1"/>
  <c r="I198" i="60"/>
  <c r="X198" i="60" s="1"/>
  <c r="E198" i="60"/>
  <c r="T198" i="60" s="1"/>
  <c r="M198" i="60"/>
  <c r="AB198" i="60" s="1"/>
  <c r="L196" i="60"/>
  <c r="H196" i="60"/>
  <c r="W196" i="60" s="1"/>
  <c r="K196" i="60"/>
  <c r="Z196" i="60" s="1"/>
  <c r="G196" i="60"/>
  <c r="N196" i="60"/>
  <c r="J196" i="60"/>
  <c r="Y196" i="60" s="1"/>
  <c r="F196" i="60"/>
  <c r="U196" i="60" s="1"/>
  <c r="M196" i="60"/>
  <c r="I196" i="60"/>
  <c r="X196" i="60" s="1"/>
  <c r="L194" i="60"/>
  <c r="AA194" i="60" s="1"/>
  <c r="H194" i="60"/>
  <c r="W194" i="60" s="1"/>
  <c r="K194" i="60"/>
  <c r="Z194" i="60" s="1"/>
  <c r="G194" i="60"/>
  <c r="N194" i="60"/>
  <c r="AC194" i="60" s="1"/>
  <c r="J194" i="60"/>
  <c r="F194" i="60"/>
  <c r="U194" i="60" s="1"/>
  <c r="M194" i="60"/>
  <c r="I194" i="60"/>
  <c r="X194" i="60" s="1"/>
  <c r="E194" i="60"/>
  <c r="T194" i="60" s="1"/>
  <c r="L192" i="60"/>
  <c r="AA192" i="60" s="1"/>
  <c r="H192" i="60"/>
  <c r="W192" i="60" s="1"/>
  <c r="K192" i="60"/>
  <c r="Z192" i="60" s="1"/>
  <c r="G192" i="60"/>
  <c r="V192" i="60" s="1"/>
  <c r="N192" i="60"/>
  <c r="AC192" i="60" s="1"/>
  <c r="J192" i="60"/>
  <c r="Y192" i="60" s="1"/>
  <c r="F192" i="60"/>
  <c r="U192" i="60" s="1"/>
  <c r="E192" i="60"/>
  <c r="T192" i="60" s="1"/>
  <c r="M192" i="60"/>
  <c r="AB192" i="60" s="1"/>
  <c r="I192" i="60"/>
  <c r="X192" i="60" s="1"/>
  <c r="L190" i="60"/>
  <c r="AA190" i="60" s="1"/>
  <c r="H190" i="60"/>
  <c r="W190" i="60" s="1"/>
  <c r="K190" i="60"/>
  <c r="Z190" i="60" s="1"/>
  <c r="G190" i="60"/>
  <c r="V190" i="60" s="1"/>
  <c r="N190" i="60"/>
  <c r="AC190" i="60" s="1"/>
  <c r="J190" i="60"/>
  <c r="Y190" i="60" s="1"/>
  <c r="F190" i="60"/>
  <c r="U190" i="60" s="1"/>
  <c r="I190" i="60"/>
  <c r="X190" i="60" s="1"/>
  <c r="E190" i="60"/>
  <c r="T190" i="60" s="1"/>
  <c r="M190" i="60"/>
  <c r="AB190" i="60" s="1"/>
  <c r="L188" i="60"/>
  <c r="AA188" i="60" s="1"/>
  <c r="H188" i="60"/>
  <c r="W188" i="60" s="1"/>
  <c r="K188" i="60"/>
  <c r="Z188" i="60" s="1"/>
  <c r="G188" i="60"/>
  <c r="V188" i="60" s="1"/>
  <c r="N188" i="60"/>
  <c r="AC188" i="60" s="1"/>
  <c r="J188" i="60"/>
  <c r="Y188" i="60" s="1"/>
  <c r="F188" i="60"/>
  <c r="U188" i="60" s="1"/>
  <c r="M188" i="60"/>
  <c r="AB188" i="60" s="1"/>
  <c r="I188" i="60"/>
  <c r="X188" i="60" s="1"/>
  <c r="E188" i="60"/>
  <c r="T188" i="60" s="1"/>
  <c r="L186" i="60"/>
  <c r="AA186" i="60" s="1"/>
  <c r="H186" i="60"/>
  <c r="W186" i="60" s="1"/>
  <c r="K186" i="60"/>
  <c r="Z186" i="60" s="1"/>
  <c r="G186" i="60"/>
  <c r="V186" i="60" s="1"/>
  <c r="N186" i="60"/>
  <c r="AC186" i="60" s="1"/>
  <c r="J186" i="60"/>
  <c r="Y186" i="60" s="1"/>
  <c r="F186" i="60"/>
  <c r="U186" i="60" s="1"/>
  <c r="M186" i="60"/>
  <c r="AB186" i="60" s="1"/>
  <c r="I186" i="60"/>
  <c r="X186" i="60" s="1"/>
  <c r="E186" i="60"/>
  <c r="T186" i="60" s="1"/>
  <c r="D392" i="60"/>
  <c r="L184" i="60"/>
  <c r="H184" i="60"/>
  <c r="W184" i="60" s="1"/>
  <c r="K184" i="60"/>
  <c r="G184" i="60"/>
  <c r="V184" i="60" s="1"/>
  <c r="N184" i="60"/>
  <c r="AC184" i="60" s="1"/>
  <c r="J184" i="60"/>
  <c r="Y184" i="60" s="1"/>
  <c r="E184" i="60"/>
  <c r="T184" i="60" s="1"/>
  <c r="M184" i="60"/>
  <c r="AB184" i="60" s="1"/>
  <c r="I184" i="60"/>
  <c r="X184" i="60" s="1"/>
  <c r="L182" i="60"/>
  <c r="H182" i="60"/>
  <c r="W182" i="60" s="1"/>
  <c r="K182" i="60"/>
  <c r="G182" i="60"/>
  <c r="V182" i="60" s="1"/>
  <c r="N182" i="60"/>
  <c r="AC182" i="60" s="1"/>
  <c r="J182" i="60"/>
  <c r="Y182" i="60" s="1"/>
  <c r="F182" i="60"/>
  <c r="U182" i="60" s="1"/>
  <c r="I182" i="60"/>
  <c r="X182" i="60" s="1"/>
  <c r="E182" i="60"/>
  <c r="M182" i="60"/>
  <c r="AB182" i="60" s="1"/>
  <c r="L180" i="60"/>
  <c r="H180" i="60"/>
  <c r="W180" i="60" s="1"/>
  <c r="K180" i="60"/>
  <c r="Z180" i="60" s="1"/>
  <c r="G180" i="60"/>
  <c r="N180" i="60"/>
  <c r="J180" i="60"/>
  <c r="Y180" i="60" s="1"/>
  <c r="F180" i="60"/>
  <c r="M180" i="60"/>
  <c r="I180" i="60"/>
  <c r="E180" i="60"/>
  <c r="T180" i="60" s="1"/>
  <c r="D386" i="60"/>
  <c r="L178" i="60"/>
  <c r="AA178" i="60" s="1"/>
  <c r="H178" i="60"/>
  <c r="W178" i="60" s="1"/>
  <c r="K178" i="60"/>
  <c r="Z178" i="60" s="1"/>
  <c r="G178" i="60"/>
  <c r="V178" i="60" s="1"/>
  <c r="N178" i="60"/>
  <c r="AC178" i="60" s="1"/>
  <c r="J178" i="60"/>
  <c r="F178" i="60"/>
  <c r="U178" i="60" s="1"/>
  <c r="M178" i="60"/>
  <c r="AB178" i="60" s="1"/>
  <c r="I178" i="60"/>
  <c r="E178" i="60"/>
  <c r="T178" i="60" s="1"/>
  <c r="D280" i="60"/>
  <c r="L176" i="60"/>
  <c r="H176" i="60"/>
  <c r="W176" i="60" s="1"/>
  <c r="K176" i="60"/>
  <c r="Z176" i="60" s="1"/>
  <c r="G176" i="60"/>
  <c r="N176" i="60"/>
  <c r="AC176" i="60" s="1"/>
  <c r="J176" i="60"/>
  <c r="Y176" i="60" s="1"/>
  <c r="E176" i="60"/>
  <c r="M176" i="60"/>
  <c r="AB176" i="60" s="1"/>
  <c r="I176" i="60"/>
  <c r="X176" i="60" s="1"/>
  <c r="D382" i="60"/>
  <c r="L174" i="60"/>
  <c r="AA174" i="60" s="1"/>
  <c r="H174" i="60"/>
  <c r="K174" i="60"/>
  <c r="G174" i="60"/>
  <c r="V174" i="60" s="1"/>
  <c r="N174" i="60"/>
  <c r="AC174" i="60" s="1"/>
  <c r="J174" i="60"/>
  <c r="Y174" i="60" s="1"/>
  <c r="F174" i="60"/>
  <c r="U174" i="60" s="1"/>
  <c r="I174" i="60"/>
  <c r="M174" i="60"/>
  <c r="D276" i="60"/>
  <c r="L172" i="60"/>
  <c r="AA172" i="60" s="1"/>
  <c r="H172" i="60"/>
  <c r="W172" i="60" s="1"/>
  <c r="K172" i="60"/>
  <c r="Z172" i="60" s="1"/>
  <c r="G172" i="60"/>
  <c r="V172" i="60" s="1"/>
  <c r="N172" i="60"/>
  <c r="AC172" i="60" s="1"/>
  <c r="J172" i="60"/>
  <c r="Y172" i="60" s="1"/>
  <c r="F172" i="60"/>
  <c r="U172" i="60" s="1"/>
  <c r="M172" i="60"/>
  <c r="AB172" i="60" s="1"/>
  <c r="I172" i="60"/>
  <c r="X172" i="60" s="1"/>
  <c r="E172" i="60"/>
  <c r="T172" i="60" s="1"/>
  <c r="D378" i="60"/>
  <c r="K170" i="60"/>
  <c r="G170" i="60"/>
  <c r="V170" i="60" s="1"/>
  <c r="N170" i="60"/>
  <c r="J170" i="60"/>
  <c r="Y170" i="60" s="1"/>
  <c r="F170" i="60"/>
  <c r="U170" i="60" s="1"/>
  <c r="L170" i="60"/>
  <c r="AA170" i="60" s="1"/>
  <c r="I170" i="60"/>
  <c r="H170" i="60"/>
  <c r="W170" i="60" s="1"/>
  <c r="M170" i="60"/>
  <c r="AB170" i="60" s="1"/>
  <c r="K168" i="60"/>
  <c r="G168" i="60"/>
  <c r="N168" i="60"/>
  <c r="AC168" i="60" s="1"/>
  <c r="J168" i="60"/>
  <c r="Y168" i="60" s="1"/>
  <c r="F168" i="60"/>
  <c r="U168" i="60" s="1"/>
  <c r="H168" i="60"/>
  <c r="M168" i="60"/>
  <c r="E168" i="60"/>
  <c r="T168" i="60" s="1"/>
  <c r="L168" i="60"/>
  <c r="AA168" i="60" s="1"/>
  <c r="I168" i="60"/>
  <c r="D374" i="60"/>
  <c r="K166" i="60"/>
  <c r="Z166" i="60" s="1"/>
  <c r="G166" i="60"/>
  <c r="V166" i="60" s="1"/>
  <c r="N166" i="60"/>
  <c r="AC166" i="60" s="1"/>
  <c r="J166" i="60"/>
  <c r="Y166" i="60" s="1"/>
  <c r="F166" i="60"/>
  <c r="U166" i="60" s="1"/>
  <c r="L166" i="60"/>
  <c r="AA166" i="60" s="1"/>
  <c r="I166" i="60"/>
  <c r="X166" i="60" s="1"/>
  <c r="H166" i="60"/>
  <c r="W166" i="60" s="1"/>
  <c r="M166" i="60"/>
  <c r="AB166" i="60" s="1"/>
  <c r="E166" i="60"/>
  <c r="T166" i="60" s="1"/>
  <c r="D268" i="60"/>
  <c r="K164" i="60"/>
  <c r="Z164" i="60" s="1"/>
  <c r="G164" i="60"/>
  <c r="V164" i="60" s="1"/>
  <c r="N164" i="60"/>
  <c r="AC164" i="60" s="1"/>
  <c r="J164" i="60"/>
  <c r="Y164" i="60" s="1"/>
  <c r="F164" i="60"/>
  <c r="U164" i="60" s="1"/>
  <c r="H164" i="60"/>
  <c r="W164" i="60" s="1"/>
  <c r="M164" i="60"/>
  <c r="AB164" i="60" s="1"/>
  <c r="E164" i="60"/>
  <c r="T164" i="60" s="1"/>
  <c r="L164" i="60"/>
  <c r="AA164" i="60" s="1"/>
  <c r="I164" i="60"/>
  <c r="X164" i="60" s="1"/>
  <c r="D370" i="60"/>
  <c r="K162" i="60"/>
  <c r="G162" i="60"/>
  <c r="V162" i="60" s="1"/>
  <c r="N162" i="60"/>
  <c r="AC162" i="60" s="1"/>
  <c r="J162" i="60"/>
  <c r="Y162" i="60" s="1"/>
  <c r="F162" i="60"/>
  <c r="L162" i="60"/>
  <c r="AA162" i="60" s="1"/>
  <c r="I162" i="60"/>
  <c r="H162" i="60"/>
  <c r="W162" i="60" s="1"/>
  <c r="E162" i="60"/>
  <c r="M162" i="60"/>
  <c r="D264" i="60"/>
  <c r="K160" i="60"/>
  <c r="Z160" i="60" s="1"/>
  <c r="G160" i="60"/>
  <c r="V160" i="60" s="1"/>
  <c r="N160" i="60"/>
  <c r="AC160" i="60" s="1"/>
  <c r="J160" i="60"/>
  <c r="Y160" i="60" s="1"/>
  <c r="F160" i="60"/>
  <c r="U160" i="60" s="1"/>
  <c r="H160" i="60"/>
  <c r="W160" i="60" s="1"/>
  <c r="M160" i="60"/>
  <c r="AB160" i="60" s="1"/>
  <c r="E160" i="60"/>
  <c r="T160" i="60" s="1"/>
  <c r="L160" i="60"/>
  <c r="AA160" i="60" s="1"/>
  <c r="I160" i="60"/>
  <c r="X160" i="60" s="1"/>
  <c r="D366" i="60"/>
  <c r="K158" i="60"/>
  <c r="Z158" i="60" s="1"/>
  <c r="G158" i="60"/>
  <c r="V158" i="60" s="1"/>
  <c r="N158" i="60"/>
  <c r="AC158" i="60" s="1"/>
  <c r="J158" i="60"/>
  <c r="L158" i="60"/>
  <c r="AA158" i="60" s="1"/>
  <c r="E158" i="60"/>
  <c r="T158" i="60" s="1"/>
  <c r="I158" i="60"/>
  <c r="H158" i="60"/>
  <c r="F158" i="60"/>
  <c r="U158" i="60" s="1"/>
  <c r="M158" i="60"/>
  <c r="D260" i="60"/>
  <c r="M156" i="60"/>
  <c r="I156" i="60"/>
  <c r="X156" i="60" s="1"/>
  <c r="E156" i="60"/>
  <c r="T156" i="60" s="1"/>
  <c r="L156" i="60"/>
  <c r="AA156" i="60" s="1"/>
  <c r="H156" i="60"/>
  <c r="K156" i="60"/>
  <c r="Z156" i="60" s="1"/>
  <c r="G156" i="60"/>
  <c r="V156" i="60" s="1"/>
  <c r="J156" i="60"/>
  <c r="Y156" i="60" s="1"/>
  <c r="N156" i="60"/>
  <c r="AC156" i="60" s="1"/>
  <c r="F156" i="60"/>
  <c r="U156" i="60" s="1"/>
  <c r="D362" i="60"/>
  <c r="M154" i="60"/>
  <c r="I154" i="60"/>
  <c r="E154" i="60"/>
  <c r="L154" i="60"/>
  <c r="AA154" i="60" s="1"/>
  <c r="H154" i="60"/>
  <c r="K154" i="60"/>
  <c r="Z154" i="60" s="1"/>
  <c r="G154" i="60"/>
  <c r="V154" i="60" s="1"/>
  <c r="N154" i="60"/>
  <c r="AC154" i="60" s="1"/>
  <c r="J154" i="60"/>
  <c r="Y154" i="60" s="1"/>
  <c r="F154" i="60"/>
  <c r="D256" i="60"/>
  <c r="M152" i="60"/>
  <c r="AB152" i="60" s="1"/>
  <c r="I152" i="60"/>
  <c r="E152" i="60"/>
  <c r="T152" i="60" s="1"/>
  <c r="L152" i="60"/>
  <c r="AA152" i="60" s="1"/>
  <c r="H152" i="60"/>
  <c r="W152" i="60" s="1"/>
  <c r="K152" i="60"/>
  <c r="G152" i="60"/>
  <c r="V152" i="60" s="1"/>
  <c r="N152" i="60"/>
  <c r="AC152" i="60" s="1"/>
  <c r="J152" i="60"/>
  <c r="Y152" i="60" s="1"/>
  <c r="D358" i="60"/>
  <c r="M150" i="60"/>
  <c r="I150" i="60"/>
  <c r="X150" i="60" s="1"/>
  <c r="E150" i="60"/>
  <c r="T150" i="60" s="1"/>
  <c r="L150" i="60"/>
  <c r="AA150" i="60" s="1"/>
  <c r="H150" i="60"/>
  <c r="W150" i="60" s="1"/>
  <c r="K150" i="60"/>
  <c r="Z150" i="60" s="1"/>
  <c r="G150" i="60"/>
  <c r="V150" i="60" s="1"/>
  <c r="F150" i="60"/>
  <c r="J150" i="60"/>
  <c r="Y150" i="60" s="1"/>
  <c r="N150" i="60"/>
  <c r="AC150" i="60" s="1"/>
  <c r="D252" i="60"/>
  <c r="M148" i="60"/>
  <c r="I148" i="60"/>
  <c r="E148" i="60"/>
  <c r="T148" i="60" s="1"/>
  <c r="L148" i="60"/>
  <c r="AA148" i="60" s="1"/>
  <c r="H148" i="60"/>
  <c r="W148" i="60" s="1"/>
  <c r="K148" i="60"/>
  <c r="Z148" i="60" s="1"/>
  <c r="G148" i="60"/>
  <c r="V148" i="60" s="1"/>
  <c r="J148" i="60"/>
  <c r="Y148" i="60" s="1"/>
  <c r="F148" i="60"/>
  <c r="N148" i="60"/>
  <c r="AC148" i="60" s="1"/>
  <c r="D354" i="60"/>
  <c r="M146" i="60"/>
  <c r="AB146" i="60" s="1"/>
  <c r="I146" i="60"/>
  <c r="X146" i="60" s="1"/>
  <c r="E146" i="60"/>
  <c r="T146" i="60" s="1"/>
  <c r="L146" i="60"/>
  <c r="AA146" i="60" s="1"/>
  <c r="H146" i="60"/>
  <c r="W146" i="60" s="1"/>
  <c r="K146" i="60"/>
  <c r="Z146" i="60" s="1"/>
  <c r="G146" i="60"/>
  <c r="V146" i="60" s="1"/>
  <c r="N146" i="60"/>
  <c r="AC146" i="60" s="1"/>
  <c r="J146" i="60"/>
  <c r="Y146" i="60" s="1"/>
  <c r="F146" i="60"/>
  <c r="U146" i="60" s="1"/>
  <c r="M144" i="60"/>
  <c r="AB144" i="60" s="1"/>
  <c r="I144" i="60"/>
  <c r="E144" i="60"/>
  <c r="L144" i="60"/>
  <c r="H144" i="60"/>
  <c r="W144" i="60" s="1"/>
  <c r="K144" i="60"/>
  <c r="Z144" i="60" s="1"/>
  <c r="G144" i="60"/>
  <c r="V144" i="60" s="1"/>
  <c r="N144" i="60"/>
  <c r="F144" i="60"/>
  <c r="U144" i="60" s="1"/>
  <c r="J144" i="60"/>
  <c r="Y144" i="60" s="1"/>
  <c r="M142" i="60"/>
  <c r="I142" i="60"/>
  <c r="E142" i="60"/>
  <c r="T142" i="60" s="1"/>
  <c r="L142" i="60"/>
  <c r="AA142" i="60" s="1"/>
  <c r="H142" i="60"/>
  <c r="W142" i="60" s="1"/>
  <c r="K142" i="60"/>
  <c r="Z142" i="60" s="1"/>
  <c r="G142" i="60"/>
  <c r="V142" i="60" s="1"/>
  <c r="F142" i="60"/>
  <c r="U142" i="60" s="1"/>
  <c r="N142" i="60"/>
  <c r="AC142" i="60" s="1"/>
  <c r="J142" i="60"/>
  <c r="M140" i="60"/>
  <c r="AB140" i="60" s="1"/>
  <c r="I140" i="60"/>
  <c r="X140" i="60" s="1"/>
  <c r="E140" i="60"/>
  <c r="T140" i="60" s="1"/>
  <c r="L140" i="60"/>
  <c r="AA140" i="60" s="1"/>
  <c r="H140" i="60"/>
  <c r="W140" i="60" s="1"/>
  <c r="K140" i="60"/>
  <c r="Z140" i="60" s="1"/>
  <c r="G140" i="60"/>
  <c r="V140" i="60" s="1"/>
  <c r="J140" i="60"/>
  <c r="Y140" i="60" s="1"/>
  <c r="F140" i="60"/>
  <c r="U140" i="60" s="1"/>
  <c r="N140" i="60"/>
  <c r="AC140" i="60" s="1"/>
  <c r="D346" i="60"/>
  <c r="M138" i="60"/>
  <c r="AB138" i="60" s="1"/>
  <c r="I138" i="60"/>
  <c r="X138" i="60" s="1"/>
  <c r="E138" i="60"/>
  <c r="T138" i="60" s="1"/>
  <c r="L138" i="60"/>
  <c r="AA138" i="60" s="1"/>
  <c r="H138" i="60"/>
  <c r="W138" i="60" s="1"/>
  <c r="K138" i="60"/>
  <c r="Z138" i="60" s="1"/>
  <c r="G138" i="60"/>
  <c r="V138" i="60" s="1"/>
  <c r="N138" i="60"/>
  <c r="AC138" i="60" s="1"/>
  <c r="J138" i="60"/>
  <c r="Y138" i="60" s="1"/>
  <c r="F138" i="60"/>
  <c r="U138" i="60" s="1"/>
  <c r="M136" i="60"/>
  <c r="I136" i="60"/>
  <c r="X136" i="60" s="1"/>
  <c r="E136" i="60"/>
  <c r="L136" i="60"/>
  <c r="AA136" i="60" s="1"/>
  <c r="H136" i="60"/>
  <c r="W136" i="60" s="1"/>
  <c r="K136" i="60"/>
  <c r="Z136" i="60" s="1"/>
  <c r="G136" i="60"/>
  <c r="V136" i="60" s="1"/>
  <c r="N136" i="60"/>
  <c r="AC136" i="60" s="1"/>
  <c r="J136" i="60"/>
  <c r="Y136" i="60" s="1"/>
  <c r="F136" i="60"/>
  <c r="U136" i="60" s="1"/>
  <c r="D342" i="60"/>
  <c r="M134" i="60"/>
  <c r="AB134" i="60" s="1"/>
  <c r="I134" i="60"/>
  <c r="X134" i="60" s="1"/>
  <c r="E134" i="60"/>
  <c r="T134" i="60" s="1"/>
  <c r="L134" i="60"/>
  <c r="AA134" i="60" s="1"/>
  <c r="H134" i="60"/>
  <c r="W134" i="60" s="1"/>
  <c r="K134" i="60"/>
  <c r="Z134" i="60" s="1"/>
  <c r="G134" i="60"/>
  <c r="V134" i="60" s="1"/>
  <c r="F134" i="60"/>
  <c r="U134" i="60" s="1"/>
  <c r="J134" i="60"/>
  <c r="Y134" i="60" s="1"/>
  <c r="N134" i="60"/>
  <c r="AC134" i="60" s="1"/>
  <c r="M132" i="60"/>
  <c r="I132" i="60"/>
  <c r="E132" i="60"/>
  <c r="L132" i="60"/>
  <c r="H132" i="60"/>
  <c r="K132" i="60"/>
  <c r="Z132" i="60" s="1"/>
  <c r="G132" i="60"/>
  <c r="V132" i="60" s="1"/>
  <c r="J132" i="60"/>
  <c r="Y132" i="60" s="1"/>
  <c r="F132" i="60"/>
  <c r="U132" i="60" s="1"/>
  <c r="N132" i="60"/>
  <c r="AC132" i="60" s="1"/>
  <c r="D338" i="60"/>
  <c r="M130" i="60"/>
  <c r="AB130" i="60" s="1"/>
  <c r="I130" i="60"/>
  <c r="X130" i="60" s="1"/>
  <c r="E130" i="60"/>
  <c r="L130" i="60"/>
  <c r="AA130" i="60" s="1"/>
  <c r="H130" i="60"/>
  <c r="W130" i="60" s="1"/>
  <c r="K130" i="60"/>
  <c r="Z130" i="60" s="1"/>
  <c r="G130" i="60"/>
  <c r="V130" i="60" s="1"/>
  <c r="N130" i="60"/>
  <c r="AC130" i="60" s="1"/>
  <c r="J130" i="60"/>
  <c r="F130" i="60"/>
  <c r="U130" i="60" s="1"/>
  <c r="D334" i="60"/>
  <c r="M126" i="60"/>
  <c r="I126" i="60"/>
  <c r="E126" i="60"/>
  <c r="L126" i="60"/>
  <c r="AA126" i="60" s="1"/>
  <c r="H126" i="60"/>
  <c r="W126" i="60" s="1"/>
  <c r="K126" i="60"/>
  <c r="Z126" i="60" s="1"/>
  <c r="G126" i="60"/>
  <c r="F126" i="60"/>
  <c r="U126" i="60" s="1"/>
  <c r="N126" i="60"/>
  <c r="J126" i="60"/>
  <c r="Y126" i="60" s="1"/>
  <c r="D330" i="60"/>
  <c r="M122" i="60"/>
  <c r="AB122" i="60" s="1"/>
  <c r="I122" i="60"/>
  <c r="X122" i="60" s="1"/>
  <c r="E122" i="60"/>
  <c r="T122" i="60" s="1"/>
  <c r="L122" i="60"/>
  <c r="AA122" i="60" s="1"/>
  <c r="H122" i="60"/>
  <c r="W122" i="60" s="1"/>
  <c r="K122" i="60"/>
  <c r="Z122" i="60" s="1"/>
  <c r="G122" i="60"/>
  <c r="V122" i="60" s="1"/>
  <c r="N122" i="60"/>
  <c r="AC122" i="60" s="1"/>
  <c r="J122" i="60"/>
  <c r="D326" i="60"/>
  <c r="M118" i="60"/>
  <c r="I118" i="60"/>
  <c r="X118" i="60" s="1"/>
  <c r="E118" i="60"/>
  <c r="T118" i="60" s="1"/>
  <c r="L118" i="60"/>
  <c r="AA118" i="60" s="1"/>
  <c r="H118" i="60"/>
  <c r="K118" i="60"/>
  <c r="Z118" i="60" s="1"/>
  <c r="G118" i="60"/>
  <c r="V118" i="60" s="1"/>
  <c r="F118" i="60"/>
  <c r="U118" i="60" s="1"/>
  <c r="J118" i="60"/>
  <c r="Y118" i="60" s="1"/>
  <c r="N118" i="60"/>
  <c r="AC118" i="60" s="1"/>
  <c r="D322" i="60"/>
  <c r="D426" i="60" s="1"/>
  <c r="M114" i="60"/>
  <c r="AB114" i="60" s="1"/>
  <c r="I114" i="60"/>
  <c r="X114" i="60" s="1"/>
  <c r="E114" i="60"/>
  <c r="T114" i="60" s="1"/>
  <c r="L114" i="60"/>
  <c r="AA114" i="60" s="1"/>
  <c r="H114" i="60"/>
  <c r="W114" i="60" s="1"/>
  <c r="K114" i="60"/>
  <c r="Z114" i="60" s="1"/>
  <c r="G114" i="60"/>
  <c r="V114" i="60" s="1"/>
  <c r="N114" i="60"/>
  <c r="AC114" i="60" s="1"/>
  <c r="J114" i="60"/>
  <c r="Y114" i="60" s="1"/>
  <c r="F114" i="60"/>
  <c r="U114" i="60" s="1"/>
  <c r="M110" i="60"/>
  <c r="AB110" i="60" s="1"/>
  <c r="I110" i="60"/>
  <c r="X110" i="60" s="1"/>
  <c r="E110" i="60"/>
  <c r="L110" i="60"/>
  <c r="AA110" i="60" s="1"/>
  <c r="H110" i="60"/>
  <c r="W110" i="60" s="1"/>
  <c r="K110" i="60"/>
  <c r="Z110" i="60" s="1"/>
  <c r="G110" i="60"/>
  <c r="F110" i="60"/>
  <c r="N110" i="60"/>
  <c r="AC110" i="60" s="1"/>
  <c r="J110" i="60"/>
  <c r="Y110" i="60" s="1"/>
  <c r="N209" i="60"/>
  <c r="AC209" i="60" s="1"/>
  <c r="J209" i="60"/>
  <c r="Y209" i="60" s="1"/>
  <c r="F209" i="60"/>
  <c r="U209" i="60" s="1"/>
  <c r="M209" i="60"/>
  <c r="AB209" i="60" s="1"/>
  <c r="I209" i="60"/>
  <c r="X209" i="60" s="1"/>
  <c r="E209" i="60"/>
  <c r="T209" i="60" s="1"/>
  <c r="L209" i="60"/>
  <c r="AA209" i="60" s="1"/>
  <c r="H209" i="60"/>
  <c r="W209" i="60" s="1"/>
  <c r="K209" i="60"/>
  <c r="Z209" i="60" s="1"/>
  <c r="G209" i="60"/>
  <c r="V209" i="60" s="1"/>
  <c r="N207" i="60"/>
  <c r="J207" i="60"/>
  <c r="Y207" i="60" s="1"/>
  <c r="F207" i="60"/>
  <c r="U207" i="60" s="1"/>
  <c r="M207" i="60"/>
  <c r="AB207" i="60" s="1"/>
  <c r="E207" i="60"/>
  <c r="T207" i="60" s="1"/>
  <c r="L207" i="60"/>
  <c r="AA207" i="60" s="1"/>
  <c r="H207" i="60"/>
  <c r="W207" i="60" s="1"/>
  <c r="G207" i="60"/>
  <c r="D309" i="60"/>
  <c r="N205" i="60"/>
  <c r="AC205" i="60" s="1"/>
  <c r="J205" i="60"/>
  <c r="Y205" i="60" s="1"/>
  <c r="F205" i="60"/>
  <c r="U205" i="60" s="1"/>
  <c r="M205" i="60"/>
  <c r="AB205" i="60" s="1"/>
  <c r="I205" i="60"/>
  <c r="X205" i="60" s="1"/>
  <c r="E205" i="60"/>
  <c r="L205" i="60"/>
  <c r="AA205" i="60" s="1"/>
  <c r="H205" i="60"/>
  <c r="W205" i="60" s="1"/>
  <c r="K205" i="60"/>
  <c r="Z205" i="60" s="1"/>
  <c r="G205" i="60"/>
  <c r="V205" i="60" s="1"/>
  <c r="N203" i="60"/>
  <c r="AC203" i="60" s="1"/>
  <c r="J203" i="60"/>
  <c r="F203" i="60"/>
  <c r="U203" i="60" s="1"/>
  <c r="M203" i="60"/>
  <c r="I203" i="60"/>
  <c r="X203" i="60" s="1"/>
  <c r="L203" i="60"/>
  <c r="AA203" i="60" s="1"/>
  <c r="G203" i="60"/>
  <c r="V203" i="60" s="1"/>
  <c r="K203" i="60"/>
  <c r="Z203" i="60" s="1"/>
  <c r="N201" i="60"/>
  <c r="J201" i="60"/>
  <c r="F201" i="60"/>
  <c r="M201" i="60"/>
  <c r="AB201" i="60" s="1"/>
  <c r="I201" i="60"/>
  <c r="X201" i="60" s="1"/>
  <c r="L201" i="60"/>
  <c r="H201" i="60"/>
  <c r="W201" i="60" s="1"/>
  <c r="K201" i="60"/>
  <c r="G201" i="60"/>
  <c r="V201" i="60" s="1"/>
  <c r="D211" i="60"/>
  <c r="K107" i="60"/>
  <c r="Z107" i="60" s="1"/>
  <c r="G107" i="60"/>
  <c r="N107" i="60"/>
  <c r="J107" i="60"/>
  <c r="Y107" i="60" s="1"/>
  <c r="F107" i="60"/>
  <c r="U107" i="60" s="1"/>
  <c r="M107" i="60"/>
  <c r="I107" i="60"/>
  <c r="E107" i="60"/>
  <c r="L107" i="60"/>
  <c r="AA107" i="60" s="1"/>
  <c r="H107" i="60"/>
  <c r="D231" i="60"/>
  <c r="K127" i="60"/>
  <c r="Z127" i="60" s="1"/>
  <c r="G127" i="60"/>
  <c r="V127" i="60" s="1"/>
  <c r="N127" i="60"/>
  <c r="AC127" i="60" s="1"/>
  <c r="J127" i="60"/>
  <c r="Y127" i="60" s="1"/>
  <c r="F127" i="60"/>
  <c r="M127" i="60"/>
  <c r="AB127" i="60" s="1"/>
  <c r="I127" i="60"/>
  <c r="E127" i="60"/>
  <c r="L127" i="60"/>
  <c r="AA127" i="60" s="1"/>
  <c r="H127" i="60"/>
  <c r="W127" i="60" s="1"/>
  <c r="D227" i="60"/>
  <c r="K123" i="60"/>
  <c r="Z123" i="60" s="1"/>
  <c r="N123" i="60"/>
  <c r="AC123" i="60" s="1"/>
  <c r="J123" i="60"/>
  <c r="Y123" i="60" s="1"/>
  <c r="F123" i="60"/>
  <c r="U123" i="60" s="1"/>
  <c r="M123" i="60"/>
  <c r="AB123" i="60" s="1"/>
  <c r="I123" i="60"/>
  <c r="X123" i="60" s="1"/>
  <c r="E123" i="60"/>
  <c r="L123" i="60"/>
  <c r="AA123" i="60" s="1"/>
  <c r="D223" i="60"/>
  <c r="K119" i="60"/>
  <c r="Z119" i="60" s="1"/>
  <c r="G119" i="60"/>
  <c r="V119" i="60" s="1"/>
  <c r="N119" i="60"/>
  <c r="AC119" i="60" s="1"/>
  <c r="J119" i="60"/>
  <c r="Y119" i="60" s="1"/>
  <c r="F119" i="60"/>
  <c r="U119" i="60" s="1"/>
  <c r="M119" i="60"/>
  <c r="AB119" i="60" s="1"/>
  <c r="I119" i="60"/>
  <c r="X119" i="60" s="1"/>
  <c r="E119" i="60"/>
  <c r="T119" i="60" s="1"/>
  <c r="L119" i="60"/>
  <c r="AA119" i="60" s="1"/>
  <c r="H119" i="60"/>
  <c r="W119" i="60" s="1"/>
  <c r="D219" i="60"/>
  <c r="K115" i="60"/>
  <c r="Z115" i="60" s="1"/>
  <c r="G115" i="60"/>
  <c r="V115" i="60" s="1"/>
  <c r="N115" i="60"/>
  <c r="AC115" i="60" s="1"/>
  <c r="J115" i="60"/>
  <c r="Y115" i="60" s="1"/>
  <c r="F115" i="60"/>
  <c r="U115" i="60" s="1"/>
  <c r="M115" i="60"/>
  <c r="AB115" i="60" s="1"/>
  <c r="I115" i="60"/>
  <c r="X115" i="60" s="1"/>
  <c r="E115" i="60"/>
  <c r="T115" i="60" s="1"/>
  <c r="H115" i="60"/>
  <c r="L115" i="60"/>
  <c r="D215" i="60"/>
  <c r="K111" i="60"/>
  <c r="G111" i="60"/>
  <c r="V111" i="60" s="1"/>
  <c r="N111" i="60"/>
  <c r="AC111" i="60" s="1"/>
  <c r="J111" i="60"/>
  <c r="Y111" i="60" s="1"/>
  <c r="F111" i="60"/>
  <c r="M111" i="60"/>
  <c r="I111" i="60"/>
  <c r="X111" i="60" s="1"/>
  <c r="E111" i="60"/>
  <c r="L111" i="60"/>
  <c r="AA111" i="60" s="1"/>
  <c r="H111" i="60"/>
  <c r="W111" i="60" s="1"/>
  <c r="N199" i="60"/>
  <c r="AC199" i="60" s="1"/>
  <c r="J199" i="60"/>
  <c r="Y199" i="60" s="1"/>
  <c r="F199" i="60"/>
  <c r="U199" i="60" s="1"/>
  <c r="M199" i="60"/>
  <c r="AB199" i="60" s="1"/>
  <c r="I199" i="60"/>
  <c r="X199" i="60" s="1"/>
  <c r="E199" i="60"/>
  <c r="T199" i="60" s="1"/>
  <c r="L199" i="60"/>
  <c r="AA199" i="60" s="1"/>
  <c r="H199" i="60"/>
  <c r="W199" i="60" s="1"/>
  <c r="K199" i="60"/>
  <c r="Z199" i="60" s="1"/>
  <c r="G199" i="60"/>
  <c r="V199" i="60" s="1"/>
  <c r="N197" i="60"/>
  <c r="AC197" i="60" s="1"/>
  <c r="J197" i="60"/>
  <c r="Y197" i="60" s="1"/>
  <c r="F197" i="60"/>
  <c r="U197" i="60" s="1"/>
  <c r="M197" i="60"/>
  <c r="AB197" i="60" s="1"/>
  <c r="I197" i="60"/>
  <c r="X197" i="60" s="1"/>
  <c r="E197" i="60"/>
  <c r="T197" i="60" s="1"/>
  <c r="L197" i="60"/>
  <c r="AA197" i="60" s="1"/>
  <c r="H197" i="60"/>
  <c r="W197" i="60" s="1"/>
  <c r="K197" i="60"/>
  <c r="Z197" i="60" s="1"/>
  <c r="G197" i="60"/>
  <c r="V197" i="60" s="1"/>
  <c r="N195" i="60"/>
  <c r="J195" i="60"/>
  <c r="Y195" i="60" s="1"/>
  <c r="F195" i="60"/>
  <c r="U195" i="60" s="1"/>
  <c r="M195" i="60"/>
  <c r="I195" i="60"/>
  <c r="X195" i="60" s="1"/>
  <c r="E195" i="60"/>
  <c r="T195" i="60" s="1"/>
  <c r="L195" i="60"/>
  <c r="AA195" i="60" s="1"/>
  <c r="H195" i="60"/>
  <c r="W195" i="60" s="1"/>
  <c r="G195" i="60"/>
  <c r="V195" i="60" s="1"/>
  <c r="K195" i="60"/>
  <c r="Z195" i="60" s="1"/>
  <c r="D297" i="60"/>
  <c r="N193" i="60"/>
  <c r="AC193" i="60" s="1"/>
  <c r="J193" i="60"/>
  <c r="Y193" i="60" s="1"/>
  <c r="F193" i="60"/>
  <c r="U193" i="60" s="1"/>
  <c r="M193" i="60"/>
  <c r="I193" i="60"/>
  <c r="E193" i="60"/>
  <c r="T193" i="60" s="1"/>
  <c r="L193" i="60"/>
  <c r="AA193" i="60" s="1"/>
  <c r="H193" i="60"/>
  <c r="W193" i="60" s="1"/>
  <c r="K193" i="60"/>
  <c r="G193" i="60"/>
  <c r="V193" i="60" s="1"/>
  <c r="N191" i="60"/>
  <c r="AC191" i="60" s="1"/>
  <c r="J191" i="60"/>
  <c r="F191" i="60"/>
  <c r="U191" i="60" s="1"/>
  <c r="M191" i="60"/>
  <c r="AB191" i="60" s="1"/>
  <c r="I191" i="60"/>
  <c r="X191" i="60" s="1"/>
  <c r="E191" i="60"/>
  <c r="L191" i="60"/>
  <c r="AA191" i="60" s="1"/>
  <c r="H191" i="60"/>
  <c r="W191" i="60" s="1"/>
  <c r="K191" i="60"/>
  <c r="Z191" i="60" s="1"/>
  <c r="G191" i="60"/>
  <c r="N189" i="60"/>
  <c r="AC189" i="60" s="1"/>
  <c r="J189" i="60"/>
  <c r="F189" i="60"/>
  <c r="U189" i="60" s="1"/>
  <c r="M189" i="60"/>
  <c r="AB189" i="60" s="1"/>
  <c r="I189" i="60"/>
  <c r="X189" i="60" s="1"/>
  <c r="E189" i="60"/>
  <c r="T189" i="60" s="1"/>
  <c r="L189" i="60"/>
  <c r="H189" i="60"/>
  <c r="K189" i="60"/>
  <c r="Z189" i="60" s="1"/>
  <c r="G189" i="60"/>
  <c r="N187" i="60"/>
  <c r="AC187" i="60" s="1"/>
  <c r="J187" i="60"/>
  <c r="Y187" i="60" s="1"/>
  <c r="F187" i="60"/>
  <c r="U187" i="60" s="1"/>
  <c r="M187" i="60"/>
  <c r="I187" i="60"/>
  <c r="X187" i="60" s="1"/>
  <c r="E187" i="60"/>
  <c r="T187" i="60" s="1"/>
  <c r="L187" i="60"/>
  <c r="AA187" i="60" s="1"/>
  <c r="H187" i="60"/>
  <c r="G187" i="60"/>
  <c r="K187" i="60"/>
  <c r="N185" i="60"/>
  <c r="J185" i="60"/>
  <c r="Y185" i="60" s="1"/>
  <c r="F185" i="60"/>
  <c r="U185" i="60" s="1"/>
  <c r="M185" i="60"/>
  <c r="AB185" i="60" s="1"/>
  <c r="I185" i="60"/>
  <c r="X185" i="60" s="1"/>
  <c r="E185" i="60"/>
  <c r="T185" i="60" s="1"/>
  <c r="L185" i="60"/>
  <c r="H185" i="60"/>
  <c r="W185" i="60" s="1"/>
  <c r="K185" i="60"/>
  <c r="Z185" i="60" s="1"/>
  <c r="G185" i="60"/>
  <c r="N183" i="60"/>
  <c r="AC183" i="60" s="1"/>
  <c r="J183" i="60"/>
  <c r="Y183" i="60" s="1"/>
  <c r="F183" i="60"/>
  <c r="U183" i="60" s="1"/>
  <c r="M183" i="60"/>
  <c r="AB183" i="60" s="1"/>
  <c r="I183" i="60"/>
  <c r="X183" i="60" s="1"/>
  <c r="E183" i="60"/>
  <c r="T183" i="60" s="1"/>
  <c r="L183" i="60"/>
  <c r="AA183" i="60" s="1"/>
  <c r="H183" i="60"/>
  <c r="W183" i="60" s="1"/>
  <c r="K183" i="60"/>
  <c r="Z183" i="60" s="1"/>
  <c r="G183" i="60"/>
  <c r="V183" i="60" s="1"/>
  <c r="N181" i="60"/>
  <c r="J181" i="60"/>
  <c r="Y181" i="60" s="1"/>
  <c r="F181" i="60"/>
  <c r="U181" i="60" s="1"/>
  <c r="M181" i="60"/>
  <c r="AB181" i="60" s="1"/>
  <c r="I181" i="60"/>
  <c r="L181" i="60"/>
  <c r="H181" i="60"/>
  <c r="K181" i="60"/>
  <c r="Z181" i="60" s="1"/>
  <c r="G181" i="60"/>
  <c r="V181" i="60" s="1"/>
  <c r="N179" i="60"/>
  <c r="AC179" i="60" s="1"/>
  <c r="J179" i="60"/>
  <c r="F179" i="60"/>
  <c r="U179" i="60" s="1"/>
  <c r="M179" i="60"/>
  <c r="I179" i="60"/>
  <c r="X179" i="60" s="1"/>
  <c r="E179" i="60"/>
  <c r="L179" i="60"/>
  <c r="AA179" i="60" s="1"/>
  <c r="H179" i="60"/>
  <c r="W179" i="60" s="1"/>
  <c r="G179" i="60"/>
  <c r="K179" i="60"/>
  <c r="Z179" i="60" s="1"/>
  <c r="N177" i="60"/>
  <c r="AC177" i="60" s="1"/>
  <c r="J177" i="60"/>
  <c r="F177" i="60"/>
  <c r="U177" i="60" s="1"/>
  <c r="M177" i="60"/>
  <c r="I177" i="60"/>
  <c r="E177" i="60"/>
  <c r="L177" i="60"/>
  <c r="AA177" i="60" s="1"/>
  <c r="H177" i="60"/>
  <c r="W177" i="60" s="1"/>
  <c r="K177" i="60"/>
  <c r="N175" i="60"/>
  <c r="J175" i="60"/>
  <c r="Y175" i="60" s="1"/>
  <c r="F175" i="60"/>
  <c r="U175" i="60" s="1"/>
  <c r="M175" i="60"/>
  <c r="AB175" i="60" s="1"/>
  <c r="I175" i="60"/>
  <c r="X175" i="60" s="1"/>
  <c r="E175" i="60"/>
  <c r="T175" i="60" s="1"/>
  <c r="L175" i="60"/>
  <c r="AA175" i="60" s="1"/>
  <c r="H175" i="60"/>
  <c r="W175" i="60" s="1"/>
  <c r="K175" i="60"/>
  <c r="Z175" i="60" s="1"/>
  <c r="G175" i="60"/>
  <c r="N173" i="60"/>
  <c r="AC173" i="60" s="1"/>
  <c r="J173" i="60"/>
  <c r="Y173" i="60" s="1"/>
  <c r="F173" i="60"/>
  <c r="U173" i="60" s="1"/>
  <c r="M173" i="60"/>
  <c r="AB173" i="60" s="1"/>
  <c r="I173" i="60"/>
  <c r="X173" i="60" s="1"/>
  <c r="E173" i="60"/>
  <c r="T173" i="60" s="1"/>
  <c r="L173" i="60"/>
  <c r="AA173" i="60" s="1"/>
  <c r="H173" i="60"/>
  <c r="W173" i="60" s="1"/>
  <c r="K173" i="60"/>
  <c r="Z173" i="60" s="1"/>
  <c r="G173" i="60"/>
  <c r="V173" i="60" s="1"/>
  <c r="N171" i="60"/>
  <c r="AC171" i="60" s="1"/>
  <c r="M171" i="60"/>
  <c r="AB171" i="60" s="1"/>
  <c r="I171" i="60"/>
  <c r="X171" i="60" s="1"/>
  <c r="E171" i="60"/>
  <c r="T171" i="60" s="1"/>
  <c r="L171" i="60"/>
  <c r="AA171" i="60" s="1"/>
  <c r="H171" i="60"/>
  <c r="W171" i="60" s="1"/>
  <c r="J171" i="60"/>
  <c r="Y171" i="60" s="1"/>
  <c r="G171" i="60"/>
  <c r="V171" i="60" s="1"/>
  <c r="F171" i="60"/>
  <c r="U171" i="60" s="1"/>
  <c r="K171" i="60"/>
  <c r="Z171" i="60" s="1"/>
  <c r="M169" i="60"/>
  <c r="AB169" i="60" s="1"/>
  <c r="I169" i="60"/>
  <c r="X169" i="60" s="1"/>
  <c r="E169" i="60"/>
  <c r="T169" i="60" s="1"/>
  <c r="L169" i="60"/>
  <c r="AA169" i="60" s="1"/>
  <c r="H169" i="60"/>
  <c r="W169" i="60" s="1"/>
  <c r="N169" i="60"/>
  <c r="AC169" i="60" s="1"/>
  <c r="F169" i="60"/>
  <c r="U169" i="60" s="1"/>
  <c r="K169" i="60"/>
  <c r="Z169" i="60" s="1"/>
  <c r="J169" i="60"/>
  <c r="G169" i="60"/>
  <c r="M167" i="60"/>
  <c r="AB167" i="60" s="1"/>
  <c r="I167" i="60"/>
  <c r="X167" i="60" s="1"/>
  <c r="E167" i="60"/>
  <c r="T167" i="60" s="1"/>
  <c r="L167" i="60"/>
  <c r="AA167" i="60" s="1"/>
  <c r="H167" i="60"/>
  <c r="W167" i="60" s="1"/>
  <c r="J167" i="60"/>
  <c r="Y167" i="60" s="1"/>
  <c r="G167" i="60"/>
  <c r="V167" i="60" s="1"/>
  <c r="N167" i="60"/>
  <c r="AC167" i="60" s="1"/>
  <c r="F167" i="60"/>
  <c r="U167" i="60" s="1"/>
  <c r="K167" i="60"/>
  <c r="M165" i="60"/>
  <c r="I165" i="60"/>
  <c r="X165" i="60" s="1"/>
  <c r="E165" i="60"/>
  <c r="T165" i="60" s="1"/>
  <c r="L165" i="60"/>
  <c r="AA165" i="60" s="1"/>
  <c r="H165" i="60"/>
  <c r="W165" i="60" s="1"/>
  <c r="N165" i="60"/>
  <c r="AC165" i="60" s="1"/>
  <c r="K165" i="60"/>
  <c r="J165" i="60"/>
  <c r="Y165" i="60" s="1"/>
  <c r="G165" i="60"/>
  <c r="V165" i="60" s="1"/>
  <c r="M163" i="60"/>
  <c r="AB163" i="60" s="1"/>
  <c r="I163" i="60"/>
  <c r="X163" i="60" s="1"/>
  <c r="E163" i="60"/>
  <c r="L163" i="60"/>
  <c r="H163" i="60"/>
  <c r="W163" i="60" s="1"/>
  <c r="J163" i="60"/>
  <c r="Y163" i="60" s="1"/>
  <c r="G163" i="60"/>
  <c r="V163" i="60" s="1"/>
  <c r="N163" i="60"/>
  <c r="AC163" i="60" s="1"/>
  <c r="F163" i="60"/>
  <c r="K163" i="60"/>
  <c r="Z163" i="60" s="1"/>
  <c r="M161" i="60"/>
  <c r="AB161" i="60" s="1"/>
  <c r="I161" i="60"/>
  <c r="X161" i="60" s="1"/>
  <c r="E161" i="60"/>
  <c r="T161" i="60" s="1"/>
  <c r="L161" i="60"/>
  <c r="AA161" i="60" s="1"/>
  <c r="H161" i="60"/>
  <c r="N161" i="60"/>
  <c r="AC161" i="60" s="1"/>
  <c r="F161" i="60"/>
  <c r="U161" i="60" s="1"/>
  <c r="K161" i="60"/>
  <c r="Z161" i="60" s="1"/>
  <c r="J161" i="60"/>
  <c r="Y161" i="60" s="1"/>
  <c r="G161" i="60"/>
  <c r="M159" i="60"/>
  <c r="AB159" i="60" s="1"/>
  <c r="I159" i="60"/>
  <c r="X159" i="60" s="1"/>
  <c r="E159" i="60"/>
  <c r="T159" i="60" s="1"/>
  <c r="L159" i="60"/>
  <c r="AA159" i="60" s="1"/>
  <c r="H159" i="60"/>
  <c r="W159" i="60" s="1"/>
  <c r="J159" i="60"/>
  <c r="Y159" i="60" s="1"/>
  <c r="G159" i="60"/>
  <c r="N159" i="60"/>
  <c r="AC159" i="60" s="1"/>
  <c r="F159" i="60"/>
  <c r="U159" i="60" s="1"/>
  <c r="K159" i="60"/>
  <c r="Z159" i="60" s="1"/>
  <c r="K157" i="60"/>
  <c r="Z157" i="60" s="1"/>
  <c r="G157" i="60"/>
  <c r="V157" i="60" s="1"/>
  <c r="N157" i="60"/>
  <c r="AC157" i="60" s="1"/>
  <c r="J157" i="60"/>
  <c r="Y157" i="60" s="1"/>
  <c r="F157" i="60"/>
  <c r="U157" i="60" s="1"/>
  <c r="M157" i="60"/>
  <c r="AB157" i="60" s="1"/>
  <c r="I157" i="60"/>
  <c r="X157" i="60" s="1"/>
  <c r="E157" i="60"/>
  <c r="T157" i="60" s="1"/>
  <c r="L157" i="60"/>
  <c r="AA157" i="60" s="1"/>
  <c r="H157" i="60"/>
  <c r="W157" i="60" s="1"/>
  <c r="K155" i="60"/>
  <c r="G155" i="60"/>
  <c r="V155" i="60" s="1"/>
  <c r="N155" i="60"/>
  <c r="AC155" i="60" s="1"/>
  <c r="J155" i="60"/>
  <c r="Y155" i="60" s="1"/>
  <c r="F155" i="60"/>
  <c r="U155" i="60" s="1"/>
  <c r="M155" i="60"/>
  <c r="AB155" i="60" s="1"/>
  <c r="I155" i="60"/>
  <c r="X155" i="60" s="1"/>
  <c r="L155" i="60"/>
  <c r="AA155" i="60" s="1"/>
  <c r="H155" i="60"/>
  <c r="W155" i="60" s="1"/>
  <c r="K153" i="60"/>
  <c r="G153" i="60"/>
  <c r="V153" i="60" s="1"/>
  <c r="N153" i="60"/>
  <c r="AC153" i="60" s="1"/>
  <c r="J153" i="60"/>
  <c r="Y153" i="60" s="1"/>
  <c r="F153" i="60"/>
  <c r="U153" i="60" s="1"/>
  <c r="M153" i="60"/>
  <c r="AB153" i="60" s="1"/>
  <c r="I153" i="60"/>
  <c r="X153" i="60" s="1"/>
  <c r="E153" i="60"/>
  <c r="T153" i="60" s="1"/>
  <c r="H153" i="60"/>
  <c r="W153" i="60" s="1"/>
  <c r="L153" i="60"/>
  <c r="AA153" i="60" s="1"/>
  <c r="K151" i="60"/>
  <c r="Z151" i="60" s="1"/>
  <c r="G151" i="60"/>
  <c r="V151" i="60" s="1"/>
  <c r="N151" i="60"/>
  <c r="AC151" i="60" s="1"/>
  <c r="J151" i="60"/>
  <c r="Y151" i="60" s="1"/>
  <c r="F151" i="60"/>
  <c r="U151" i="60" s="1"/>
  <c r="M151" i="60"/>
  <c r="AB151" i="60" s="1"/>
  <c r="I151" i="60"/>
  <c r="X151" i="60" s="1"/>
  <c r="E151" i="60"/>
  <c r="T151" i="60" s="1"/>
  <c r="L151" i="60"/>
  <c r="AA151" i="60" s="1"/>
  <c r="H151" i="60"/>
  <c r="W151" i="60" s="1"/>
  <c r="K149" i="60"/>
  <c r="Z149" i="60" s="1"/>
  <c r="G149" i="60"/>
  <c r="V149" i="60" s="1"/>
  <c r="N149" i="60"/>
  <c r="AC149" i="60" s="1"/>
  <c r="J149" i="60"/>
  <c r="F149" i="60"/>
  <c r="U149" i="60" s="1"/>
  <c r="M149" i="60"/>
  <c r="AB149" i="60" s="1"/>
  <c r="I149" i="60"/>
  <c r="X149" i="60" s="1"/>
  <c r="E149" i="60"/>
  <c r="T149" i="60" s="1"/>
  <c r="L149" i="60"/>
  <c r="AA149" i="60" s="1"/>
  <c r="H149" i="60"/>
  <c r="W149" i="60" s="1"/>
  <c r="K147" i="60"/>
  <c r="Z147" i="60" s="1"/>
  <c r="G147" i="60"/>
  <c r="V147" i="60" s="1"/>
  <c r="N147" i="60"/>
  <c r="AC147" i="60" s="1"/>
  <c r="J147" i="60"/>
  <c r="Y147" i="60" s="1"/>
  <c r="F147" i="60"/>
  <c r="U147" i="60" s="1"/>
  <c r="M147" i="60"/>
  <c r="AB147" i="60" s="1"/>
  <c r="I147" i="60"/>
  <c r="X147" i="60" s="1"/>
  <c r="E147" i="60"/>
  <c r="T147" i="60" s="1"/>
  <c r="H147" i="60"/>
  <c r="W147" i="60" s="1"/>
  <c r="L147" i="60"/>
  <c r="AA147" i="60" s="1"/>
  <c r="K145" i="60"/>
  <c r="Z145" i="60" s="1"/>
  <c r="G145" i="60"/>
  <c r="V145" i="60" s="1"/>
  <c r="N145" i="60"/>
  <c r="AC145" i="60" s="1"/>
  <c r="J145" i="60"/>
  <c r="Y145" i="60" s="1"/>
  <c r="F145" i="60"/>
  <c r="U145" i="60" s="1"/>
  <c r="M145" i="60"/>
  <c r="AB145" i="60" s="1"/>
  <c r="I145" i="60"/>
  <c r="X145" i="60" s="1"/>
  <c r="E145" i="60"/>
  <c r="T145" i="60" s="1"/>
  <c r="H145" i="60"/>
  <c r="W145" i="60" s="1"/>
  <c r="L145" i="60"/>
  <c r="AA145" i="60" s="1"/>
  <c r="D247" i="60"/>
  <c r="K143" i="60"/>
  <c r="Z143" i="60" s="1"/>
  <c r="G143" i="60"/>
  <c r="V143" i="60" s="1"/>
  <c r="N143" i="60"/>
  <c r="AC143" i="60" s="1"/>
  <c r="J143" i="60"/>
  <c r="Y143" i="60" s="1"/>
  <c r="F143" i="60"/>
  <c r="U143" i="60" s="1"/>
  <c r="M143" i="60"/>
  <c r="AB143" i="60" s="1"/>
  <c r="I143" i="60"/>
  <c r="X143" i="60" s="1"/>
  <c r="E143" i="60"/>
  <c r="T143" i="60" s="1"/>
  <c r="L143" i="60"/>
  <c r="AA143" i="60" s="1"/>
  <c r="H143" i="60"/>
  <c r="W143" i="60" s="1"/>
  <c r="K141" i="60"/>
  <c r="Z141" i="60" s="1"/>
  <c r="G141" i="60"/>
  <c r="V141" i="60" s="1"/>
  <c r="N141" i="60"/>
  <c r="AC141" i="60" s="1"/>
  <c r="J141" i="60"/>
  <c r="Y141" i="60" s="1"/>
  <c r="F141" i="60"/>
  <c r="U141" i="60" s="1"/>
  <c r="M141" i="60"/>
  <c r="AB141" i="60" s="1"/>
  <c r="I141" i="60"/>
  <c r="E141" i="60"/>
  <c r="T141" i="60" s="1"/>
  <c r="L141" i="60"/>
  <c r="AA141" i="60" s="1"/>
  <c r="H141" i="60"/>
  <c r="W141" i="60" s="1"/>
  <c r="D243" i="60"/>
  <c r="K139" i="60"/>
  <c r="Z139" i="60" s="1"/>
  <c r="G139" i="60"/>
  <c r="V139" i="60" s="1"/>
  <c r="N139" i="60"/>
  <c r="AC139" i="60" s="1"/>
  <c r="J139" i="60"/>
  <c r="F139" i="60"/>
  <c r="U139" i="60" s="1"/>
  <c r="M139" i="60"/>
  <c r="AB139" i="60" s="1"/>
  <c r="I139" i="60"/>
  <c r="X139" i="60" s="1"/>
  <c r="E139" i="60"/>
  <c r="T139" i="60" s="1"/>
  <c r="L139" i="60"/>
  <c r="AA139" i="60" s="1"/>
  <c r="H139" i="60"/>
  <c r="W139" i="60" s="1"/>
  <c r="K137" i="60"/>
  <c r="Z137" i="60" s="1"/>
  <c r="G137" i="60"/>
  <c r="N137" i="60"/>
  <c r="AC137" i="60" s="1"/>
  <c r="J137" i="60"/>
  <c r="Y137" i="60" s="1"/>
  <c r="F137" i="60"/>
  <c r="U137" i="60" s="1"/>
  <c r="M137" i="60"/>
  <c r="AB137" i="60" s="1"/>
  <c r="I137" i="60"/>
  <c r="X137" i="60" s="1"/>
  <c r="E137" i="60"/>
  <c r="T137" i="60" s="1"/>
  <c r="H137" i="60"/>
  <c r="W137" i="60" s="1"/>
  <c r="L137" i="60"/>
  <c r="AA137" i="60" s="1"/>
  <c r="D239" i="60"/>
  <c r="K135" i="60"/>
  <c r="Z135" i="60" s="1"/>
  <c r="G135" i="60"/>
  <c r="V135" i="60" s="1"/>
  <c r="N135" i="60"/>
  <c r="J135" i="60"/>
  <c r="Y135" i="60" s="1"/>
  <c r="F135" i="60"/>
  <c r="U135" i="60" s="1"/>
  <c r="M135" i="60"/>
  <c r="I135" i="60"/>
  <c r="X135" i="60" s="1"/>
  <c r="E135" i="60"/>
  <c r="T135" i="60" s="1"/>
  <c r="L135" i="60"/>
  <c r="AA135" i="60" s="1"/>
  <c r="H135" i="60"/>
  <c r="W135" i="60" s="1"/>
  <c r="K133" i="60"/>
  <c r="Z133" i="60" s="1"/>
  <c r="G133" i="60"/>
  <c r="V133" i="60" s="1"/>
  <c r="N133" i="60"/>
  <c r="AC133" i="60" s="1"/>
  <c r="J133" i="60"/>
  <c r="F133" i="60"/>
  <c r="U133" i="60" s="1"/>
  <c r="M133" i="60"/>
  <c r="AB133" i="60" s="1"/>
  <c r="I133" i="60"/>
  <c r="E133" i="60"/>
  <c r="T133" i="60" s="1"/>
  <c r="L133" i="60"/>
  <c r="AA133" i="60" s="1"/>
  <c r="H133" i="60"/>
  <c r="W133" i="60" s="1"/>
  <c r="D235" i="60"/>
  <c r="K131" i="60"/>
  <c r="Z131" i="60" s="1"/>
  <c r="G131" i="60"/>
  <c r="V131" i="60" s="1"/>
  <c r="N131" i="60"/>
  <c r="AC131" i="60" s="1"/>
  <c r="J131" i="60"/>
  <c r="Y131" i="60" s="1"/>
  <c r="F131" i="60"/>
  <c r="U131" i="60" s="1"/>
  <c r="M131" i="60"/>
  <c r="AB131" i="60" s="1"/>
  <c r="I131" i="60"/>
  <c r="X131" i="60" s="1"/>
  <c r="E131" i="60"/>
  <c r="T131" i="60" s="1"/>
  <c r="H131" i="60"/>
  <c r="W131" i="60" s="1"/>
  <c r="L131" i="60"/>
  <c r="AA131" i="60" s="1"/>
  <c r="D272" i="60"/>
  <c r="D350" i="60"/>
  <c r="D454" i="60" s="1"/>
  <c r="U110" i="60"/>
  <c r="AA163" i="60"/>
  <c r="Y128" i="60"/>
  <c r="AC144" i="60"/>
  <c r="AB179" i="60"/>
  <c r="D213" i="60"/>
  <c r="D372" i="60"/>
  <c r="Y122" i="60"/>
  <c r="Y130" i="60"/>
  <c r="U148" i="60"/>
  <c r="W161" i="60"/>
  <c r="B295" i="60"/>
  <c r="B399" i="60" s="1"/>
  <c r="D343" i="60"/>
  <c r="D356" i="60"/>
  <c r="D460" i="60" s="1"/>
  <c r="AC106" i="60"/>
  <c r="W109" i="60"/>
  <c r="AC126" i="60"/>
  <c r="AC180" i="60"/>
  <c r="V196" i="60"/>
  <c r="B228" i="60"/>
  <c r="B332" i="60" s="1"/>
  <c r="D289" i="60"/>
  <c r="D404" i="60"/>
  <c r="D508" i="60" s="1"/>
  <c r="AA117" i="60"/>
  <c r="D222" i="60"/>
  <c r="D388" i="60"/>
  <c r="D496" i="60"/>
  <c r="S318" i="60"/>
  <c r="C422" i="60"/>
  <c r="R125" i="60"/>
  <c r="B229" i="60"/>
  <c r="R121" i="60"/>
  <c r="B225" i="60"/>
  <c r="S118" i="60"/>
  <c r="C222" i="60"/>
  <c r="S222" i="60" s="1"/>
  <c r="R196" i="60"/>
  <c r="B300" i="60"/>
  <c r="R188" i="60"/>
  <c r="B292" i="60"/>
  <c r="D394" i="60"/>
  <c r="D290" i="60"/>
  <c r="D390" i="60"/>
  <c r="T182" i="60"/>
  <c r="D286" i="60"/>
  <c r="AA182" i="60"/>
  <c r="R180" i="60"/>
  <c r="B284" i="60"/>
  <c r="D478" i="60"/>
  <c r="D450" i="60"/>
  <c r="D446" i="60"/>
  <c r="Y158" i="60"/>
  <c r="U162" i="60"/>
  <c r="Y178" i="60"/>
  <c r="B276" i="60"/>
  <c r="D270" i="60"/>
  <c r="B260" i="60"/>
  <c r="D254" i="60"/>
  <c r="B244" i="60"/>
  <c r="D238" i="60"/>
  <c r="B311" i="60"/>
  <c r="D305" i="60"/>
  <c r="D319" i="60"/>
  <c r="D212" i="60"/>
  <c r="D316" i="60"/>
  <c r="S107" i="60"/>
  <c r="C211" i="60"/>
  <c r="S211" i="60" s="1"/>
  <c r="C315" i="60"/>
  <c r="R130" i="60"/>
  <c r="B234" i="60"/>
  <c r="D232" i="60"/>
  <c r="D336" i="60"/>
  <c r="S127" i="60"/>
  <c r="C231" i="60"/>
  <c r="S231" i="60" s="1"/>
  <c r="C335" i="60"/>
  <c r="R126" i="60"/>
  <c r="B230" i="60"/>
  <c r="D228" i="60"/>
  <c r="D332" i="60"/>
  <c r="S123" i="60"/>
  <c r="C227" i="60"/>
  <c r="S227" i="60" s="1"/>
  <c r="C331" i="60"/>
  <c r="R122" i="60"/>
  <c r="B226" i="60"/>
  <c r="D224" i="60"/>
  <c r="D328" i="60"/>
  <c r="S119" i="60"/>
  <c r="C223" i="60"/>
  <c r="S223" i="60" s="1"/>
  <c r="C327" i="60"/>
  <c r="R118" i="60"/>
  <c r="B222" i="60"/>
  <c r="D220" i="60"/>
  <c r="D324" i="60"/>
  <c r="S115" i="60"/>
  <c r="C219" i="60"/>
  <c r="S219" i="60" s="1"/>
  <c r="C323" i="60"/>
  <c r="R114" i="60"/>
  <c r="B218" i="60"/>
  <c r="D216" i="60"/>
  <c r="D320" i="60"/>
  <c r="S111" i="60"/>
  <c r="C215" i="60"/>
  <c r="S215" i="60" s="1"/>
  <c r="C319" i="60"/>
  <c r="R110" i="60"/>
  <c r="B214" i="60"/>
  <c r="D303" i="60"/>
  <c r="R197" i="60"/>
  <c r="B301" i="60"/>
  <c r="D403" i="60"/>
  <c r="D299" i="60"/>
  <c r="AC195" i="60"/>
  <c r="R193" i="60"/>
  <c r="B297" i="60"/>
  <c r="D399" i="60"/>
  <c r="D295" i="60"/>
  <c r="V191" i="60"/>
  <c r="Y191" i="60"/>
  <c r="R189" i="60"/>
  <c r="B293" i="60"/>
  <c r="D395" i="60"/>
  <c r="W187" i="60"/>
  <c r="D291" i="60"/>
  <c r="Z187" i="60"/>
  <c r="V187" i="60"/>
  <c r="R185" i="60"/>
  <c r="B289" i="60"/>
  <c r="D391" i="60"/>
  <c r="D287" i="60"/>
  <c r="R181" i="60"/>
  <c r="B285" i="60"/>
  <c r="D387" i="60"/>
  <c r="D283" i="60"/>
  <c r="R177" i="60"/>
  <c r="B281" i="60"/>
  <c r="D383" i="60"/>
  <c r="D279" i="60"/>
  <c r="R173" i="60"/>
  <c r="B277" i="60"/>
  <c r="D379" i="60"/>
  <c r="D275" i="60"/>
  <c r="R169" i="60"/>
  <c r="B273" i="60"/>
  <c r="D375" i="60"/>
  <c r="D271" i="60"/>
  <c r="R165" i="60"/>
  <c r="B269" i="60"/>
  <c r="D371" i="60"/>
  <c r="D267" i="60"/>
  <c r="R161" i="60"/>
  <c r="B265" i="60"/>
  <c r="D367" i="60"/>
  <c r="D263" i="60"/>
  <c r="R157" i="60"/>
  <c r="B261" i="60"/>
  <c r="D363" i="60"/>
  <c r="D259" i="60"/>
  <c r="R153" i="60"/>
  <c r="B257" i="60"/>
  <c r="D359" i="60"/>
  <c r="D255" i="60"/>
  <c r="R149" i="60"/>
  <c r="B253" i="60"/>
  <c r="D355" i="60"/>
  <c r="D251" i="60"/>
  <c r="R145" i="60"/>
  <c r="B249" i="60"/>
  <c r="R141" i="60"/>
  <c r="B245" i="60"/>
  <c r="R137" i="60"/>
  <c r="B241" i="60"/>
  <c r="R133" i="60"/>
  <c r="B237" i="60"/>
  <c r="R208" i="60"/>
  <c r="B312" i="60"/>
  <c r="D414" i="60"/>
  <c r="Y206" i="60"/>
  <c r="D310" i="60"/>
  <c r="R204" i="60"/>
  <c r="B308" i="60"/>
  <c r="D410" i="60"/>
  <c r="U202" i="60"/>
  <c r="D306" i="60"/>
  <c r="Z106" i="60"/>
  <c r="X107" i="60"/>
  <c r="AB107" i="60"/>
  <c r="V110" i="60"/>
  <c r="AB111" i="60"/>
  <c r="Z116" i="60"/>
  <c r="T123" i="60"/>
  <c r="V124" i="60"/>
  <c r="V126" i="60"/>
  <c r="T127" i="60"/>
  <c r="X127" i="60"/>
  <c r="Z128" i="60"/>
  <c r="X129" i="60"/>
  <c r="X133" i="60"/>
  <c r="AB135" i="60"/>
  <c r="X141" i="60"/>
  <c r="Z152" i="60"/>
  <c r="Z162" i="60"/>
  <c r="AB165" i="60"/>
  <c r="V168" i="60"/>
  <c r="Z170" i="60"/>
  <c r="Z174" i="60"/>
  <c r="V176" i="60"/>
  <c r="T177" i="60"/>
  <c r="X177" i="60"/>
  <c r="AB177" i="60"/>
  <c r="T179" i="60"/>
  <c r="X193" i="60"/>
  <c r="B280" i="60"/>
  <c r="D274" i="60"/>
  <c r="B264" i="60"/>
  <c r="D258" i="60"/>
  <c r="B248" i="60"/>
  <c r="D242" i="60"/>
  <c r="B232" i="60"/>
  <c r="D226" i="60"/>
  <c r="B216" i="60"/>
  <c r="B299" i="60"/>
  <c r="D293" i="60"/>
  <c r="D314" i="60"/>
  <c r="D323" i="60"/>
  <c r="D347" i="60"/>
  <c r="D331" i="60"/>
  <c r="D376" i="60"/>
  <c r="D360" i="60"/>
  <c r="D407" i="60"/>
  <c r="R109" i="60"/>
  <c r="B213" i="60"/>
  <c r="S130" i="60"/>
  <c r="C234" i="60"/>
  <c r="S234" i="60" s="1"/>
  <c r="S122" i="60"/>
  <c r="C226" i="60"/>
  <c r="S226" i="60" s="1"/>
  <c r="R117" i="60"/>
  <c r="B221" i="60"/>
  <c r="S114" i="60"/>
  <c r="C218" i="60"/>
  <c r="S218" i="60" s="1"/>
  <c r="R113" i="60"/>
  <c r="B217" i="60"/>
  <c r="R200" i="60"/>
  <c r="B304" i="60"/>
  <c r="D406" i="60"/>
  <c r="D302" i="60"/>
  <c r="R192" i="60"/>
  <c r="B296" i="60"/>
  <c r="R184" i="60"/>
  <c r="B288" i="60"/>
  <c r="D486" i="60"/>
  <c r="D482" i="60"/>
  <c r="D470" i="60"/>
  <c r="D462" i="60"/>
  <c r="D417" i="60"/>
  <c r="D413" i="60"/>
  <c r="U154" i="60"/>
  <c r="AC170" i="60"/>
  <c r="C338" i="60"/>
  <c r="S108" i="60"/>
  <c r="C316" i="60"/>
  <c r="D233" i="60"/>
  <c r="D337" i="60"/>
  <c r="S128" i="60"/>
  <c r="C232" i="60"/>
  <c r="S232" i="60" s="1"/>
  <c r="C336" i="60"/>
  <c r="R127" i="60"/>
  <c r="B231" i="60"/>
  <c r="D229" i="60"/>
  <c r="D333" i="60"/>
  <c r="S124" i="60"/>
  <c r="C228" i="60"/>
  <c r="S228" i="60" s="1"/>
  <c r="C332" i="60"/>
  <c r="R123" i="60"/>
  <c r="B227" i="60"/>
  <c r="D225" i="60"/>
  <c r="D329" i="60"/>
  <c r="S120" i="60"/>
  <c r="C224" i="60"/>
  <c r="S224" i="60" s="1"/>
  <c r="C328" i="60"/>
  <c r="R119" i="60"/>
  <c r="B223" i="60"/>
  <c r="D221" i="60"/>
  <c r="D325" i="60"/>
  <c r="S116" i="60"/>
  <c r="C220" i="60"/>
  <c r="S220" i="60" s="1"/>
  <c r="C324" i="60"/>
  <c r="R115" i="60"/>
  <c r="B219" i="60"/>
  <c r="D217" i="60"/>
  <c r="D321" i="60"/>
  <c r="S112" i="60"/>
  <c r="C216" i="60"/>
  <c r="S216" i="60" s="1"/>
  <c r="C320" i="60"/>
  <c r="R111" i="60"/>
  <c r="B215" i="60"/>
  <c r="D304" i="60"/>
  <c r="AC200" i="60"/>
  <c r="U200" i="60"/>
  <c r="T200" i="60"/>
  <c r="D408" i="60"/>
  <c r="W200" i="60"/>
  <c r="R198" i="60"/>
  <c r="B302" i="60"/>
  <c r="D300" i="60"/>
  <c r="AC196" i="60"/>
  <c r="AB196" i="60"/>
  <c r="AA196" i="60"/>
  <c r="R194" i="60"/>
  <c r="B298" i="60"/>
  <c r="D296" i="60"/>
  <c r="R190" i="60"/>
  <c r="B294" i="60"/>
  <c r="D292" i="60"/>
  <c r="R186" i="60"/>
  <c r="B290" i="60"/>
  <c r="D288" i="60"/>
  <c r="AA184" i="60"/>
  <c r="R182" i="60"/>
  <c r="B286" i="60"/>
  <c r="D284" i="60"/>
  <c r="AB180" i="60"/>
  <c r="X180" i="60"/>
  <c r="R178" i="60"/>
  <c r="B282" i="60"/>
  <c r="R174" i="60"/>
  <c r="B278" i="60"/>
  <c r="R170" i="60"/>
  <c r="B274" i="60"/>
  <c r="R166" i="60"/>
  <c r="B270" i="60"/>
  <c r="R162" i="60"/>
  <c r="B266" i="60"/>
  <c r="R158" i="60"/>
  <c r="B262" i="60"/>
  <c r="R154" i="60"/>
  <c r="B258" i="60"/>
  <c r="R150" i="60"/>
  <c r="B254" i="60"/>
  <c r="R146" i="60"/>
  <c r="B250" i="60"/>
  <c r="D248" i="60"/>
  <c r="D352" i="60"/>
  <c r="R142" i="60"/>
  <c r="B246" i="60"/>
  <c r="D244" i="60"/>
  <c r="D348" i="60"/>
  <c r="R138" i="60"/>
  <c r="B242" i="60"/>
  <c r="D240" i="60"/>
  <c r="D344" i="60"/>
  <c r="R134" i="60"/>
  <c r="B238" i="60"/>
  <c r="D236" i="60"/>
  <c r="D340" i="60"/>
  <c r="S131" i="60"/>
  <c r="C235" i="60"/>
  <c r="S235" i="60" s="1"/>
  <c r="C339" i="60"/>
  <c r="R209" i="60"/>
  <c r="B313" i="60"/>
  <c r="D311" i="60"/>
  <c r="V207" i="60"/>
  <c r="AC207" i="60"/>
  <c r="R205" i="60"/>
  <c r="B309" i="60"/>
  <c r="D307" i="60"/>
  <c r="Y203" i="60"/>
  <c r="R201" i="60"/>
  <c r="B305" i="60"/>
  <c r="W106" i="60"/>
  <c r="AC107" i="60"/>
  <c r="U113" i="60"/>
  <c r="Y117" i="60"/>
  <c r="W118" i="60"/>
  <c r="Y125" i="60"/>
  <c r="U127" i="60"/>
  <c r="AA128" i="60"/>
  <c r="W132" i="60"/>
  <c r="AA132" i="60"/>
  <c r="Y133" i="60"/>
  <c r="AC135" i="60"/>
  <c r="Y139" i="60"/>
  <c r="AA144" i="60"/>
  <c r="Y149" i="60"/>
  <c r="W154" i="60"/>
  <c r="W156" i="60"/>
  <c r="W158" i="60"/>
  <c r="U163" i="60"/>
  <c r="W168" i="60"/>
  <c r="Y169" i="60"/>
  <c r="W174" i="60"/>
  <c r="AC175" i="60"/>
  <c r="AA176" i="60"/>
  <c r="Y177" i="60"/>
  <c r="Y179" i="60"/>
  <c r="U180" i="60"/>
  <c r="Z182" i="60"/>
  <c r="AB193" i="60"/>
  <c r="V200" i="60"/>
  <c r="T205" i="60"/>
  <c r="B211" i="60"/>
  <c r="D278" i="60"/>
  <c r="B268" i="60"/>
  <c r="D262" i="60"/>
  <c r="B252" i="60"/>
  <c r="D246" i="60"/>
  <c r="B236" i="60"/>
  <c r="D230" i="60"/>
  <c r="B220" i="60"/>
  <c r="D313" i="60"/>
  <c r="B303" i="60"/>
  <c r="B287" i="60"/>
  <c r="D327" i="60"/>
  <c r="C322" i="60"/>
  <c r="D351" i="60"/>
  <c r="D335" i="60"/>
  <c r="C330" i="60"/>
  <c r="D396" i="60"/>
  <c r="D380" i="60"/>
  <c r="D364" i="60"/>
  <c r="D411" i="60"/>
  <c r="S106" i="60"/>
  <c r="C314" i="60"/>
  <c r="C210" i="60"/>
  <c r="S210" i="60" s="1"/>
  <c r="R129" i="60"/>
  <c r="B233" i="60"/>
  <c r="S126" i="60"/>
  <c r="C230" i="60"/>
  <c r="S230" i="60" s="1"/>
  <c r="S110" i="60"/>
  <c r="C214" i="60"/>
  <c r="S214" i="60" s="1"/>
  <c r="Y194" i="60"/>
  <c r="D402" i="60"/>
  <c r="AB194" i="60"/>
  <c r="D298" i="60"/>
  <c r="D398" i="60"/>
  <c r="D294" i="60"/>
  <c r="D490" i="60"/>
  <c r="AA201" i="60"/>
  <c r="D409" i="60"/>
  <c r="Z201" i="60"/>
  <c r="AC201" i="60"/>
  <c r="Y201" i="60"/>
  <c r="U201" i="60"/>
  <c r="W107" i="60"/>
  <c r="W115" i="60"/>
  <c r="AA115" i="60"/>
  <c r="U150" i="60"/>
  <c r="R106" i="60"/>
  <c r="B210" i="60"/>
  <c r="S109" i="60"/>
  <c r="C317" i="60"/>
  <c r="C213" i="60"/>
  <c r="S213" i="60" s="1"/>
  <c r="R108" i="60"/>
  <c r="B212" i="60"/>
  <c r="D442" i="60"/>
  <c r="S129" i="60"/>
  <c r="C337" i="60"/>
  <c r="D438" i="60"/>
  <c r="S125" i="60"/>
  <c r="C333" i="60"/>
  <c r="D434" i="60"/>
  <c r="S121" i="60"/>
  <c r="C329" i="60"/>
  <c r="D430" i="60"/>
  <c r="S117" i="60"/>
  <c r="C325" i="60"/>
  <c r="S113" i="60"/>
  <c r="C321" i="60"/>
  <c r="D318" i="60"/>
  <c r="D214" i="60"/>
  <c r="D405" i="60"/>
  <c r="Z193" i="60"/>
  <c r="D401" i="60"/>
  <c r="AA189" i="60"/>
  <c r="W189" i="60"/>
  <c r="V189" i="60"/>
  <c r="D397" i="60"/>
  <c r="Y189" i="60"/>
  <c r="AA185" i="60"/>
  <c r="D393" i="60"/>
  <c r="AC185" i="60"/>
  <c r="AA181" i="60"/>
  <c r="W181" i="60"/>
  <c r="D389" i="60"/>
  <c r="AC181" i="60"/>
  <c r="R179" i="60"/>
  <c r="B283" i="60"/>
  <c r="D281" i="60"/>
  <c r="D385" i="60"/>
  <c r="R175" i="60"/>
  <c r="B279" i="60"/>
  <c r="D277" i="60"/>
  <c r="D381" i="60"/>
  <c r="R171" i="60"/>
  <c r="B275" i="60"/>
  <c r="D273" i="60"/>
  <c r="D377" i="60"/>
  <c r="R167" i="60"/>
  <c r="B271" i="60"/>
  <c r="D269" i="60"/>
  <c r="D373" i="60"/>
  <c r="R163" i="60"/>
  <c r="B267" i="60"/>
  <c r="D265" i="60"/>
  <c r="D369" i="60"/>
  <c r="R159" i="60"/>
  <c r="B263" i="60"/>
  <c r="D261" i="60"/>
  <c r="D365" i="60"/>
  <c r="R155" i="60"/>
  <c r="B259" i="60"/>
  <c r="D257" i="60"/>
  <c r="D361" i="60"/>
  <c r="R151" i="60"/>
  <c r="B255" i="60"/>
  <c r="D253" i="60"/>
  <c r="D357" i="60"/>
  <c r="R147" i="60"/>
  <c r="B251" i="60"/>
  <c r="D249" i="60"/>
  <c r="D353" i="60"/>
  <c r="R143" i="60"/>
  <c r="B247" i="60"/>
  <c r="D245" i="60"/>
  <c r="D349" i="60"/>
  <c r="R139" i="60"/>
  <c r="B243" i="60"/>
  <c r="D241" i="60"/>
  <c r="D345" i="60"/>
  <c r="R135" i="60"/>
  <c r="B239" i="60"/>
  <c r="D237" i="60"/>
  <c r="D341" i="60"/>
  <c r="R131" i="60"/>
  <c r="B235" i="60"/>
  <c r="D312" i="60"/>
  <c r="Y208" i="60"/>
  <c r="T208" i="60"/>
  <c r="D416" i="60"/>
  <c r="R206" i="60"/>
  <c r="B310" i="60"/>
  <c r="D308" i="60"/>
  <c r="D412" i="60"/>
  <c r="AA204" i="60"/>
  <c r="W204" i="60"/>
  <c r="R202" i="60"/>
  <c r="B306" i="60"/>
  <c r="V109" i="60"/>
  <c r="T110" i="60"/>
  <c r="Z111" i="60"/>
  <c r="Z113" i="60"/>
  <c r="Z117" i="60"/>
  <c r="AB118" i="60"/>
  <c r="T124" i="60"/>
  <c r="T126" i="60"/>
  <c r="X126" i="60"/>
  <c r="AB126" i="60"/>
  <c r="T128" i="60"/>
  <c r="X128" i="60"/>
  <c r="AB128" i="60"/>
  <c r="Z129" i="60"/>
  <c r="T130" i="60"/>
  <c r="T132" i="60"/>
  <c r="X132" i="60"/>
  <c r="AB132" i="60"/>
  <c r="T136" i="60"/>
  <c r="AB136" i="60"/>
  <c r="X142" i="60"/>
  <c r="AB142" i="60"/>
  <c r="T144" i="60"/>
  <c r="X144" i="60"/>
  <c r="X148" i="60"/>
  <c r="AB148" i="60"/>
  <c r="AB150" i="60"/>
  <c r="X152" i="60"/>
  <c r="Z153" i="60"/>
  <c r="T154" i="60"/>
  <c r="X154" i="60"/>
  <c r="AB154" i="60"/>
  <c r="Z155" i="60"/>
  <c r="AB156" i="60"/>
  <c r="X158" i="60"/>
  <c r="AB158" i="60"/>
  <c r="V161" i="60"/>
  <c r="T162" i="60"/>
  <c r="X162" i="60"/>
  <c r="AB162" i="60"/>
  <c r="Z165" i="60"/>
  <c r="Z167" i="60"/>
  <c r="X168" i="60"/>
  <c r="AB168" i="60"/>
  <c r="V169" i="60"/>
  <c r="X170" i="60"/>
  <c r="X174" i="60"/>
  <c r="AB174" i="60"/>
  <c r="V175" i="60"/>
  <c r="T176" i="60"/>
  <c r="Z177" i="60"/>
  <c r="X178" i="60"/>
  <c r="V179" i="60"/>
  <c r="V180" i="60"/>
  <c r="AA180" i="60"/>
  <c r="X181" i="60"/>
  <c r="Z184" i="60"/>
  <c r="AB187" i="60"/>
  <c r="T191" i="60"/>
  <c r="AB195" i="60"/>
  <c r="AB203" i="60"/>
  <c r="Z208" i="60"/>
  <c r="D282" i="60"/>
  <c r="B272" i="60"/>
  <c r="D266" i="60"/>
  <c r="B256" i="60"/>
  <c r="D250" i="60"/>
  <c r="B240" i="60"/>
  <c r="D234" i="60"/>
  <c r="C229" i="60"/>
  <c r="S229" i="60" s="1"/>
  <c r="B224" i="60"/>
  <c r="D218" i="60"/>
  <c r="B307" i="60"/>
  <c r="D301" i="60"/>
  <c r="B291" i="60"/>
  <c r="D285" i="60"/>
  <c r="C326" i="60"/>
  <c r="D315" i="60"/>
  <c r="D339" i="60"/>
  <c r="C334" i="60"/>
  <c r="D400" i="60"/>
  <c r="D384" i="60"/>
  <c r="D368" i="60"/>
  <c r="D415" i="60"/>
  <c r="D421" i="60"/>
  <c r="C29" i="60"/>
  <c r="C30" i="60"/>
  <c r="C31" i="60"/>
  <c r="C57" i="60" s="1"/>
  <c r="C32" i="60"/>
  <c r="C33" i="60"/>
  <c r="C59" i="60" s="1"/>
  <c r="C34" i="60"/>
  <c r="C35" i="60"/>
  <c r="C36" i="60"/>
  <c r="C37" i="60"/>
  <c r="C63" i="60" s="1"/>
  <c r="C38" i="60"/>
  <c r="C39" i="60"/>
  <c r="C65" i="60" s="1"/>
  <c r="C40" i="60"/>
  <c r="C41" i="60"/>
  <c r="C42" i="60"/>
  <c r="C43" i="60"/>
  <c r="C44" i="60"/>
  <c r="C45" i="60"/>
  <c r="C71" i="60" s="1"/>
  <c r="C46" i="60"/>
  <c r="C47" i="60"/>
  <c r="C73" i="60" s="1"/>
  <c r="C48" i="60"/>
  <c r="C74" i="60" s="1"/>
  <c r="C49" i="60"/>
  <c r="C75" i="60" s="1"/>
  <c r="C50" i="60"/>
  <c r="C76" i="60" s="1"/>
  <c r="C51" i="60"/>
  <c r="C52" i="60"/>
  <c r="C53" i="60"/>
  <c r="C28" i="60"/>
  <c r="C54" i="60" s="1"/>
  <c r="R228" i="60" l="1"/>
  <c r="N249" i="60"/>
  <c r="AC249" i="60" s="1"/>
  <c r="J249" i="60"/>
  <c r="Y249" i="60" s="1"/>
  <c r="F249" i="60"/>
  <c r="U249" i="60" s="1"/>
  <c r="M249" i="60"/>
  <c r="AB249" i="60" s="1"/>
  <c r="I249" i="60"/>
  <c r="X249" i="60" s="1"/>
  <c r="E249" i="60"/>
  <c r="T249" i="60" s="1"/>
  <c r="L249" i="60"/>
  <c r="AA249" i="60" s="1"/>
  <c r="H249" i="60"/>
  <c r="W249" i="60" s="1"/>
  <c r="K249" i="60"/>
  <c r="Z249" i="60" s="1"/>
  <c r="G249" i="60"/>
  <c r="V249" i="60" s="1"/>
  <c r="M265" i="60"/>
  <c r="I265" i="60"/>
  <c r="X265" i="60" s="1"/>
  <c r="E265" i="60"/>
  <c r="L265" i="60"/>
  <c r="H265" i="60"/>
  <c r="K265" i="60"/>
  <c r="Z265" i="60" s="1"/>
  <c r="G265" i="60"/>
  <c r="J265" i="60"/>
  <c r="F265" i="60"/>
  <c r="N265" i="60"/>
  <c r="AC265" i="60" s="1"/>
  <c r="M281" i="60"/>
  <c r="I281" i="60"/>
  <c r="E281" i="60"/>
  <c r="L281" i="60"/>
  <c r="AA281" i="60" s="1"/>
  <c r="H281" i="60"/>
  <c r="K281" i="60"/>
  <c r="J281" i="60"/>
  <c r="F281" i="60"/>
  <c r="U281" i="60" s="1"/>
  <c r="N281" i="60"/>
  <c r="N401" i="60"/>
  <c r="J401" i="60"/>
  <c r="F401" i="60"/>
  <c r="U401" i="60" s="1"/>
  <c r="M401" i="60"/>
  <c r="I401" i="60"/>
  <c r="E401" i="60"/>
  <c r="L401" i="60"/>
  <c r="AA401" i="60" s="1"/>
  <c r="H401" i="60"/>
  <c r="K401" i="60"/>
  <c r="G401" i="60"/>
  <c r="L430" i="60"/>
  <c r="AA430" i="60" s="1"/>
  <c r="H430" i="60"/>
  <c r="K430" i="60"/>
  <c r="G430" i="60"/>
  <c r="N430" i="60"/>
  <c r="AC430" i="60" s="1"/>
  <c r="J430" i="60"/>
  <c r="F430" i="60"/>
  <c r="M430" i="60"/>
  <c r="I430" i="60"/>
  <c r="X430" i="60" s="1"/>
  <c r="E430" i="60"/>
  <c r="N411" i="60"/>
  <c r="J411" i="60"/>
  <c r="F411" i="60"/>
  <c r="U411" i="60" s="1"/>
  <c r="M411" i="60"/>
  <c r="I411" i="60"/>
  <c r="E411" i="60"/>
  <c r="L411" i="60"/>
  <c r="AA411" i="60" s="1"/>
  <c r="H411" i="60"/>
  <c r="K411" i="60"/>
  <c r="G411" i="60"/>
  <c r="K278" i="60"/>
  <c r="Z278" i="60" s="1"/>
  <c r="G278" i="60"/>
  <c r="N278" i="60"/>
  <c r="J278" i="60"/>
  <c r="F278" i="60"/>
  <c r="U278" i="60" s="1"/>
  <c r="M278" i="60"/>
  <c r="I278" i="60"/>
  <c r="E278" i="60"/>
  <c r="H278" i="60"/>
  <c r="W278" i="60" s="1"/>
  <c r="L278" i="60"/>
  <c r="K296" i="60"/>
  <c r="Z296" i="60" s="1"/>
  <c r="G296" i="60"/>
  <c r="V296" i="60" s="1"/>
  <c r="N296" i="60"/>
  <c r="AC296" i="60" s="1"/>
  <c r="J296" i="60"/>
  <c r="Y296" i="60" s="1"/>
  <c r="F296" i="60"/>
  <c r="U296" i="60" s="1"/>
  <c r="M296" i="60"/>
  <c r="AB296" i="60" s="1"/>
  <c r="I296" i="60"/>
  <c r="X296" i="60" s="1"/>
  <c r="E296" i="60"/>
  <c r="T296" i="60" s="1"/>
  <c r="L296" i="60"/>
  <c r="AA296" i="60" s="1"/>
  <c r="H296" i="60"/>
  <c r="W296" i="60" s="1"/>
  <c r="N221" i="60"/>
  <c r="AC221" i="60" s="1"/>
  <c r="J221" i="60"/>
  <c r="M221" i="60"/>
  <c r="I221" i="60"/>
  <c r="L221" i="60"/>
  <c r="AA221" i="60" s="1"/>
  <c r="H221" i="60"/>
  <c r="K221" i="60"/>
  <c r="G221" i="60"/>
  <c r="M347" i="60"/>
  <c r="AB347" i="60" s="1"/>
  <c r="I347" i="60"/>
  <c r="E347" i="60"/>
  <c r="L347" i="60"/>
  <c r="H347" i="60"/>
  <c r="W347" i="60" s="1"/>
  <c r="K347" i="60"/>
  <c r="G347" i="60"/>
  <c r="F347" i="60"/>
  <c r="N347" i="60"/>
  <c r="J347" i="60"/>
  <c r="M287" i="60"/>
  <c r="AB287" i="60" s="1"/>
  <c r="I287" i="60"/>
  <c r="X287" i="60" s="1"/>
  <c r="E287" i="60"/>
  <c r="T287" i="60" s="1"/>
  <c r="L287" i="60"/>
  <c r="AA287" i="60" s="1"/>
  <c r="H287" i="60"/>
  <c r="W287" i="60" s="1"/>
  <c r="K287" i="60"/>
  <c r="Z287" i="60" s="1"/>
  <c r="G287" i="60"/>
  <c r="V287" i="60" s="1"/>
  <c r="N287" i="60"/>
  <c r="AC287" i="60" s="1"/>
  <c r="J287" i="60"/>
  <c r="Y287" i="60" s="1"/>
  <c r="F287" i="60"/>
  <c r="U287" i="60" s="1"/>
  <c r="K336" i="60"/>
  <c r="Z336" i="60" s="1"/>
  <c r="G336" i="60"/>
  <c r="N336" i="60"/>
  <c r="J336" i="60"/>
  <c r="F336" i="60"/>
  <c r="U336" i="60" s="1"/>
  <c r="M336" i="60"/>
  <c r="I336" i="60"/>
  <c r="E336" i="60"/>
  <c r="L336" i="60"/>
  <c r="AA336" i="60" s="1"/>
  <c r="H336" i="60"/>
  <c r="L454" i="60"/>
  <c r="H454" i="60"/>
  <c r="K454" i="60"/>
  <c r="Z454" i="60" s="1"/>
  <c r="G454" i="60"/>
  <c r="N454" i="60"/>
  <c r="J454" i="60"/>
  <c r="F454" i="60"/>
  <c r="M454" i="60"/>
  <c r="I454" i="60"/>
  <c r="E454" i="60"/>
  <c r="N223" i="60"/>
  <c r="AC223" i="60" s="1"/>
  <c r="J223" i="60"/>
  <c r="Y223" i="60" s="1"/>
  <c r="F223" i="60"/>
  <c r="U223" i="60" s="1"/>
  <c r="M223" i="60"/>
  <c r="AB223" i="60" s="1"/>
  <c r="I223" i="60"/>
  <c r="X223" i="60" s="1"/>
  <c r="E223" i="60"/>
  <c r="T223" i="60" s="1"/>
  <c r="L223" i="60"/>
  <c r="AA223" i="60" s="1"/>
  <c r="H223" i="60"/>
  <c r="W223" i="60" s="1"/>
  <c r="K223" i="60"/>
  <c r="Z223" i="60" s="1"/>
  <c r="G223" i="60"/>
  <c r="V223" i="60" s="1"/>
  <c r="K326" i="60"/>
  <c r="Z326" i="60" s="1"/>
  <c r="G326" i="60"/>
  <c r="V326" i="60" s="1"/>
  <c r="N326" i="60"/>
  <c r="AC326" i="60" s="1"/>
  <c r="J326" i="60"/>
  <c r="Y326" i="60" s="1"/>
  <c r="F326" i="60"/>
  <c r="U326" i="60" s="1"/>
  <c r="M326" i="60"/>
  <c r="AB326" i="60" s="1"/>
  <c r="I326" i="60"/>
  <c r="X326" i="60" s="1"/>
  <c r="E326" i="60"/>
  <c r="T326" i="60" s="1"/>
  <c r="H326" i="60"/>
  <c r="W326" i="60" s="1"/>
  <c r="L326" i="60"/>
  <c r="AA326" i="60" s="1"/>
  <c r="K362" i="60"/>
  <c r="Z362" i="60" s="1"/>
  <c r="G362" i="60"/>
  <c r="V362" i="60" s="1"/>
  <c r="N362" i="60"/>
  <c r="AC362" i="60" s="1"/>
  <c r="J362" i="60"/>
  <c r="Y362" i="60" s="1"/>
  <c r="F362" i="60"/>
  <c r="U362" i="60" s="1"/>
  <c r="I362" i="60"/>
  <c r="X362" i="60" s="1"/>
  <c r="H362" i="60"/>
  <c r="W362" i="60" s="1"/>
  <c r="M362" i="60"/>
  <c r="AB362" i="60" s="1"/>
  <c r="E362" i="60"/>
  <c r="T362" i="60" s="1"/>
  <c r="L362" i="60"/>
  <c r="AA362" i="60" s="1"/>
  <c r="L370" i="60"/>
  <c r="AA370" i="60" s="1"/>
  <c r="H370" i="60"/>
  <c r="W370" i="60" s="1"/>
  <c r="K370" i="60"/>
  <c r="Z370" i="60" s="1"/>
  <c r="G370" i="60"/>
  <c r="V370" i="60" s="1"/>
  <c r="N370" i="60"/>
  <c r="AC370" i="60" s="1"/>
  <c r="J370" i="60"/>
  <c r="Y370" i="60" s="1"/>
  <c r="F370" i="60"/>
  <c r="U370" i="60" s="1"/>
  <c r="E370" i="60"/>
  <c r="T370" i="60" s="1"/>
  <c r="M370" i="60"/>
  <c r="AB370" i="60" s="1"/>
  <c r="I370" i="60"/>
  <c r="X370" i="60" s="1"/>
  <c r="K280" i="60"/>
  <c r="Z280" i="60" s="1"/>
  <c r="G280" i="60"/>
  <c r="V280" i="60" s="1"/>
  <c r="N280" i="60"/>
  <c r="AC280" i="60" s="1"/>
  <c r="J280" i="60"/>
  <c r="Y280" i="60" s="1"/>
  <c r="F280" i="60"/>
  <c r="U280" i="60" s="1"/>
  <c r="M280" i="60"/>
  <c r="AB280" i="60" s="1"/>
  <c r="I280" i="60"/>
  <c r="X280" i="60" s="1"/>
  <c r="E280" i="60"/>
  <c r="T280" i="60" s="1"/>
  <c r="L280" i="60"/>
  <c r="AA280" i="60" s="1"/>
  <c r="H280" i="60"/>
  <c r="W280" i="60" s="1"/>
  <c r="M315" i="60"/>
  <c r="AB315" i="60" s="1"/>
  <c r="I315" i="60"/>
  <c r="E315" i="60"/>
  <c r="L315" i="60"/>
  <c r="H315" i="60"/>
  <c r="W315" i="60" s="1"/>
  <c r="K315" i="60"/>
  <c r="G315" i="60"/>
  <c r="F315" i="60"/>
  <c r="N315" i="60"/>
  <c r="J315" i="60"/>
  <c r="L234" i="60"/>
  <c r="H234" i="60"/>
  <c r="K234" i="60"/>
  <c r="Z234" i="60" s="1"/>
  <c r="G234" i="60"/>
  <c r="N234" i="60"/>
  <c r="J234" i="60"/>
  <c r="F234" i="60"/>
  <c r="M234" i="60"/>
  <c r="I234" i="60"/>
  <c r="E234" i="60"/>
  <c r="K308" i="60"/>
  <c r="Z308" i="60" s="1"/>
  <c r="G308" i="60"/>
  <c r="N308" i="60"/>
  <c r="J308" i="60"/>
  <c r="F308" i="60"/>
  <c r="U308" i="60" s="1"/>
  <c r="M308" i="60"/>
  <c r="I308" i="60"/>
  <c r="E308" i="60"/>
  <c r="L308" i="60"/>
  <c r="AA308" i="60" s="1"/>
  <c r="H308" i="60"/>
  <c r="N237" i="60"/>
  <c r="J237" i="60"/>
  <c r="F237" i="60"/>
  <c r="U237" i="60" s="1"/>
  <c r="M237" i="60"/>
  <c r="I237" i="60"/>
  <c r="E237" i="60"/>
  <c r="L237" i="60"/>
  <c r="H237" i="60"/>
  <c r="K237" i="60"/>
  <c r="G237" i="60"/>
  <c r="N253" i="60"/>
  <c r="AC253" i="60" s="1"/>
  <c r="J253" i="60"/>
  <c r="F253" i="60"/>
  <c r="M253" i="60"/>
  <c r="I253" i="60"/>
  <c r="X253" i="60" s="1"/>
  <c r="E253" i="60"/>
  <c r="L253" i="60"/>
  <c r="H253" i="60"/>
  <c r="K253" i="60"/>
  <c r="Z253" i="60" s="1"/>
  <c r="G253" i="60"/>
  <c r="M269" i="60"/>
  <c r="I269" i="60"/>
  <c r="E269" i="60"/>
  <c r="T269" i="60" s="1"/>
  <c r="L269" i="60"/>
  <c r="H269" i="60"/>
  <c r="K269" i="60"/>
  <c r="G269" i="60"/>
  <c r="N269" i="60"/>
  <c r="J269" i="60"/>
  <c r="N405" i="60"/>
  <c r="AC405" i="60" s="1"/>
  <c r="J405" i="60"/>
  <c r="Y405" i="60" s="1"/>
  <c r="F405" i="60"/>
  <c r="U405" i="60" s="1"/>
  <c r="M405" i="60"/>
  <c r="AB405" i="60" s="1"/>
  <c r="I405" i="60"/>
  <c r="X405" i="60" s="1"/>
  <c r="E405" i="60"/>
  <c r="T405" i="60" s="1"/>
  <c r="L405" i="60"/>
  <c r="AA405" i="60" s="1"/>
  <c r="H405" i="60"/>
  <c r="W405" i="60" s="1"/>
  <c r="G405" i="60"/>
  <c r="V405" i="60" s="1"/>
  <c r="K405" i="60"/>
  <c r="Z405" i="60" s="1"/>
  <c r="L426" i="60"/>
  <c r="AA426" i="60" s="1"/>
  <c r="H426" i="60"/>
  <c r="W426" i="60" s="1"/>
  <c r="K426" i="60"/>
  <c r="Z426" i="60" s="1"/>
  <c r="G426" i="60"/>
  <c r="V426" i="60" s="1"/>
  <c r="N426" i="60"/>
  <c r="AC426" i="60" s="1"/>
  <c r="J426" i="60"/>
  <c r="Y426" i="60" s="1"/>
  <c r="F426" i="60"/>
  <c r="U426" i="60" s="1"/>
  <c r="E426" i="60"/>
  <c r="T426" i="60" s="1"/>
  <c r="M426" i="60"/>
  <c r="AB426" i="60" s="1"/>
  <c r="I426" i="60"/>
  <c r="X426" i="60" s="1"/>
  <c r="L398" i="60"/>
  <c r="AA398" i="60" s="1"/>
  <c r="H398" i="60"/>
  <c r="W398" i="60" s="1"/>
  <c r="K398" i="60"/>
  <c r="Z398" i="60" s="1"/>
  <c r="G398" i="60"/>
  <c r="V398" i="60" s="1"/>
  <c r="N398" i="60"/>
  <c r="AC398" i="60" s="1"/>
  <c r="J398" i="60"/>
  <c r="Y398" i="60" s="1"/>
  <c r="F398" i="60"/>
  <c r="U398" i="60" s="1"/>
  <c r="M398" i="60"/>
  <c r="AB398" i="60" s="1"/>
  <c r="I398" i="60"/>
  <c r="X398" i="60" s="1"/>
  <c r="E398" i="60"/>
  <c r="T398" i="60" s="1"/>
  <c r="M321" i="60"/>
  <c r="I321" i="60"/>
  <c r="E321" i="60"/>
  <c r="L321" i="60"/>
  <c r="AA321" i="60" s="1"/>
  <c r="H321" i="60"/>
  <c r="K321" i="60"/>
  <c r="G321" i="60"/>
  <c r="J321" i="60"/>
  <c r="Y321" i="60" s="1"/>
  <c r="F321" i="60"/>
  <c r="N321" i="60"/>
  <c r="L462" i="60"/>
  <c r="H462" i="60"/>
  <c r="K462" i="60"/>
  <c r="G462" i="60"/>
  <c r="N462" i="60"/>
  <c r="J462" i="60"/>
  <c r="F462" i="60"/>
  <c r="M462" i="60"/>
  <c r="I462" i="60"/>
  <c r="E462" i="60"/>
  <c r="M486" i="60"/>
  <c r="I486" i="60"/>
  <c r="E486" i="60"/>
  <c r="L486" i="60"/>
  <c r="AA486" i="60" s="1"/>
  <c r="H486" i="60"/>
  <c r="K486" i="60"/>
  <c r="G486" i="60"/>
  <c r="J486" i="60"/>
  <c r="Y486" i="60" s="1"/>
  <c r="F486" i="60"/>
  <c r="N486" i="60"/>
  <c r="N407" i="60"/>
  <c r="AC407" i="60" s="1"/>
  <c r="J407" i="60"/>
  <c r="Y407" i="60" s="1"/>
  <c r="F407" i="60"/>
  <c r="U407" i="60" s="1"/>
  <c r="M407" i="60"/>
  <c r="AB407" i="60" s="1"/>
  <c r="I407" i="60"/>
  <c r="X407" i="60" s="1"/>
  <c r="E407" i="60"/>
  <c r="T407" i="60" s="1"/>
  <c r="L407" i="60"/>
  <c r="AA407" i="60" s="1"/>
  <c r="H407" i="60"/>
  <c r="W407" i="60" s="1"/>
  <c r="K407" i="60"/>
  <c r="Z407" i="60" s="1"/>
  <c r="G407" i="60"/>
  <c r="V407" i="60" s="1"/>
  <c r="N403" i="60"/>
  <c r="J403" i="60"/>
  <c r="F403" i="60"/>
  <c r="M403" i="60"/>
  <c r="I403" i="60"/>
  <c r="E403" i="60"/>
  <c r="L403" i="60"/>
  <c r="H403" i="60"/>
  <c r="K403" i="60"/>
  <c r="G403" i="60"/>
  <c r="M303" i="60"/>
  <c r="AB303" i="60" s="1"/>
  <c r="I303" i="60"/>
  <c r="X303" i="60" s="1"/>
  <c r="E303" i="60"/>
  <c r="T303" i="60" s="1"/>
  <c r="L303" i="60"/>
  <c r="AA303" i="60" s="1"/>
  <c r="H303" i="60"/>
  <c r="W303" i="60" s="1"/>
  <c r="K303" i="60"/>
  <c r="Z303" i="60" s="1"/>
  <c r="G303" i="60"/>
  <c r="V303" i="60" s="1"/>
  <c r="N303" i="60"/>
  <c r="AC303" i="60" s="1"/>
  <c r="J303" i="60"/>
  <c r="Y303" i="60" s="1"/>
  <c r="F303" i="60"/>
  <c r="U303" i="60" s="1"/>
  <c r="L460" i="60"/>
  <c r="H460" i="60"/>
  <c r="K460" i="60"/>
  <c r="G460" i="60"/>
  <c r="V460" i="60" s="1"/>
  <c r="N460" i="60"/>
  <c r="J460" i="60"/>
  <c r="F460" i="60"/>
  <c r="M460" i="60"/>
  <c r="AB460" i="60" s="1"/>
  <c r="I460" i="60"/>
  <c r="E460" i="60"/>
  <c r="M305" i="60"/>
  <c r="I305" i="60"/>
  <c r="X305" i="60" s="1"/>
  <c r="E305" i="60"/>
  <c r="L305" i="60"/>
  <c r="H305" i="60"/>
  <c r="K305" i="60"/>
  <c r="Z305" i="60" s="1"/>
  <c r="G305" i="60"/>
  <c r="J305" i="60"/>
  <c r="F305" i="60"/>
  <c r="N305" i="60"/>
  <c r="AC305" i="60" s="1"/>
  <c r="L478" i="60"/>
  <c r="AA478" i="60" s="1"/>
  <c r="H478" i="60"/>
  <c r="W478" i="60" s="1"/>
  <c r="K478" i="60"/>
  <c r="Z478" i="60" s="1"/>
  <c r="G478" i="60"/>
  <c r="V478" i="60" s="1"/>
  <c r="N478" i="60"/>
  <c r="AC478" i="60" s="1"/>
  <c r="J478" i="60"/>
  <c r="Y478" i="60" s="1"/>
  <c r="F478" i="60"/>
  <c r="U478" i="60" s="1"/>
  <c r="M478" i="60"/>
  <c r="AB478" i="60" s="1"/>
  <c r="I478" i="60"/>
  <c r="X478" i="60" s="1"/>
  <c r="E478" i="60"/>
  <c r="T478" i="60" s="1"/>
  <c r="L388" i="60"/>
  <c r="AA388" i="60" s="1"/>
  <c r="H388" i="60"/>
  <c r="W388" i="60" s="1"/>
  <c r="K388" i="60"/>
  <c r="Z388" i="60" s="1"/>
  <c r="G388" i="60"/>
  <c r="V388" i="60" s="1"/>
  <c r="N388" i="60"/>
  <c r="AC388" i="60" s="1"/>
  <c r="J388" i="60"/>
  <c r="Y388" i="60" s="1"/>
  <c r="F388" i="60"/>
  <c r="U388" i="60" s="1"/>
  <c r="M388" i="60"/>
  <c r="AB388" i="60" s="1"/>
  <c r="I388" i="60"/>
  <c r="X388" i="60" s="1"/>
  <c r="E388" i="60"/>
  <c r="T388" i="60" s="1"/>
  <c r="L400" i="60"/>
  <c r="AA400" i="60" s="1"/>
  <c r="H400" i="60"/>
  <c r="W400" i="60" s="1"/>
  <c r="K400" i="60"/>
  <c r="Z400" i="60" s="1"/>
  <c r="G400" i="60"/>
  <c r="V400" i="60" s="1"/>
  <c r="N400" i="60"/>
  <c r="AC400" i="60" s="1"/>
  <c r="J400" i="60"/>
  <c r="Y400" i="60" s="1"/>
  <c r="F400" i="60"/>
  <c r="U400" i="60" s="1"/>
  <c r="I400" i="60"/>
  <c r="X400" i="60" s="1"/>
  <c r="E400" i="60"/>
  <c r="T400" i="60" s="1"/>
  <c r="M400" i="60"/>
  <c r="AB400" i="60" s="1"/>
  <c r="L218" i="60"/>
  <c r="AA218" i="60" s="1"/>
  <c r="H218" i="60"/>
  <c r="W218" i="60" s="1"/>
  <c r="K218" i="60"/>
  <c r="Z218" i="60" s="1"/>
  <c r="G218" i="60"/>
  <c r="V218" i="60" s="1"/>
  <c r="N218" i="60"/>
  <c r="AC218" i="60" s="1"/>
  <c r="J218" i="60"/>
  <c r="Y218" i="60" s="1"/>
  <c r="F218" i="60"/>
  <c r="U218" i="60" s="1"/>
  <c r="M218" i="60"/>
  <c r="AB218" i="60" s="1"/>
  <c r="I218" i="60"/>
  <c r="X218" i="60" s="1"/>
  <c r="E218" i="60"/>
  <c r="T218" i="60" s="1"/>
  <c r="L412" i="60"/>
  <c r="H412" i="60"/>
  <c r="K412" i="60"/>
  <c r="G412" i="60"/>
  <c r="V412" i="60" s="1"/>
  <c r="N412" i="60"/>
  <c r="J412" i="60"/>
  <c r="F412" i="60"/>
  <c r="M412" i="60"/>
  <c r="AB412" i="60" s="1"/>
  <c r="I412" i="60"/>
  <c r="E412" i="60"/>
  <c r="L416" i="60"/>
  <c r="H416" i="60"/>
  <c r="K416" i="60"/>
  <c r="G416" i="60"/>
  <c r="N416" i="60"/>
  <c r="J416" i="60"/>
  <c r="F416" i="60"/>
  <c r="I416" i="60"/>
  <c r="E416" i="60"/>
  <c r="M416" i="60"/>
  <c r="AB416" i="60" s="1"/>
  <c r="N389" i="60"/>
  <c r="J389" i="60"/>
  <c r="F389" i="60"/>
  <c r="M389" i="60"/>
  <c r="I389" i="60"/>
  <c r="L389" i="60"/>
  <c r="H389" i="60"/>
  <c r="G389" i="60"/>
  <c r="V389" i="60" s="1"/>
  <c r="K389" i="60"/>
  <c r="N393" i="60"/>
  <c r="J393" i="60"/>
  <c r="F393" i="60"/>
  <c r="U393" i="60" s="1"/>
  <c r="M393" i="60"/>
  <c r="I393" i="60"/>
  <c r="E393" i="60"/>
  <c r="L393" i="60"/>
  <c r="AA393" i="60" s="1"/>
  <c r="H393" i="60"/>
  <c r="K393" i="60"/>
  <c r="G393" i="60"/>
  <c r="L214" i="60"/>
  <c r="H214" i="60"/>
  <c r="K214" i="60"/>
  <c r="G214" i="60"/>
  <c r="N214" i="60"/>
  <c r="AC214" i="60" s="1"/>
  <c r="J214" i="60"/>
  <c r="F214" i="60"/>
  <c r="I214" i="60"/>
  <c r="E214" i="60"/>
  <c r="T214" i="60" s="1"/>
  <c r="M214" i="60"/>
  <c r="N409" i="60"/>
  <c r="J409" i="60"/>
  <c r="F409" i="60"/>
  <c r="U409" i="60" s="1"/>
  <c r="M409" i="60"/>
  <c r="I409" i="60"/>
  <c r="E409" i="60"/>
  <c r="L409" i="60"/>
  <c r="AA409" i="60" s="1"/>
  <c r="H409" i="60"/>
  <c r="K409" i="60"/>
  <c r="G409" i="60"/>
  <c r="M490" i="60"/>
  <c r="AB490" i="60" s="1"/>
  <c r="I490" i="60"/>
  <c r="E490" i="60"/>
  <c r="L490" i="60"/>
  <c r="H490" i="60"/>
  <c r="W490" i="60" s="1"/>
  <c r="K490" i="60"/>
  <c r="G490" i="60"/>
  <c r="N490" i="60"/>
  <c r="J490" i="60"/>
  <c r="Y490" i="60" s="1"/>
  <c r="F490" i="60"/>
  <c r="K364" i="60"/>
  <c r="G364" i="60"/>
  <c r="N364" i="60"/>
  <c r="AC364" i="60" s="1"/>
  <c r="J364" i="60"/>
  <c r="F364" i="60"/>
  <c r="M364" i="60"/>
  <c r="E364" i="60"/>
  <c r="T364" i="60" s="1"/>
  <c r="L364" i="60"/>
  <c r="I364" i="60"/>
  <c r="H364" i="60"/>
  <c r="M335" i="60"/>
  <c r="AB335" i="60" s="1"/>
  <c r="I335" i="60"/>
  <c r="E335" i="60"/>
  <c r="L335" i="60"/>
  <c r="H335" i="60"/>
  <c r="W335" i="60" s="1"/>
  <c r="K335" i="60"/>
  <c r="G335" i="60"/>
  <c r="N335" i="60"/>
  <c r="J335" i="60"/>
  <c r="F335" i="60"/>
  <c r="K292" i="60"/>
  <c r="G292" i="60"/>
  <c r="N292" i="60"/>
  <c r="AC292" i="60" s="1"/>
  <c r="J292" i="60"/>
  <c r="F292" i="60"/>
  <c r="M292" i="60"/>
  <c r="I292" i="60"/>
  <c r="X292" i="60" s="1"/>
  <c r="E292" i="60"/>
  <c r="L292" i="60"/>
  <c r="H292" i="60"/>
  <c r="N217" i="60"/>
  <c r="AC217" i="60" s="1"/>
  <c r="J217" i="60"/>
  <c r="F217" i="60"/>
  <c r="M217" i="60"/>
  <c r="I217" i="60"/>
  <c r="L217" i="60"/>
  <c r="H217" i="60"/>
  <c r="K217" i="60"/>
  <c r="G217" i="60"/>
  <c r="M333" i="60"/>
  <c r="I333" i="60"/>
  <c r="E333" i="60"/>
  <c r="L333" i="60"/>
  <c r="H333" i="60"/>
  <c r="K333" i="60"/>
  <c r="G333" i="60"/>
  <c r="N333" i="60"/>
  <c r="J333" i="60"/>
  <c r="F333" i="60"/>
  <c r="N233" i="60"/>
  <c r="M233" i="60"/>
  <c r="AB233" i="60" s="1"/>
  <c r="I233" i="60"/>
  <c r="L233" i="60"/>
  <c r="K233" i="60"/>
  <c r="D492" i="60"/>
  <c r="D596" i="60" s="1"/>
  <c r="K360" i="60"/>
  <c r="G360" i="60"/>
  <c r="N360" i="60"/>
  <c r="J360" i="60"/>
  <c r="Y360" i="60" s="1"/>
  <c r="F360" i="60"/>
  <c r="M360" i="60"/>
  <c r="I360" i="60"/>
  <c r="E360" i="60"/>
  <c r="T360" i="60" s="1"/>
  <c r="L360" i="60"/>
  <c r="H360" i="60"/>
  <c r="M323" i="60"/>
  <c r="I323" i="60"/>
  <c r="X323" i="60" s="1"/>
  <c r="L323" i="60"/>
  <c r="H323" i="60"/>
  <c r="K323" i="60"/>
  <c r="G323" i="60"/>
  <c r="V323" i="60" s="1"/>
  <c r="F323" i="60"/>
  <c r="N323" i="60"/>
  <c r="J323" i="60"/>
  <c r="L226" i="60"/>
  <c r="AA226" i="60" s="1"/>
  <c r="H226" i="60"/>
  <c r="K226" i="60"/>
  <c r="G226" i="60"/>
  <c r="N226" i="60"/>
  <c r="J226" i="60"/>
  <c r="M226" i="60"/>
  <c r="I226" i="60"/>
  <c r="E226" i="60"/>
  <c r="L258" i="60"/>
  <c r="H258" i="60"/>
  <c r="K258" i="60"/>
  <c r="G258" i="60"/>
  <c r="V258" i="60" s="1"/>
  <c r="N258" i="60"/>
  <c r="J258" i="60"/>
  <c r="F258" i="60"/>
  <c r="M258" i="60"/>
  <c r="AB258" i="60" s="1"/>
  <c r="I258" i="60"/>
  <c r="E258" i="60"/>
  <c r="K310" i="60"/>
  <c r="G310" i="60"/>
  <c r="N310" i="60"/>
  <c r="J310" i="60"/>
  <c r="F310" i="60"/>
  <c r="M310" i="60"/>
  <c r="AB310" i="60" s="1"/>
  <c r="I310" i="60"/>
  <c r="E310" i="60"/>
  <c r="H310" i="60"/>
  <c r="L310" i="60"/>
  <c r="AA310" i="60" s="1"/>
  <c r="N399" i="60"/>
  <c r="J399" i="60"/>
  <c r="F399" i="60"/>
  <c r="M399" i="60"/>
  <c r="AB399" i="60" s="1"/>
  <c r="I399" i="60"/>
  <c r="E399" i="60"/>
  <c r="L399" i="60"/>
  <c r="H399" i="60"/>
  <c r="W399" i="60" s="1"/>
  <c r="K399" i="60"/>
  <c r="G399" i="60"/>
  <c r="M299" i="60"/>
  <c r="I299" i="60"/>
  <c r="X299" i="60" s="1"/>
  <c r="E299" i="60"/>
  <c r="L299" i="60"/>
  <c r="H299" i="60"/>
  <c r="K299" i="60"/>
  <c r="Z299" i="60" s="1"/>
  <c r="G299" i="60"/>
  <c r="N299" i="60"/>
  <c r="J299" i="60"/>
  <c r="L216" i="60"/>
  <c r="AA216" i="60" s="1"/>
  <c r="H216" i="60"/>
  <c r="W216" i="60" s="1"/>
  <c r="K216" i="60"/>
  <c r="Z216" i="60" s="1"/>
  <c r="G216" i="60"/>
  <c r="V216" i="60" s="1"/>
  <c r="N216" i="60"/>
  <c r="AC216" i="60" s="1"/>
  <c r="J216" i="60"/>
  <c r="Y216" i="60" s="1"/>
  <c r="F216" i="60"/>
  <c r="U216" i="60" s="1"/>
  <c r="E216" i="60"/>
  <c r="T216" i="60" s="1"/>
  <c r="M216" i="60"/>
  <c r="AB216" i="60" s="1"/>
  <c r="I216" i="60"/>
  <c r="X216" i="60" s="1"/>
  <c r="K332" i="60"/>
  <c r="G332" i="60"/>
  <c r="N332" i="60"/>
  <c r="AC332" i="60" s="1"/>
  <c r="J332" i="60"/>
  <c r="F332" i="60"/>
  <c r="M332" i="60"/>
  <c r="I332" i="60"/>
  <c r="X332" i="60" s="1"/>
  <c r="E332" i="60"/>
  <c r="L332" i="60"/>
  <c r="H332" i="60"/>
  <c r="L232" i="60"/>
  <c r="AA232" i="60" s="1"/>
  <c r="H232" i="60"/>
  <c r="K232" i="60"/>
  <c r="G232" i="60"/>
  <c r="N232" i="60"/>
  <c r="AC232" i="60" s="1"/>
  <c r="J232" i="60"/>
  <c r="F232" i="60"/>
  <c r="E232" i="60"/>
  <c r="M232" i="60"/>
  <c r="AB232" i="60" s="1"/>
  <c r="I232" i="60"/>
  <c r="M319" i="60"/>
  <c r="I319" i="60"/>
  <c r="E319" i="60"/>
  <c r="T319" i="60" s="1"/>
  <c r="L319" i="60"/>
  <c r="H319" i="60"/>
  <c r="K319" i="60"/>
  <c r="G319" i="60"/>
  <c r="V319" i="60" s="1"/>
  <c r="N319" i="60"/>
  <c r="J319" i="60"/>
  <c r="F319" i="60"/>
  <c r="L238" i="60"/>
  <c r="AA238" i="60" s="1"/>
  <c r="H238" i="60"/>
  <c r="W238" i="60" s="1"/>
  <c r="K238" i="60"/>
  <c r="Z238" i="60" s="1"/>
  <c r="G238" i="60"/>
  <c r="V238" i="60" s="1"/>
  <c r="N238" i="60"/>
  <c r="AC238" i="60" s="1"/>
  <c r="J238" i="60"/>
  <c r="Y238" i="60" s="1"/>
  <c r="F238" i="60"/>
  <c r="U238" i="60" s="1"/>
  <c r="I238" i="60"/>
  <c r="X238" i="60" s="1"/>
  <c r="E238" i="60"/>
  <c r="T238" i="60" s="1"/>
  <c r="M238" i="60"/>
  <c r="AB238" i="60" s="1"/>
  <c r="K270" i="60"/>
  <c r="Z270" i="60" s="1"/>
  <c r="G270" i="60"/>
  <c r="V270" i="60" s="1"/>
  <c r="N270" i="60"/>
  <c r="AC270" i="60" s="1"/>
  <c r="J270" i="60"/>
  <c r="Y270" i="60" s="1"/>
  <c r="F270" i="60"/>
  <c r="U270" i="60" s="1"/>
  <c r="M270" i="60"/>
  <c r="AB270" i="60" s="1"/>
  <c r="I270" i="60"/>
  <c r="X270" i="60" s="1"/>
  <c r="E270" i="60"/>
  <c r="T270" i="60" s="1"/>
  <c r="H270" i="60"/>
  <c r="W270" i="60" s="1"/>
  <c r="L270" i="60"/>
  <c r="AA270" i="60" s="1"/>
  <c r="L450" i="60"/>
  <c r="AA450" i="60" s="1"/>
  <c r="H450" i="60"/>
  <c r="W450" i="60" s="1"/>
  <c r="K450" i="60"/>
  <c r="Z450" i="60" s="1"/>
  <c r="G450" i="60"/>
  <c r="V450" i="60" s="1"/>
  <c r="N450" i="60"/>
  <c r="AC450" i="60" s="1"/>
  <c r="J450" i="60"/>
  <c r="Y450" i="60" s="1"/>
  <c r="F450" i="60"/>
  <c r="U450" i="60" s="1"/>
  <c r="E450" i="60"/>
  <c r="T450" i="60" s="1"/>
  <c r="M450" i="60"/>
  <c r="AB450" i="60" s="1"/>
  <c r="I450" i="60"/>
  <c r="X450" i="60" s="1"/>
  <c r="K286" i="60"/>
  <c r="G286" i="60"/>
  <c r="N286" i="60"/>
  <c r="AC286" i="60" s="1"/>
  <c r="J286" i="60"/>
  <c r="F286" i="60"/>
  <c r="M286" i="60"/>
  <c r="I286" i="60"/>
  <c r="X286" i="60" s="1"/>
  <c r="E286" i="60"/>
  <c r="H286" i="60"/>
  <c r="L286" i="60"/>
  <c r="L390" i="60"/>
  <c r="H390" i="60"/>
  <c r="K390" i="60"/>
  <c r="G390" i="60"/>
  <c r="N390" i="60"/>
  <c r="AC390" i="60" s="1"/>
  <c r="J390" i="60"/>
  <c r="F390" i="60"/>
  <c r="M390" i="60"/>
  <c r="I390" i="60"/>
  <c r="E390" i="60"/>
  <c r="M496" i="60"/>
  <c r="I496" i="60"/>
  <c r="E496" i="60"/>
  <c r="T496" i="60" s="1"/>
  <c r="L496" i="60"/>
  <c r="H496" i="60"/>
  <c r="K496" i="60"/>
  <c r="G496" i="60"/>
  <c r="F496" i="60"/>
  <c r="N496" i="60"/>
  <c r="J496" i="60"/>
  <c r="L222" i="60"/>
  <c r="AA222" i="60" s="1"/>
  <c r="H222" i="60"/>
  <c r="K222" i="60"/>
  <c r="G222" i="60"/>
  <c r="V222" i="60" s="1"/>
  <c r="N222" i="60"/>
  <c r="AC222" i="60" s="1"/>
  <c r="J222" i="60"/>
  <c r="Y222" i="60" s="1"/>
  <c r="F222" i="60"/>
  <c r="I222" i="60"/>
  <c r="X222" i="60" s="1"/>
  <c r="E222" i="60"/>
  <c r="M222" i="60"/>
  <c r="L372" i="60"/>
  <c r="AA372" i="60" s="1"/>
  <c r="H372" i="60"/>
  <c r="W372" i="60" s="1"/>
  <c r="K372" i="60"/>
  <c r="Z372" i="60" s="1"/>
  <c r="G372" i="60"/>
  <c r="V372" i="60" s="1"/>
  <c r="N372" i="60"/>
  <c r="AC372" i="60" s="1"/>
  <c r="J372" i="60"/>
  <c r="Y372" i="60" s="1"/>
  <c r="F372" i="60"/>
  <c r="U372" i="60" s="1"/>
  <c r="M372" i="60"/>
  <c r="AB372" i="60" s="1"/>
  <c r="I372" i="60"/>
  <c r="X372" i="60" s="1"/>
  <c r="E372" i="60"/>
  <c r="T372" i="60" s="1"/>
  <c r="K350" i="60"/>
  <c r="G350" i="60"/>
  <c r="N350" i="60"/>
  <c r="J350" i="60"/>
  <c r="F350" i="60"/>
  <c r="M350" i="60"/>
  <c r="I350" i="60"/>
  <c r="E350" i="60"/>
  <c r="T350" i="60" s="1"/>
  <c r="H350" i="60"/>
  <c r="L350" i="60"/>
  <c r="N239" i="60"/>
  <c r="AC239" i="60" s="1"/>
  <c r="J239" i="60"/>
  <c r="Y239" i="60" s="1"/>
  <c r="F239" i="60"/>
  <c r="U239" i="60" s="1"/>
  <c r="M239" i="60"/>
  <c r="AB239" i="60" s="1"/>
  <c r="I239" i="60"/>
  <c r="X239" i="60" s="1"/>
  <c r="E239" i="60"/>
  <c r="T239" i="60" s="1"/>
  <c r="L239" i="60"/>
  <c r="AA239" i="60" s="1"/>
  <c r="H239" i="60"/>
  <c r="W239" i="60" s="1"/>
  <c r="K239" i="60"/>
  <c r="Z239" i="60" s="1"/>
  <c r="G239" i="60"/>
  <c r="V239" i="60" s="1"/>
  <c r="N247" i="60"/>
  <c r="AC247" i="60" s="1"/>
  <c r="J247" i="60"/>
  <c r="Y247" i="60" s="1"/>
  <c r="F247" i="60"/>
  <c r="U247" i="60" s="1"/>
  <c r="M247" i="60"/>
  <c r="AB247" i="60" s="1"/>
  <c r="I247" i="60"/>
  <c r="X247" i="60" s="1"/>
  <c r="E247" i="60"/>
  <c r="T247" i="60" s="1"/>
  <c r="L247" i="60"/>
  <c r="AA247" i="60" s="1"/>
  <c r="H247" i="60"/>
  <c r="W247" i="60" s="1"/>
  <c r="K247" i="60"/>
  <c r="Z247" i="60" s="1"/>
  <c r="G247" i="60"/>
  <c r="V247" i="60" s="1"/>
  <c r="N219" i="60"/>
  <c r="AC219" i="60" s="1"/>
  <c r="J219" i="60"/>
  <c r="Y219" i="60" s="1"/>
  <c r="F219" i="60"/>
  <c r="U219" i="60" s="1"/>
  <c r="M219" i="60"/>
  <c r="AB219" i="60" s="1"/>
  <c r="I219" i="60"/>
  <c r="X219" i="60" s="1"/>
  <c r="E219" i="60"/>
  <c r="T219" i="60" s="1"/>
  <c r="L219" i="60"/>
  <c r="AA219" i="60" s="1"/>
  <c r="H219" i="60"/>
  <c r="W219" i="60" s="1"/>
  <c r="G219" i="60"/>
  <c r="V219" i="60" s="1"/>
  <c r="K219" i="60"/>
  <c r="Z219" i="60" s="1"/>
  <c r="N211" i="60"/>
  <c r="AC211" i="60" s="1"/>
  <c r="J211" i="60"/>
  <c r="Y211" i="60" s="1"/>
  <c r="F211" i="60"/>
  <c r="M211" i="60"/>
  <c r="AB211" i="60" s="1"/>
  <c r="I211" i="60"/>
  <c r="X211" i="60" s="1"/>
  <c r="E211" i="60"/>
  <c r="L211" i="60"/>
  <c r="AA211" i="60" s="1"/>
  <c r="H211" i="60"/>
  <c r="W211" i="60" s="1"/>
  <c r="G211" i="60"/>
  <c r="V211" i="60" s="1"/>
  <c r="K211" i="60"/>
  <c r="Z211" i="60" s="1"/>
  <c r="M309" i="60"/>
  <c r="AB309" i="60" s="1"/>
  <c r="I309" i="60"/>
  <c r="X309" i="60" s="1"/>
  <c r="E309" i="60"/>
  <c r="T309" i="60" s="1"/>
  <c r="L309" i="60"/>
  <c r="AA309" i="60" s="1"/>
  <c r="H309" i="60"/>
  <c r="W309" i="60" s="1"/>
  <c r="K309" i="60"/>
  <c r="Z309" i="60" s="1"/>
  <c r="G309" i="60"/>
  <c r="V309" i="60" s="1"/>
  <c r="N309" i="60"/>
  <c r="AC309" i="60" s="1"/>
  <c r="J309" i="60"/>
  <c r="Y309" i="60" s="1"/>
  <c r="F309" i="60"/>
  <c r="U309" i="60" s="1"/>
  <c r="K322" i="60"/>
  <c r="Z322" i="60" s="1"/>
  <c r="G322" i="60"/>
  <c r="V322" i="60" s="1"/>
  <c r="N322" i="60"/>
  <c r="AC322" i="60" s="1"/>
  <c r="J322" i="60"/>
  <c r="Y322" i="60" s="1"/>
  <c r="F322" i="60"/>
  <c r="U322" i="60" s="1"/>
  <c r="M322" i="60"/>
  <c r="AB322" i="60" s="1"/>
  <c r="I322" i="60"/>
  <c r="X322" i="60" s="1"/>
  <c r="E322" i="60"/>
  <c r="T322" i="60" s="1"/>
  <c r="L322" i="60"/>
  <c r="AA322" i="60" s="1"/>
  <c r="H322" i="60"/>
  <c r="W322" i="60" s="1"/>
  <c r="K338" i="60"/>
  <c r="Z338" i="60" s="1"/>
  <c r="G338" i="60"/>
  <c r="V338" i="60" s="1"/>
  <c r="N338" i="60"/>
  <c r="AC338" i="60" s="1"/>
  <c r="J338" i="60"/>
  <c r="Y338" i="60" s="1"/>
  <c r="F338" i="60"/>
  <c r="U338" i="60" s="1"/>
  <c r="M338" i="60"/>
  <c r="AB338" i="60" s="1"/>
  <c r="I338" i="60"/>
  <c r="X338" i="60" s="1"/>
  <c r="E338" i="60"/>
  <c r="T338" i="60" s="1"/>
  <c r="L338" i="60"/>
  <c r="AA338" i="60" s="1"/>
  <c r="H338" i="60"/>
  <c r="W338" i="60" s="1"/>
  <c r="K346" i="60"/>
  <c r="Z346" i="60" s="1"/>
  <c r="G346" i="60"/>
  <c r="V346" i="60" s="1"/>
  <c r="N346" i="60"/>
  <c r="AC346" i="60" s="1"/>
  <c r="J346" i="60"/>
  <c r="Y346" i="60" s="1"/>
  <c r="F346" i="60"/>
  <c r="U346" i="60" s="1"/>
  <c r="M346" i="60"/>
  <c r="AB346" i="60" s="1"/>
  <c r="I346" i="60"/>
  <c r="X346" i="60" s="1"/>
  <c r="E346" i="60"/>
  <c r="T346" i="60" s="1"/>
  <c r="L346" i="60"/>
  <c r="AA346" i="60" s="1"/>
  <c r="H346" i="60"/>
  <c r="W346" i="60" s="1"/>
  <c r="L256" i="60"/>
  <c r="AA256" i="60" s="1"/>
  <c r="H256" i="60"/>
  <c r="W256" i="60" s="1"/>
  <c r="K256" i="60"/>
  <c r="Z256" i="60" s="1"/>
  <c r="G256" i="60"/>
  <c r="V256" i="60" s="1"/>
  <c r="N256" i="60"/>
  <c r="AC256" i="60" s="1"/>
  <c r="J256" i="60"/>
  <c r="Y256" i="60" s="1"/>
  <c r="E256" i="60"/>
  <c r="T256" i="60" s="1"/>
  <c r="M256" i="60"/>
  <c r="AB256" i="60" s="1"/>
  <c r="I256" i="60"/>
  <c r="X256" i="60" s="1"/>
  <c r="K264" i="60"/>
  <c r="Z264" i="60" s="1"/>
  <c r="G264" i="60"/>
  <c r="V264" i="60" s="1"/>
  <c r="N264" i="60"/>
  <c r="AC264" i="60" s="1"/>
  <c r="J264" i="60"/>
  <c r="Y264" i="60" s="1"/>
  <c r="F264" i="60"/>
  <c r="U264" i="60" s="1"/>
  <c r="M264" i="60"/>
  <c r="AB264" i="60" s="1"/>
  <c r="I264" i="60"/>
  <c r="X264" i="60" s="1"/>
  <c r="E264" i="60"/>
  <c r="T264" i="60" s="1"/>
  <c r="L264" i="60"/>
  <c r="AA264" i="60" s="1"/>
  <c r="H264" i="60"/>
  <c r="W264" i="60" s="1"/>
  <c r="L382" i="60"/>
  <c r="AA382" i="60" s="1"/>
  <c r="H382" i="60"/>
  <c r="W382" i="60" s="1"/>
  <c r="K382" i="60"/>
  <c r="Z382" i="60" s="1"/>
  <c r="G382" i="60"/>
  <c r="V382" i="60" s="1"/>
  <c r="N382" i="60"/>
  <c r="AC382" i="60" s="1"/>
  <c r="J382" i="60"/>
  <c r="Y382" i="60" s="1"/>
  <c r="F382" i="60"/>
  <c r="U382" i="60" s="1"/>
  <c r="M382" i="60"/>
  <c r="AB382" i="60" s="1"/>
  <c r="I382" i="60"/>
  <c r="X382" i="60" s="1"/>
  <c r="E382" i="60"/>
  <c r="T382" i="60" s="1"/>
  <c r="M317" i="60"/>
  <c r="AB317" i="60" s="1"/>
  <c r="I317" i="60"/>
  <c r="X317" i="60" s="1"/>
  <c r="E317" i="60"/>
  <c r="T317" i="60" s="1"/>
  <c r="L317" i="60"/>
  <c r="AA317" i="60" s="1"/>
  <c r="H317" i="60"/>
  <c r="W317" i="60" s="1"/>
  <c r="K317" i="60"/>
  <c r="Z317" i="60" s="1"/>
  <c r="G317" i="60"/>
  <c r="V317" i="60" s="1"/>
  <c r="N317" i="60"/>
  <c r="AC317" i="60" s="1"/>
  <c r="J317" i="60"/>
  <c r="Y317" i="60" s="1"/>
  <c r="F317" i="60"/>
  <c r="U317" i="60" s="1"/>
  <c r="K266" i="60"/>
  <c r="G266" i="60"/>
  <c r="V266" i="60" s="1"/>
  <c r="N266" i="60"/>
  <c r="J266" i="60"/>
  <c r="F266" i="60"/>
  <c r="M266" i="60"/>
  <c r="AB266" i="60" s="1"/>
  <c r="I266" i="60"/>
  <c r="E266" i="60"/>
  <c r="L266" i="60"/>
  <c r="H266" i="60"/>
  <c r="W266" i="60" s="1"/>
  <c r="K312" i="60"/>
  <c r="G312" i="60"/>
  <c r="N312" i="60"/>
  <c r="J312" i="60"/>
  <c r="Y312" i="60" s="1"/>
  <c r="F312" i="60"/>
  <c r="M312" i="60"/>
  <c r="I312" i="60"/>
  <c r="E312" i="60"/>
  <c r="T312" i="60" s="1"/>
  <c r="L312" i="60"/>
  <c r="H312" i="60"/>
  <c r="N245" i="60"/>
  <c r="J245" i="60"/>
  <c r="F245" i="60"/>
  <c r="M245" i="60"/>
  <c r="I245" i="60"/>
  <c r="E245" i="60"/>
  <c r="L245" i="60"/>
  <c r="H245" i="60"/>
  <c r="K245" i="60"/>
  <c r="G245" i="60"/>
  <c r="V245" i="60" s="1"/>
  <c r="M261" i="60"/>
  <c r="AB261" i="60" s="1"/>
  <c r="I261" i="60"/>
  <c r="X261" i="60" s="1"/>
  <c r="E261" i="60"/>
  <c r="T261" i="60" s="1"/>
  <c r="L261" i="60"/>
  <c r="AA261" i="60" s="1"/>
  <c r="H261" i="60"/>
  <c r="W261" i="60" s="1"/>
  <c r="K261" i="60"/>
  <c r="Z261" i="60" s="1"/>
  <c r="G261" i="60"/>
  <c r="V261" i="60" s="1"/>
  <c r="N261" i="60"/>
  <c r="AC261" i="60" s="1"/>
  <c r="J261" i="60"/>
  <c r="Y261" i="60" s="1"/>
  <c r="F261" i="60"/>
  <c r="U261" i="60" s="1"/>
  <c r="M277" i="60"/>
  <c r="AB277" i="60" s="1"/>
  <c r="I277" i="60"/>
  <c r="X277" i="60" s="1"/>
  <c r="E277" i="60"/>
  <c r="T277" i="60" s="1"/>
  <c r="L277" i="60"/>
  <c r="AA277" i="60" s="1"/>
  <c r="H277" i="60"/>
  <c r="W277" i="60" s="1"/>
  <c r="K277" i="60"/>
  <c r="Z277" i="60" s="1"/>
  <c r="G277" i="60"/>
  <c r="V277" i="60" s="1"/>
  <c r="N277" i="60"/>
  <c r="AC277" i="60" s="1"/>
  <c r="J277" i="60"/>
  <c r="Y277" i="60" s="1"/>
  <c r="F277" i="60"/>
  <c r="U277" i="60" s="1"/>
  <c r="K354" i="60"/>
  <c r="Z354" i="60" s="1"/>
  <c r="G354" i="60"/>
  <c r="V354" i="60" s="1"/>
  <c r="N354" i="60"/>
  <c r="AC354" i="60" s="1"/>
  <c r="J354" i="60"/>
  <c r="Y354" i="60" s="1"/>
  <c r="F354" i="60"/>
  <c r="U354" i="60" s="1"/>
  <c r="M354" i="60"/>
  <c r="AB354" i="60" s="1"/>
  <c r="I354" i="60"/>
  <c r="X354" i="60" s="1"/>
  <c r="E354" i="60"/>
  <c r="T354" i="60" s="1"/>
  <c r="L354" i="60"/>
  <c r="AA354" i="60" s="1"/>
  <c r="H354" i="60"/>
  <c r="W354" i="60" s="1"/>
  <c r="N415" i="60"/>
  <c r="J415" i="60"/>
  <c r="Y415" i="60" s="1"/>
  <c r="F415" i="60"/>
  <c r="M415" i="60"/>
  <c r="I415" i="60"/>
  <c r="E415" i="60"/>
  <c r="L415" i="60"/>
  <c r="H415" i="60"/>
  <c r="K415" i="60"/>
  <c r="G415" i="60"/>
  <c r="K282" i="60"/>
  <c r="G282" i="60"/>
  <c r="N282" i="60"/>
  <c r="J282" i="60"/>
  <c r="Y282" i="60" s="1"/>
  <c r="F282" i="60"/>
  <c r="M282" i="60"/>
  <c r="I282" i="60"/>
  <c r="E282" i="60"/>
  <c r="T282" i="60" s="1"/>
  <c r="L282" i="60"/>
  <c r="H282" i="60"/>
  <c r="M351" i="60"/>
  <c r="I351" i="60"/>
  <c r="X351" i="60" s="1"/>
  <c r="E351" i="60"/>
  <c r="L351" i="60"/>
  <c r="H351" i="60"/>
  <c r="K351" i="60"/>
  <c r="Z351" i="60" s="1"/>
  <c r="G351" i="60"/>
  <c r="N351" i="60"/>
  <c r="J351" i="60"/>
  <c r="F351" i="60"/>
  <c r="U351" i="60" s="1"/>
  <c r="K262" i="60"/>
  <c r="G262" i="60"/>
  <c r="N262" i="60"/>
  <c r="J262" i="60"/>
  <c r="Y262" i="60" s="1"/>
  <c r="F262" i="60"/>
  <c r="M262" i="60"/>
  <c r="I262" i="60"/>
  <c r="E262" i="60"/>
  <c r="T262" i="60" s="1"/>
  <c r="H262" i="60"/>
  <c r="L262" i="60"/>
  <c r="M311" i="60"/>
  <c r="E311" i="60"/>
  <c r="T311" i="60" s="1"/>
  <c r="L311" i="60"/>
  <c r="H311" i="60"/>
  <c r="G311" i="60"/>
  <c r="N311" i="60"/>
  <c r="AC311" i="60" s="1"/>
  <c r="J311" i="60"/>
  <c r="F311" i="60"/>
  <c r="K340" i="60"/>
  <c r="G340" i="60"/>
  <c r="V340" i="60" s="1"/>
  <c r="N340" i="60"/>
  <c r="J340" i="60"/>
  <c r="F340" i="60"/>
  <c r="M340" i="60"/>
  <c r="AB340" i="60" s="1"/>
  <c r="I340" i="60"/>
  <c r="E340" i="60"/>
  <c r="L340" i="60"/>
  <c r="H340" i="60"/>
  <c r="W340" i="60" s="1"/>
  <c r="K348" i="60"/>
  <c r="Z348" i="60" s="1"/>
  <c r="G348" i="60"/>
  <c r="V348" i="60" s="1"/>
  <c r="N348" i="60"/>
  <c r="AC348" i="60" s="1"/>
  <c r="J348" i="60"/>
  <c r="Y348" i="60" s="1"/>
  <c r="F348" i="60"/>
  <c r="U348" i="60" s="1"/>
  <c r="M348" i="60"/>
  <c r="AB348" i="60" s="1"/>
  <c r="I348" i="60"/>
  <c r="X348" i="60" s="1"/>
  <c r="E348" i="60"/>
  <c r="T348" i="60" s="1"/>
  <c r="L348" i="60"/>
  <c r="AA348" i="60" s="1"/>
  <c r="H348" i="60"/>
  <c r="W348" i="60" s="1"/>
  <c r="K288" i="60"/>
  <c r="G288" i="60"/>
  <c r="N288" i="60"/>
  <c r="J288" i="60"/>
  <c r="M288" i="60"/>
  <c r="I288" i="60"/>
  <c r="X288" i="60" s="1"/>
  <c r="E288" i="60"/>
  <c r="L288" i="60"/>
  <c r="H288" i="60"/>
  <c r="K304" i="60"/>
  <c r="G304" i="60"/>
  <c r="N304" i="60"/>
  <c r="J304" i="60"/>
  <c r="F304" i="60"/>
  <c r="U304" i="60" s="1"/>
  <c r="M304" i="60"/>
  <c r="I304" i="60"/>
  <c r="E304" i="60"/>
  <c r="L304" i="60"/>
  <c r="AA304" i="60" s="1"/>
  <c r="H304" i="60"/>
  <c r="N229" i="60"/>
  <c r="J229" i="60"/>
  <c r="F229" i="60"/>
  <c r="U229" i="60" s="1"/>
  <c r="M229" i="60"/>
  <c r="E229" i="60"/>
  <c r="L229" i="60"/>
  <c r="H229" i="60"/>
  <c r="W229" i="60" s="1"/>
  <c r="K229" i="60"/>
  <c r="G229" i="60"/>
  <c r="N413" i="60"/>
  <c r="J413" i="60"/>
  <c r="F413" i="60"/>
  <c r="M413" i="60"/>
  <c r="I413" i="60"/>
  <c r="E413" i="60"/>
  <c r="L413" i="60"/>
  <c r="H413" i="60"/>
  <c r="G413" i="60"/>
  <c r="K413" i="60"/>
  <c r="N417" i="60"/>
  <c r="AC417" i="60" s="1"/>
  <c r="J417" i="60"/>
  <c r="Y417" i="60" s="1"/>
  <c r="F417" i="60"/>
  <c r="U417" i="60" s="1"/>
  <c r="M417" i="60"/>
  <c r="AB417" i="60" s="1"/>
  <c r="I417" i="60"/>
  <c r="X417" i="60" s="1"/>
  <c r="E417" i="60"/>
  <c r="T417" i="60" s="1"/>
  <c r="L417" i="60"/>
  <c r="AA417" i="60" s="1"/>
  <c r="H417" i="60"/>
  <c r="W417" i="60" s="1"/>
  <c r="K417" i="60"/>
  <c r="Z417" i="60" s="1"/>
  <c r="G417" i="60"/>
  <c r="V417" i="60" s="1"/>
  <c r="D458" i="60"/>
  <c r="M482" i="60"/>
  <c r="AB482" i="60" s="1"/>
  <c r="I482" i="60"/>
  <c r="E482" i="60"/>
  <c r="L482" i="60"/>
  <c r="H482" i="60"/>
  <c r="W482" i="60" s="1"/>
  <c r="K482" i="60"/>
  <c r="G482" i="60"/>
  <c r="N482" i="60"/>
  <c r="J482" i="60"/>
  <c r="Y482" i="60" s="1"/>
  <c r="F482" i="60"/>
  <c r="L406" i="60"/>
  <c r="AA406" i="60" s="1"/>
  <c r="H406" i="60"/>
  <c r="W406" i="60" s="1"/>
  <c r="K406" i="60"/>
  <c r="Z406" i="60" s="1"/>
  <c r="G406" i="60"/>
  <c r="V406" i="60" s="1"/>
  <c r="N406" i="60"/>
  <c r="AC406" i="60" s="1"/>
  <c r="J406" i="60"/>
  <c r="Y406" i="60" s="1"/>
  <c r="F406" i="60"/>
  <c r="U406" i="60" s="1"/>
  <c r="M406" i="60"/>
  <c r="AB406" i="60" s="1"/>
  <c r="I406" i="60"/>
  <c r="X406" i="60" s="1"/>
  <c r="E406" i="60"/>
  <c r="T406" i="60" s="1"/>
  <c r="K314" i="60"/>
  <c r="Z314" i="60" s="1"/>
  <c r="G314" i="60"/>
  <c r="N314" i="60"/>
  <c r="J314" i="60"/>
  <c r="F314" i="60"/>
  <c r="U314" i="60" s="1"/>
  <c r="M314" i="60"/>
  <c r="I314" i="60"/>
  <c r="E314" i="60"/>
  <c r="L314" i="60"/>
  <c r="AA314" i="60" s="1"/>
  <c r="H314" i="60"/>
  <c r="M293" i="60"/>
  <c r="I293" i="60"/>
  <c r="E293" i="60"/>
  <c r="L293" i="60"/>
  <c r="H293" i="60"/>
  <c r="K293" i="60"/>
  <c r="G293" i="60"/>
  <c r="N293" i="60"/>
  <c r="J293" i="60"/>
  <c r="F293" i="60"/>
  <c r="K306" i="60"/>
  <c r="Z306" i="60" s="1"/>
  <c r="G306" i="60"/>
  <c r="N306" i="60"/>
  <c r="J306" i="60"/>
  <c r="F306" i="60"/>
  <c r="U306" i="60" s="1"/>
  <c r="M306" i="60"/>
  <c r="I306" i="60"/>
  <c r="E306" i="60"/>
  <c r="L306" i="60"/>
  <c r="AA306" i="60" s="1"/>
  <c r="H306" i="60"/>
  <c r="N251" i="60"/>
  <c r="AC251" i="60" s="1"/>
  <c r="J251" i="60"/>
  <c r="Y251" i="60" s="1"/>
  <c r="F251" i="60"/>
  <c r="U251" i="60" s="1"/>
  <c r="M251" i="60"/>
  <c r="AB251" i="60" s="1"/>
  <c r="I251" i="60"/>
  <c r="X251" i="60" s="1"/>
  <c r="E251" i="60"/>
  <c r="T251" i="60" s="1"/>
  <c r="L251" i="60"/>
  <c r="AA251" i="60" s="1"/>
  <c r="H251" i="60"/>
  <c r="W251" i="60" s="1"/>
  <c r="G251" i="60"/>
  <c r="V251" i="60" s="1"/>
  <c r="K251" i="60"/>
  <c r="Z251" i="60" s="1"/>
  <c r="N255" i="60"/>
  <c r="AC255" i="60" s="1"/>
  <c r="J255" i="60"/>
  <c r="F255" i="60"/>
  <c r="M255" i="60"/>
  <c r="I255" i="60"/>
  <c r="X255" i="60" s="1"/>
  <c r="E255" i="60"/>
  <c r="L255" i="60"/>
  <c r="H255" i="60"/>
  <c r="K255" i="60"/>
  <c r="Z255" i="60" s="1"/>
  <c r="G255" i="60"/>
  <c r="M263" i="60"/>
  <c r="I263" i="60"/>
  <c r="E263" i="60"/>
  <c r="T263" i="60" s="1"/>
  <c r="L263" i="60"/>
  <c r="H263" i="60"/>
  <c r="K263" i="60"/>
  <c r="G263" i="60"/>
  <c r="V263" i="60" s="1"/>
  <c r="N263" i="60"/>
  <c r="J263" i="60"/>
  <c r="F263" i="60"/>
  <c r="M271" i="60"/>
  <c r="AB271" i="60" s="1"/>
  <c r="I271" i="60"/>
  <c r="E271" i="60"/>
  <c r="L271" i="60"/>
  <c r="H271" i="60"/>
  <c r="W271" i="60" s="1"/>
  <c r="K271" i="60"/>
  <c r="G271" i="60"/>
  <c r="N271" i="60"/>
  <c r="J271" i="60"/>
  <c r="Y271" i="60" s="1"/>
  <c r="F271" i="60"/>
  <c r="M279" i="60"/>
  <c r="I279" i="60"/>
  <c r="E279" i="60"/>
  <c r="T279" i="60" s="1"/>
  <c r="L279" i="60"/>
  <c r="H279" i="60"/>
  <c r="K279" i="60"/>
  <c r="G279" i="60"/>
  <c r="V279" i="60" s="1"/>
  <c r="N279" i="60"/>
  <c r="J279" i="60"/>
  <c r="F279" i="60"/>
  <c r="M283" i="60"/>
  <c r="I283" i="60"/>
  <c r="E283" i="60"/>
  <c r="L283" i="60"/>
  <c r="H283" i="60"/>
  <c r="W283" i="60" s="1"/>
  <c r="K283" i="60"/>
  <c r="G283" i="60"/>
  <c r="F283" i="60"/>
  <c r="N283" i="60"/>
  <c r="J283" i="60"/>
  <c r="M295" i="60"/>
  <c r="I295" i="60"/>
  <c r="E295" i="60"/>
  <c r="T295" i="60" s="1"/>
  <c r="L295" i="60"/>
  <c r="H295" i="60"/>
  <c r="K295" i="60"/>
  <c r="G295" i="60"/>
  <c r="N295" i="60"/>
  <c r="J295" i="60"/>
  <c r="F295" i="60"/>
  <c r="K328" i="60"/>
  <c r="Z328" i="60" s="1"/>
  <c r="G328" i="60"/>
  <c r="V328" i="60" s="1"/>
  <c r="N328" i="60"/>
  <c r="AC328" i="60" s="1"/>
  <c r="J328" i="60"/>
  <c r="Y328" i="60" s="1"/>
  <c r="F328" i="60"/>
  <c r="U328" i="60" s="1"/>
  <c r="M328" i="60"/>
  <c r="AB328" i="60" s="1"/>
  <c r="I328" i="60"/>
  <c r="X328" i="60" s="1"/>
  <c r="E328" i="60"/>
  <c r="T328" i="60" s="1"/>
  <c r="L328" i="60"/>
  <c r="AA328" i="60" s="1"/>
  <c r="H328" i="60"/>
  <c r="W328" i="60" s="1"/>
  <c r="D474" i="60"/>
  <c r="M289" i="60"/>
  <c r="AB289" i="60" s="1"/>
  <c r="I289" i="60"/>
  <c r="X289" i="60" s="1"/>
  <c r="E289" i="60"/>
  <c r="T289" i="60" s="1"/>
  <c r="L289" i="60"/>
  <c r="AA289" i="60" s="1"/>
  <c r="H289" i="60"/>
  <c r="K289" i="60"/>
  <c r="Z289" i="60" s="1"/>
  <c r="G289" i="60"/>
  <c r="V289" i="60" s="1"/>
  <c r="J289" i="60"/>
  <c r="F289" i="60"/>
  <c r="U289" i="60" s="1"/>
  <c r="N289" i="60"/>
  <c r="AC289" i="60" s="1"/>
  <c r="K272" i="60"/>
  <c r="G272" i="60"/>
  <c r="N272" i="60"/>
  <c r="J272" i="60"/>
  <c r="Y272" i="60" s="1"/>
  <c r="F272" i="60"/>
  <c r="M272" i="60"/>
  <c r="I272" i="60"/>
  <c r="E272" i="60"/>
  <c r="L272" i="60"/>
  <c r="H272" i="60"/>
  <c r="N215" i="60"/>
  <c r="AC215" i="60" s="1"/>
  <c r="J215" i="60"/>
  <c r="Y215" i="60" s="1"/>
  <c r="F215" i="60"/>
  <c r="M215" i="60"/>
  <c r="AB215" i="60" s="1"/>
  <c r="I215" i="60"/>
  <c r="X215" i="60" s="1"/>
  <c r="E215" i="60"/>
  <c r="L215" i="60"/>
  <c r="AA215" i="60" s="1"/>
  <c r="H215" i="60"/>
  <c r="W215" i="60" s="1"/>
  <c r="K215" i="60"/>
  <c r="Z215" i="60" s="1"/>
  <c r="G215" i="60"/>
  <c r="V215" i="60" s="1"/>
  <c r="K334" i="60"/>
  <c r="Z334" i="60" s="1"/>
  <c r="G334" i="60"/>
  <c r="V334" i="60" s="1"/>
  <c r="N334" i="60"/>
  <c r="AC334" i="60" s="1"/>
  <c r="J334" i="60"/>
  <c r="Y334" i="60" s="1"/>
  <c r="F334" i="60"/>
  <c r="U334" i="60" s="1"/>
  <c r="M334" i="60"/>
  <c r="AB334" i="60" s="1"/>
  <c r="I334" i="60"/>
  <c r="X334" i="60" s="1"/>
  <c r="E334" i="60"/>
  <c r="T334" i="60" s="1"/>
  <c r="H334" i="60"/>
  <c r="W334" i="60" s="1"/>
  <c r="L334" i="60"/>
  <c r="AA334" i="60" s="1"/>
  <c r="K358" i="60"/>
  <c r="Z358" i="60" s="1"/>
  <c r="G358" i="60"/>
  <c r="V358" i="60" s="1"/>
  <c r="N358" i="60"/>
  <c r="AC358" i="60" s="1"/>
  <c r="J358" i="60"/>
  <c r="Y358" i="60" s="1"/>
  <c r="F358" i="60"/>
  <c r="U358" i="60" s="1"/>
  <c r="M358" i="60"/>
  <c r="AB358" i="60" s="1"/>
  <c r="I358" i="60"/>
  <c r="X358" i="60" s="1"/>
  <c r="E358" i="60"/>
  <c r="T358" i="60" s="1"/>
  <c r="H358" i="60"/>
  <c r="W358" i="60" s="1"/>
  <c r="L358" i="60"/>
  <c r="AA358" i="60" s="1"/>
  <c r="L366" i="60"/>
  <c r="AA366" i="60" s="1"/>
  <c r="H366" i="60"/>
  <c r="W366" i="60" s="1"/>
  <c r="K366" i="60"/>
  <c r="Z366" i="60" s="1"/>
  <c r="G366" i="60"/>
  <c r="V366" i="60" s="1"/>
  <c r="N366" i="60"/>
  <c r="AC366" i="60" s="1"/>
  <c r="J366" i="60"/>
  <c r="Y366" i="60" s="1"/>
  <c r="F366" i="60"/>
  <c r="U366" i="60" s="1"/>
  <c r="M366" i="60"/>
  <c r="AB366" i="60" s="1"/>
  <c r="I366" i="60"/>
  <c r="X366" i="60" s="1"/>
  <c r="E366" i="60"/>
  <c r="T366" i="60" s="1"/>
  <c r="L374" i="60"/>
  <c r="AA374" i="60" s="1"/>
  <c r="H374" i="60"/>
  <c r="W374" i="60" s="1"/>
  <c r="K374" i="60"/>
  <c r="Z374" i="60" s="1"/>
  <c r="G374" i="60"/>
  <c r="V374" i="60" s="1"/>
  <c r="N374" i="60"/>
  <c r="AC374" i="60" s="1"/>
  <c r="J374" i="60"/>
  <c r="Y374" i="60" s="1"/>
  <c r="F374" i="60"/>
  <c r="U374" i="60" s="1"/>
  <c r="M374" i="60"/>
  <c r="AB374" i="60" s="1"/>
  <c r="I374" i="60"/>
  <c r="X374" i="60" s="1"/>
  <c r="E374" i="60"/>
  <c r="T374" i="60" s="1"/>
  <c r="K276" i="60"/>
  <c r="Z276" i="60" s="1"/>
  <c r="G276" i="60"/>
  <c r="V276" i="60" s="1"/>
  <c r="N276" i="60"/>
  <c r="AC276" i="60" s="1"/>
  <c r="J276" i="60"/>
  <c r="Y276" i="60" s="1"/>
  <c r="F276" i="60"/>
  <c r="U276" i="60" s="1"/>
  <c r="M276" i="60"/>
  <c r="AB276" i="60" s="1"/>
  <c r="I276" i="60"/>
  <c r="X276" i="60" s="1"/>
  <c r="E276" i="60"/>
  <c r="T276" i="60" s="1"/>
  <c r="L276" i="60"/>
  <c r="AA276" i="60" s="1"/>
  <c r="H276" i="60"/>
  <c r="W276" i="60" s="1"/>
  <c r="L384" i="60"/>
  <c r="H384" i="60"/>
  <c r="W384" i="60" s="1"/>
  <c r="K384" i="60"/>
  <c r="G384" i="60"/>
  <c r="N384" i="60"/>
  <c r="J384" i="60"/>
  <c r="Y384" i="60" s="1"/>
  <c r="I384" i="60"/>
  <c r="E384" i="60"/>
  <c r="M384" i="60"/>
  <c r="N241" i="60"/>
  <c r="AC241" i="60" s="1"/>
  <c r="J241" i="60"/>
  <c r="F241" i="60"/>
  <c r="M241" i="60"/>
  <c r="I241" i="60"/>
  <c r="E241" i="60"/>
  <c r="L241" i="60"/>
  <c r="H241" i="60"/>
  <c r="K241" i="60"/>
  <c r="G241" i="60"/>
  <c r="N257" i="60"/>
  <c r="J257" i="60"/>
  <c r="F257" i="60"/>
  <c r="U257" i="60" s="1"/>
  <c r="M257" i="60"/>
  <c r="I257" i="60"/>
  <c r="E257" i="60"/>
  <c r="L257" i="60"/>
  <c r="AA257" i="60" s="1"/>
  <c r="H257" i="60"/>
  <c r="K257" i="60"/>
  <c r="G257" i="60"/>
  <c r="M273" i="60"/>
  <c r="I273" i="60"/>
  <c r="E273" i="60"/>
  <c r="L273" i="60"/>
  <c r="H273" i="60"/>
  <c r="W273" i="60" s="1"/>
  <c r="K273" i="60"/>
  <c r="G273" i="60"/>
  <c r="J273" i="60"/>
  <c r="N273" i="60"/>
  <c r="N397" i="60"/>
  <c r="J397" i="60"/>
  <c r="F397" i="60"/>
  <c r="M397" i="60"/>
  <c r="AB397" i="60" s="1"/>
  <c r="I397" i="60"/>
  <c r="E397" i="60"/>
  <c r="L397" i="60"/>
  <c r="H397" i="60"/>
  <c r="W397" i="60" s="1"/>
  <c r="G397" i="60"/>
  <c r="K397" i="60"/>
  <c r="L434" i="60"/>
  <c r="H434" i="60"/>
  <c r="W434" i="60" s="1"/>
  <c r="K434" i="60"/>
  <c r="N434" i="60"/>
  <c r="J434" i="60"/>
  <c r="E434" i="60"/>
  <c r="T434" i="60" s="1"/>
  <c r="M434" i="60"/>
  <c r="I434" i="60"/>
  <c r="L438" i="60"/>
  <c r="H438" i="60"/>
  <c r="W438" i="60" s="1"/>
  <c r="K438" i="60"/>
  <c r="G438" i="60"/>
  <c r="N438" i="60"/>
  <c r="J438" i="60"/>
  <c r="Y438" i="60" s="1"/>
  <c r="F438" i="60"/>
  <c r="M438" i="60"/>
  <c r="I438" i="60"/>
  <c r="E438" i="60"/>
  <c r="T438" i="60" s="1"/>
  <c r="L442" i="60"/>
  <c r="H442" i="60"/>
  <c r="K442" i="60"/>
  <c r="G442" i="60"/>
  <c r="V442" i="60" s="1"/>
  <c r="N442" i="60"/>
  <c r="J442" i="60"/>
  <c r="F442" i="60"/>
  <c r="E442" i="60"/>
  <c r="T442" i="60" s="1"/>
  <c r="M442" i="60"/>
  <c r="I442" i="60"/>
  <c r="K294" i="60"/>
  <c r="Z294" i="60" s="1"/>
  <c r="G294" i="60"/>
  <c r="V294" i="60" s="1"/>
  <c r="N294" i="60"/>
  <c r="AC294" i="60" s="1"/>
  <c r="J294" i="60"/>
  <c r="Y294" i="60" s="1"/>
  <c r="F294" i="60"/>
  <c r="U294" i="60" s="1"/>
  <c r="M294" i="60"/>
  <c r="AB294" i="60" s="1"/>
  <c r="I294" i="60"/>
  <c r="X294" i="60" s="1"/>
  <c r="E294" i="60"/>
  <c r="T294" i="60" s="1"/>
  <c r="H294" i="60"/>
  <c r="W294" i="60" s="1"/>
  <c r="L294" i="60"/>
  <c r="AA294" i="60" s="1"/>
  <c r="M327" i="60"/>
  <c r="AB327" i="60" s="1"/>
  <c r="I327" i="60"/>
  <c r="X327" i="60" s="1"/>
  <c r="E327" i="60"/>
  <c r="T327" i="60" s="1"/>
  <c r="L327" i="60"/>
  <c r="AA327" i="60" s="1"/>
  <c r="H327" i="60"/>
  <c r="W327" i="60" s="1"/>
  <c r="K327" i="60"/>
  <c r="Z327" i="60" s="1"/>
  <c r="G327" i="60"/>
  <c r="V327" i="60" s="1"/>
  <c r="N327" i="60"/>
  <c r="AC327" i="60" s="1"/>
  <c r="J327" i="60"/>
  <c r="Y327" i="60" s="1"/>
  <c r="F327" i="60"/>
  <c r="U327" i="60" s="1"/>
  <c r="M313" i="60"/>
  <c r="AB313" i="60" s="1"/>
  <c r="I313" i="60"/>
  <c r="X313" i="60" s="1"/>
  <c r="E313" i="60"/>
  <c r="T313" i="60" s="1"/>
  <c r="L313" i="60"/>
  <c r="AA313" i="60" s="1"/>
  <c r="H313" i="60"/>
  <c r="W313" i="60" s="1"/>
  <c r="K313" i="60"/>
  <c r="Z313" i="60" s="1"/>
  <c r="G313" i="60"/>
  <c r="V313" i="60" s="1"/>
  <c r="J313" i="60"/>
  <c r="Y313" i="60" s="1"/>
  <c r="F313" i="60"/>
  <c r="U313" i="60" s="1"/>
  <c r="N313" i="60"/>
  <c r="AC313" i="60" s="1"/>
  <c r="L246" i="60"/>
  <c r="H246" i="60"/>
  <c r="K246" i="60"/>
  <c r="G246" i="60"/>
  <c r="V246" i="60" s="1"/>
  <c r="N246" i="60"/>
  <c r="J246" i="60"/>
  <c r="F246" i="60"/>
  <c r="I246" i="60"/>
  <c r="X246" i="60" s="1"/>
  <c r="E246" i="60"/>
  <c r="M246" i="60"/>
  <c r="K284" i="60"/>
  <c r="G284" i="60"/>
  <c r="V284" i="60" s="1"/>
  <c r="N284" i="60"/>
  <c r="J284" i="60"/>
  <c r="F284" i="60"/>
  <c r="M284" i="60"/>
  <c r="AB284" i="60" s="1"/>
  <c r="I284" i="60"/>
  <c r="E284" i="60"/>
  <c r="L284" i="60"/>
  <c r="H284" i="60"/>
  <c r="W284" i="60" s="1"/>
  <c r="M337" i="60"/>
  <c r="I337" i="60"/>
  <c r="L337" i="60"/>
  <c r="K337" i="60"/>
  <c r="Z337" i="60" s="1"/>
  <c r="G337" i="60"/>
  <c r="F337" i="60"/>
  <c r="U337" i="60" s="1"/>
  <c r="N337" i="60"/>
  <c r="M508" i="60"/>
  <c r="AB508" i="60" s="1"/>
  <c r="I508" i="60"/>
  <c r="E508" i="60"/>
  <c r="L508" i="60"/>
  <c r="H508" i="60"/>
  <c r="W508" i="60" s="1"/>
  <c r="K508" i="60"/>
  <c r="G508" i="60"/>
  <c r="V508" i="60" s="1"/>
  <c r="N508" i="60"/>
  <c r="J508" i="60"/>
  <c r="Y508" i="60" s="1"/>
  <c r="F508" i="60"/>
  <c r="L470" i="60"/>
  <c r="AA470" i="60" s="1"/>
  <c r="H470" i="60"/>
  <c r="K470" i="60"/>
  <c r="Z470" i="60" s="1"/>
  <c r="G470" i="60"/>
  <c r="N470" i="60"/>
  <c r="AC470" i="60" s="1"/>
  <c r="J470" i="60"/>
  <c r="F470" i="60"/>
  <c r="U470" i="60" s="1"/>
  <c r="M470" i="60"/>
  <c r="I470" i="60"/>
  <c r="X470" i="60" s="1"/>
  <c r="E470" i="60"/>
  <c r="L410" i="60"/>
  <c r="AA410" i="60" s="1"/>
  <c r="H410" i="60"/>
  <c r="K410" i="60"/>
  <c r="G410" i="60"/>
  <c r="N410" i="60"/>
  <c r="J410" i="60"/>
  <c r="F410" i="60"/>
  <c r="E410" i="60"/>
  <c r="M410" i="60"/>
  <c r="AB410" i="60" s="1"/>
  <c r="I410" i="60"/>
  <c r="N387" i="60"/>
  <c r="J387" i="60"/>
  <c r="F387" i="60"/>
  <c r="U387" i="60" s="1"/>
  <c r="M387" i="60"/>
  <c r="I387" i="60"/>
  <c r="E387" i="60"/>
  <c r="L387" i="60"/>
  <c r="AA387" i="60" s="1"/>
  <c r="H387" i="60"/>
  <c r="K387" i="60"/>
  <c r="G387" i="60"/>
  <c r="K320" i="60"/>
  <c r="Z320" i="60" s="1"/>
  <c r="G320" i="60"/>
  <c r="V320" i="60" s="1"/>
  <c r="N320" i="60"/>
  <c r="AC320" i="60" s="1"/>
  <c r="J320" i="60"/>
  <c r="Y320" i="60" s="1"/>
  <c r="F320" i="60"/>
  <c r="U320" i="60" s="1"/>
  <c r="M320" i="60"/>
  <c r="AB320" i="60" s="1"/>
  <c r="I320" i="60"/>
  <c r="X320" i="60" s="1"/>
  <c r="E320" i="60"/>
  <c r="T320" i="60" s="1"/>
  <c r="L320" i="60"/>
  <c r="AA320" i="60" s="1"/>
  <c r="H320" i="60"/>
  <c r="W320" i="60" s="1"/>
  <c r="L220" i="60"/>
  <c r="H220" i="60"/>
  <c r="K220" i="60"/>
  <c r="G220" i="60"/>
  <c r="N220" i="60"/>
  <c r="J220" i="60"/>
  <c r="F220" i="60"/>
  <c r="U220" i="60" s="1"/>
  <c r="M220" i="60"/>
  <c r="I220" i="60"/>
  <c r="E220" i="60"/>
  <c r="L212" i="60"/>
  <c r="AA212" i="60" s="1"/>
  <c r="H212" i="60"/>
  <c r="W212" i="60" s="1"/>
  <c r="K212" i="60"/>
  <c r="Z212" i="60" s="1"/>
  <c r="G212" i="60"/>
  <c r="V212" i="60" s="1"/>
  <c r="N212" i="60"/>
  <c r="AC212" i="60" s="1"/>
  <c r="J212" i="60"/>
  <c r="Y212" i="60" s="1"/>
  <c r="F212" i="60"/>
  <c r="U212" i="60" s="1"/>
  <c r="M212" i="60"/>
  <c r="AB212" i="60" s="1"/>
  <c r="I212" i="60"/>
  <c r="X212" i="60" s="1"/>
  <c r="E212" i="60"/>
  <c r="T212" i="60" s="1"/>
  <c r="L404" i="60"/>
  <c r="AA404" i="60" s="1"/>
  <c r="H404" i="60"/>
  <c r="W404" i="60" s="1"/>
  <c r="K404" i="60"/>
  <c r="Z404" i="60" s="1"/>
  <c r="G404" i="60"/>
  <c r="V404" i="60" s="1"/>
  <c r="N404" i="60"/>
  <c r="AC404" i="60" s="1"/>
  <c r="J404" i="60"/>
  <c r="Y404" i="60" s="1"/>
  <c r="F404" i="60"/>
  <c r="U404" i="60" s="1"/>
  <c r="M404" i="60"/>
  <c r="AB404" i="60" s="1"/>
  <c r="I404" i="60"/>
  <c r="X404" i="60" s="1"/>
  <c r="E404" i="60"/>
  <c r="T404" i="60" s="1"/>
  <c r="M285" i="60"/>
  <c r="AB285" i="60" s="1"/>
  <c r="I285" i="60"/>
  <c r="E285" i="60"/>
  <c r="L285" i="60"/>
  <c r="H285" i="60"/>
  <c r="K285" i="60"/>
  <c r="G285" i="60"/>
  <c r="N285" i="60"/>
  <c r="J285" i="60"/>
  <c r="F285" i="60"/>
  <c r="L250" i="60"/>
  <c r="AA250" i="60" s="1"/>
  <c r="H250" i="60"/>
  <c r="W250" i="60" s="1"/>
  <c r="K250" i="60"/>
  <c r="Z250" i="60" s="1"/>
  <c r="G250" i="60"/>
  <c r="V250" i="60" s="1"/>
  <c r="N250" i="60"/>
  <c r="AC250" i="60" s="1"/>
  <c r="J250" i="60"/>
  <c r="Y250" i="60" s="1"/>
  <c r="F250" i="60"/>
  <c r="U250" i="60" s="1"/>
  <c r="M250" i="60"/>
  <c r="AB250" i="60" s="1"/>
  <c r="I250" i="60"/>
  <c r="X250" i="60" s="1"/>
  <c r="E250" i="60"/>
  <c r="T250" i="60" s="1"/>
  <c r="K318" i="60"/>
  <c r="G318" i="60"/>
  <c r="N318" i="60"/>
  <c r="AC318" i="60" s="1"/>
  <c r="J318" i="60"/>
  <c r="F318" i="60"/>
  <c r="U318" i="60" s="1"/>
  <c r="M318" i="60"/>
  <c r="I318" i="60"/>
  <c r="X318" i="60" s="1"/>
  <c r="E318" i="60"/>
  <c r="H318" i="60"/>
  <c r="W318" i="60" s="1"/>
  <c r="L318" i="60"/>
  <c r="K298" i="60"/>
  <c r="G298" i="60"/>
  <c r="N298" i="60"/>
  <c r="AC298" i="60" s="1"/>
  <c r="J298" i="60"/>
  <c r="F298" i="60"/>
  <c r="M298" i="60"/>
  <c r="I298" i="60"/>
  <c r="X298" i="60" s="1"/>
  <c r="E298" i="60"/>
  <c r="L298" i="60"/>
  <c r="H298" i="60"/>
  <c r="L402" i="60"/>
  <c r="AA402" i="60" s="1"/>
  <c r="H402" i="60"/>
  <c r="K402" i="60"/>
  <c r="Z402" i="60" s="1"/>
  <c r="G402" i="60"/>
  <c r="N402" i="60"/>
  <c r="AC402" i="60" s="1"/>
  <c r="J402" i="60"/>
  <c r="F402" i="60"/>
  <c r="E402" i="60"/>
  <c r="M402" i="60"/>
  <c r="AB402" i="60" s="1"/>
  <c r="I402" i="60"/>
  <c r="L380" i="60"/>
  <c r="AA380" i="60" s="1"/>
  <c r="H380" i="60"/>
  <c r="W380" i="60" s="1"/>
  <c r="K380" i="60"/>
  <c r="Z380" i="60" s="1"/>
  <c r="G380" i="60"/>
  <c r="V380" i="60" s="1"/>
  <c r="N380" i="60"/>
  <c r="AC380" i="60" s="1"/>
  <c r="J380" i="60"/>
  <c r="Y380" i="60" s="1"/>
  <c r="F380" i="60"/>
  <c r="U380" i="60" s="1"/>
  <c r="M380" i="60"/>
  <c r="AB380" i="60" s="1"/>
  <c r="I380" i="60"/>
  <c r="X380" i="60" s="1"/>
  <c r="E380" i="60"/>
  <c r="T380" i="60" s="1"/>
  <c r="L230" i="60"/>
  <c r="AA230" i="60" s="1"/>
  <c r="H230" i="60"/>
  <c r="K230" i="60"/>
  <c r="Z230" i="60" s="1"/>
  <c r="G230" i="60"/>
  <c r="N230" i="60"/>
  <c r="AC230" i="60" s="1"/>
  <c r="J230" i="60"/>
  <c r="F230" i="60"/>
  <c r="U230" i="60" s="1"/>
  <c r="I230" i="60"/>
  <c r="E230" i="60"/>
  <c r="T230" i="60" s="1"/>
  <c r="M230" i="60"/>
  <c r="M307" i="60"/>
  <c r="AB307" i="60" s="1"/>
  <c r="I307" i="60"/>
  <c r="L307" i="60"/>
  <c r="AA307" i="60" s="1"/>
  <c r="H307" i="60"/>
  <c r="K307" i="60"/>
  <c r="Z307" i="60" s="1"/>
  <c r="G307" i="60"/>
  <c r="F307" i="60"/>
  <c r="U307" i="60" s="1"/>
  <c r="N307" i="60"/>
  <c r="J307" i="60"/>
  <c r="Y307" i="60" s="1"/>
  <c r="K344" i="60"/>
  <c r="G344" i="60"/>
  <c r="V344" i="60" s="1"/>
  <c r="N344" i="60"/>
  <c r="J344" i="60"/>
  <c r="F344" i="60"/>
  <c r="M344" i="60"/>
  <c r="AB344" i="60" s="1"/>
  <c r="I344" i="60"/>
  <c r="E344" i="60"/>
  <c r="L344" i="60"/>
  <c r="H344" i="60"/>
  <c r="W344" i="60" s="1"/>
  <c r="K352" i="60"/>
  <c r="G352" i="60"/>
  <c r="V352" i="60" s="1"/>
  <c r="N352" i="60"/>
  <c r="J352" i="60"/>
  <c r="Y352" i="60" s="1"/>
  <c r="F352" i="60"/>
  <c r="M352" i="60"/>
  <c r="AB352" i="60" s="1"/>
  <c r="I352" i="60"/>
  <c r="E352" i="60"/>
  <c r="T352" i="60" s="1"/>
  <c r="L352" i="60"/>
  <c r="H352" i="60"/>
  <c r="W352" i="60" s="1"/>
  <c r="K300" i="60"/>
  <c r="G300" i="60"/>
  <c r="N300" i="60"/>
  <c r="J300" i="60"/>
  <c r="Y300" i="60" s="1"/>
  <c r="F300" i="60"/>
  <c r="M300" i="60"/>
  <c r="AB300" i="60" s="1"/>
  <c r="I300" i="60"/>
  <c r="L300" i="60"/>
  <c r="AA300" i="60" s="1"/>
  <c r="H300" i="60"/>
  <c r="M329" i="60"/>
  <c r="AB329" i="60" s="1"/>
  <c r="I329" i="60"/>
  <c r="X329" i="60" s="1"/>
  <c r="E329" i="60"/>
  <c r="T329" i="60" s="1"/>
  <c r="L329" i="60"/>
  <c r="AA329" i="60" s="1"/>
  <c r="H329" i="60"/>
  <c r="W329" i="60" s="1"/>
  <c r="K329" i="60"/>
  <c r="Z329" i="60" s="1"/>
  <c r="G329" i="60"/>
  <c r="V329" i="60" s="1"/>
  <c r="J329" i="60"/>
  <c r="Y329" i="60" s="1"/>
  <c r="F329" i="60"/>
  <c r="U329" i="60" s="1"/>
  <c r="N329" i="60"/>
  <c r="AC329" i="60" s="1"/>
  <c r="D466" i="60"/>
  <c r="L376" i="60"/>
  <c r="H376" i="60"/>
  <c r="W376" i="60" s="1"/>
  <c r="K376" i="60"/>
  <c r="G376" i="60"/>
  <c r="V376" i="60" s="1"/>
  <c r="N376" i="60"/>
  <c r="J376" i="60"/>
  <c r="Y376" i="60" s="1"/>
  <c r="F376" i="60"/>
  <c r="I376" i="60"/>
  <c r="X376" i="60" s="1"/>
  <c r="E376" i="60"/>
  <c r="M376" i="60"/>
  <c r="AB376" i="60" s="1"/>
  <c r="N259" i="60"/>
  <c r="J259" i="60"/>
  <c r="Y259" i="60" s="1"/>
  <c r="F259" i="60"/>
  <c r="M259" i="60"/>
  <c r="AB259" i="60" s="1"/>
  <c r="I259" i="60"/>
  <c r="L259" i="60"/>
  <c r="AA259" i="60" s="1"/>
  <c r="H259" i="60"/>
  <c r="G259" i="60"/>
  <c r="V259" i="60" s="1"/>
  <c r="K259" i="60"/>
  <c r="M267" i="60"/>
  <c r="AB267" i="60" s="1"/>
  <c r="I267" i="60"/>
  <c r="E267" i="60"/>
  <c r="T267" i="60" s="1"/>
  <c r="L267" i="60"/>
  <c r="H267" i="60"/>
  <c r="W267" i="60" s="1"/>
  <c r="K267" i="60"/>
  <c r="G267" i="60"/>
  <c r="V267" i="60" s="1"/>
  <c r="F267" i="60"/>
  <c r="N267" i="60"/>
  <c r="AC267" i="60" s="1"/>
  <c r="J267" i="60"/>
  <c r="M275" i="60"/>
  <c r="AB275" i="60" s="1"/>
  <c r="I275" i="60"/>
  <c r="X275" i="60" s="1"/>
  <c r="E275" i="60"/>
  <c r="T275" i="60" s="1"/>
  <c r="L275" i="60"/>
  <c r="AA275" i="60" s="1"/>
  <c r="H275" i="60"/>
  <c r="W275" i="60" s="1"/>
  <c r="K275" i="60"/>
  <c r="Z275" i="60" s="1"/>
  <c r="G275" i="60"/>
  <c r="V275" i="60" s="1"/>
  <c r="F275" i="60"/>
  <c r="U275" i="60" s="1"/>
  <c r="N275" i="60"/>
  <c r="AC275" i="60" s="1"/>
  <c r="J275" i="60"/>
  <c r="Y275" i="60" s="1"/>
  <c r="N395" i="60"/>
  <c r="AC395" i="60" s="1"/>
  <c r="J395" i="60"/>
  <c r="F395" i="60"/>
  <c r="M395" i="60"/>
  <c r="I395" i="60"/>
  <c r="X395" i="60" s="1"/>
  <c r="E395" i="60"/>
  <c r="L395" i="60"/>
  <c r="AA395" i="60" s="1"/>
  <c r="H395" i="60"/>
  <c r="K395" i="60"/>
  <c r="Z395" i="60" s="1"/>
  <c r="G395" i="60"/>
  <c r="L228" i="60"/>
  <c r="AA228" i="60" s="1"/>
  <c r="H228" i="60"/>
  <c r="K228" i="60"/>
  <c r="Z228" i="60" s="1"/>
  <c r="G228" i="60"/>
  <c r="N228" i="60"/>
  <c r="AC228" i="60" s="1"/>
  <c r="J228" i="60"/>
  <c r="F228" i="60"/>
  <c r="U228" i="60" s="1"/>
  <c r="M228" i="60"/>
  <c r="I228" i="60"/>
  <c r="X228" i="60" s="1"/>
  <c r="E228" i="60"/>
  <c r="K356" i="60"/>
  <c r="Z356" i="60" s="1"/>
  <c r="G356" i="60"/>
  <c r="V356" i="60" s="1"/>
  <c r="N356" i="60"/>
  <c r="AC356" i="60" s="1"/>
  <c r="J356" i="60"/>
  <c r="Y356" i="60" s="1"/>
  <c r="F356" i="60"/>
  <c r="U356" i="60" s="1"/>
  <c r="M356" i="60"/>
  <c r="AB356" i="60" s="1"/>
  <c r="I356" i="60"/>
  <c r="X356" i="60" s="1"/>
  <c r="E356" i="60"/>
  <c r="T356" i="60" s="1"/>
  <c r="L356" i="60"/>
  <c r="AA356" i="60" s="1"/>
  <c r="H356" i="60"/>
  <c r="W356" i="60" s="1"/>
  <c r="N231" i="60"/>
  <c r="AC231" i="60" s="1"/>
  <c r="J231" i="60"/>
  <c r="Y231" i="60" s="1"/>
  <c r="M231" i="60"/>
  <c r="AB231" i="60" s="1"/>
  <c r="I231" i="60"/>
  <c r="X231" i="60" s="1"/>
  <c r="E231" i="60"/>
  <c r="T231" i="60" s="1"/>
  <c r="L231" i="60"/>
  <c r="AA231" i="60" s="1"/>
  <c r="H231" i="60"/>
  <c r="W231" i="60" s="1"/>
  <c r="K231" i="60"/>
  <c r="Z231" i="60" s="1"/>
  <c r="G231" i="60"/>
  <c r="V231" i="60" s="1"/>
  <c r="N421" i="60"/>
  <c r="J421" i="60"/>
  <c r="Y421" i="60" s="1"/>
  <c r="F421" i="60"/>
  <c r="M421" i="60"/>
  <c r="AB421" i="60" s="1"/>
  <c r="I421" i="60"/>
  <c r="E421" i="60"/>
  <c r="T421" i="60" s="1"/>
  <c r="L421" i="60"/>
  <c r="H421" i="60"/>
  <c r="W421" i="60" s="1"/>
  <c r="G421" i="60"/>
  <c r="K421" i="60"/>
  <c r="Z421" i="60" s="1"/>
  <c r="L368" i="60"/>
  <c r="AA368" i="60" s="1"/>
  <c r="H368" i="60"/>
  <c r="W368" i="60" s="1"/>
  <c r="K368" i="60"/>
  <c r="Z368" i="60" s="1"/>
  <c r="G368" i="60"/>
  <c r="V368" i="60" s="1"/>
  <c r="N368" i="60"/>
  <c r="AC368" i="60" s="1"/>
  <c r="J368" i="60"/>
  <c r="Y368" i="60" s="1"/>
  <c r="F368" i="60"/>
  <c r="U368" i="60" s="1"/>
  <c r="I368" i="60"/>
  <c r="X368" i="60" s="1"/>
  <c r="E368" i="60"/>
  <c r="T368" i="60" s="1"/>
  <c r="M368" i="60"/>
  <c r="AB368" i="60" s="1"/>
  <c r="M339" i="60"/>
  <c r="AB339" i="60" s="1"/>
  <c r="I339" i="60"/>
  <c r="X339" i="60" s="1"/>
  <c r="E339" i="60"/>
  <c r="T339" i="60" s="1"/>
  <c r="L339" i="60"/>
  <c r="AA339" i="60" s="1"/>
  <c r="H339" i="60"/>
  <c r="W339" i="60" s="1"/>
  <c r="K339" i="60"/>
  <c r="Z339" i="60" s="1"/>
  <c r="G339" i="60"/>
  <c r="V339" i="60" s="1"/>
  <c r="F339" i="60"/>
  <c r="U339" i="60" s="1"/>
  <c r="N339" i="60"/>
  <c r="AC339" i="60" s="1"/>
  <c r="J339" i="60"/>
  <c r="Y339" i="60" s="1"/>
  <c r="M301" i="60"/>
  <c r="AB301" i="60" s="1"/>
  <c r="I301" i="60"/>
  <c r="X301" i="60" s="1"/>
  <c r="E301" i="60"/>
  <c r="T301" i="60" s="1"/>
  <c r="L301" i="60"/>
  <c r="AA301" i="60" s="1"/>
  <c r="H301" i="60"/>
  <c r="W301" i="60" s="1"/>
  <c r="K301" i="60"/>
  <c r="Z301" i="60" s="1"/>
  <c r="G301" i="60"/>
  <c r="V301" i="60" s="1"/>
  <c r="N301" i="60"/>
  <c r="AC301" i="60" s="1"/>
  <c r="J301" i="60"/>
  <c r="Y301" i="60" s="1"/>
  <c r="F301" i="60"/>
  <c r="U301" i="60" s="1"/>
  <c r="M341" i="60"/>
  <c r="I341" i="60"/>
  <c r="X341" i="60" s="1"/>
  <c r="E341" i="60"/>
  <c r="L341" i="60"/>
  <c r="AA341" i="60" s="1"/>
  <c r="H341" i="60"/>
  <c r="K341" i="60"/>
  <c r="G341" i="60"/>
  <c r="N341" i="60"/>
  <c r="AC341" i="60" s="1"/>
  <c r="J341" i="60"/>
  <c r="F341" i="60"/>
  <c r="U341" i="60" s="1"/>
  <c r="M345" i="60"/>
  <c r="I345" i="60"/>
  <c r="X345" i="60" s="1"/>
  <c r="E345" i="60"/>
  <c r="L345" i="60"/>
  <c r="H345" i="60"/>
  <c r="K345" i="60"/>
  <c r="G345" i="60"/>
  <c r="J345" i="60"/>
  <c r="Y345" i="60" s="1"/>
  <c r="F345" i="60"/>
  <c r="N345" i="60"/>
  <c r="AC345" i="60" s="1"/>
  <c r="M349" i="60"/>
  <c r="I349" i="60"/>
  <c r="X349" i="60" s="1"/>
  <c r="E349" i="60"/>
  <c r="L349" i="60"/>
  <c r="AA349" i="60" s="1"/>
  <c r="H349" i="60"/>
  <c r="K349" i="60"/>
  <c r="Z349" i="60" s="1"/>
  <c r="G349" i="60"/>
  <c r="N349" i="60"/>
  <c r="AC349" i="60" s="1"/>
  <c r="J349" i="60"/>
  <c r="F349" i="60"/>
  <c r="U349" i="60" s="1"/>
  <c r="M353" i="60"/>
  <c r="AB353" i="60" s="1"/>
  <c r="I353" i="60"/>
  <c r="X353" i="60" s="1"/>
  <c r="E353" i="60"/>
  <c r="T353" i="60" s="1"/>
  <c r="L353" i="60"/>
  <c r="AA353" i="60" s="1"/>
  <c r="H353" i="60"/>
  <c r="W353" i="60" s="1"/>
  <c r="K353" i="60"/>
  <c r="Z353" i="60" s="1"/>
  <c r="G353" i="60"/>
  <c r="V353" i="60" s="1"/>
  <c r="J353" i="60"/>
  <c r="Y353" i="60" s="1"/>
  <c r="F353" i="60"/>
  <c r="U353" i="60" s="1"/>
  <c r="N353" i="60"/>
  <c r="AC353" i="60" s="1"/>
  <c r="M357" i="60"/>
  <c r="I357" i="60"/>
  <c r="X357" i="60" s="1"/>
  <c r="E357" i="60"/>
  <c r="L357" i="60"/>
  <c r="AA357" i="60" s="1"/>
  <c r="H357" i="60"/>
  <c r="K357" i="60"/>
  <c r="Z357" i="60" s="1"/>
  <c r="G357" i="60"/>
  <c r="N357" i="60"/>
  <c r="AC357" i="60" s="1"/>
  <c r="J357" i="60"/>
  <c r="F357" i="60"/>
  <c r="U357" i="60" s="1"/>
  <c r="M361" i="60"/>
  <c r="I361" i="60"/>
  <c r="X361" i="60" s="1"/>
  <c r="E361" i="60"/>
  <c r="L361" i="60"/>
  <c r="AA361" i="60" s="1"/>
  <c r="H361" i="60"/>
  <c r="K361" i="60"/>
  <c r="Z361" i="60" s="1"/>
  <c r="G361" i="60"/>
  <c r="J361" i="60"/>
  <c r="Y361" i="60" s="1"/>
  <c r="F361" i="60"/>
  <c r="N361" i="60"/>
  <c r="AC361" i="60" s="1"/>
  <c r="M365" i="60"/>
  <c r="AB365" i="60" s="1"/>
  <c r="I365" i="60"/>
  <c r="X365" i="60" s="1"/>
  <c r="E365" i="60"/>
  <c r="T365" i="60" s="1"/>
  <c r="L365" i="60"/>
  <c r="AA365" i="60" s="1"/>
  <c r="H365" i="60"/>
  <c r="W365" i="60" s="1"/>
  <c r="K365" i="60"/>
  <c r="Z365" i="60" s="1"/>
  <c r="J365" i="60"/>
  <c r="Y365" i="60" s="1"/>
  <c r="G365" i="60"/>
  <c r="V365" i="60" s="1"/>
  <c r="N365" i="60"/>
  <c r="AC365" i="60" s="1"/>
  <c r="F365" i="60"/>
  <c r="U365" i="60" s="1"/>
  <c r="N369" i="60"/>
  <c r="J369" i="60"/>
  <c r="Y369" i="60" s="1"/>
  <c r="F369" i="60"/>
  <c r="M369" i="60"/>
  <c r="AB369" i="60" s="1"/>
  <c r="I369" i="60"/>
  <c r="E369" i="60"/>
  <c r="T369" i="60" s="1"/>
  <c r="L369" i="60"/>
  <c r="H369" i="60"/>
  <c r="W369" i="60" s="1"/>
  <c r="K369" i="60"/>
  <c r="G369" i="60"/>
  <c r="N373" i="60"/>
  <c r="J373" i="60"/>
  <c r="Y373" i="60" s="1"/>
  <c r="F373" i="60"/>
  <c r="M373" i="60"/>
  <c r="AB373" i="60" s="1"/>
  <c r="I373" i="60"/>
  <c r="E373" i="60"/>
  <c r="T373" i="60" s="1"/>
  <c r="L373" i="60"/>
  <c r="H373" i="60"/>
  <c r="G373" i="60"/>
  <c r="K373" i="60"/>
  <c r="Z373" i="60" s="1"/>
  <c r="N377" i="60"/>
  <c r="J377" i="60"/>
  <c r="Y377" i="60" s="1"/>
  <c r="F377" i="60"/>
  <c r="M377" i="60"/>
  <c r="AB377" i="60" s="1"/>
  <c r="I377" i="60"/>
  <c r="E377" i="60"/>
  <c r="T377" i="60" s="1"/>
  <c r="L377" i="60"/>
  <c r="H377" i="60"/>
  <c r="W377" i="60" s="1"/>
  <c r="K377" i="60"/>
  <c r="G377" i="60"/>
  <c r="V377" i="60" s="1"/>
  <c r="N381" i="60"/>
  <c r="AC381" i="60" s="1"/>
  <c r="J381" i="60"/>
  <c r="Y381" i="60" s="1"/>
  <c r="F381" i="60"/>
  <c r="U381" i="60" s="1"/>
  <c r="M381" i="60"/>
  <c r="AB381" i="60" s="1"/>
  <c r="I381" i="60"/>
  <c r="X381" i="60" s="1"/>
  <c r="E381" i="60"/>
  <c r="T381" i="60" s="1"/>
  <c r="L381" i="60"/>
  <c r="AA381" i="60" s="1"/>
  <c r="H381" i="60"/>
  <c r="W381" i="60" s="1"/>
  <c r="G381" i="60"/>
  <c r="V381" i="60" s="1"/>
  <c r="K381" i="60"/>
  <c r="Z381" i="60" s="1"/>
  <c r="N385" i="60"/>
  <c r="J385" i="60"/>
  <c r="Y385" i="60" s="1"/>
  <c r="F385" i="60"/>
  <c r="M385" i="60"/>
  <c r="AB385" i="60" s="1"/>
  <c r="I385" i="60"/>
  <c r="E385" i="60"/>
  <c r="T385" i="60" s="1"/>
  <c r="L385" i="60"/>
  <c r="H385" i="60"/>
  <c r="W385" i="60" s="1"/>
  <c r="K385" i="60"/>
  <c r="L396" i="60"/>
  <c r="AA396" i="60" s="1"/>
  <c r="H396" i="60"/>
  <c r="K396" i="60"/>
  <c r="Z396" i="60" s="1"/>
  <c r="G396" i="60"/>
  <c r="N396" i="60"/>
  <c r="AC396" i="60" s="1"/>
  <c r="J396" i="60"/>
  <c r="F396" i="60"/>
  <c r="U396" i="60" s="1"/>
  <c r="M396" i="60"/>
  <c r="I396" i="60"/>
  <c r="X396" i="60" s="1"/>
  <c r="E396" i="60"/>
  <c r="L236" i="60"/>
  <c r="AA236" i="60" s="1"/>
  <c r="H236" i="60"/>
  <c r="K236" i="60"/>
  <c r="Z236" i="60" s="1"/>
  <c r="G236" i="60"/>
  <c r="N236" i="60"/>
  <c r="AC236" i="60" s="1"/>
  <c r="J236" i="60"/>
  <c r="F236" i="60"/>
  <c r="U236" i="60" s="1"/>
  <c r="M236" i="60"/>
  <c r="I236" i="60"/>
  <c r="X236" i="60" s="1"/>
  <c r="E236" i="60"/>
  <c r="L240" i="60"/>
  <c r="AA240" i="60" s="1"/>
  <c r="H240" i="60"/>
  <c r="K240" i="60"/>
  <c r="Z240" i="60" s="1"/>
  <c r="G240" i="60"/>
  <c r="N240" i="60"/>
  <c r="AC240" i="60" s="1"/>
  <c r="J240" i="60"/>
  <c r="F240" i="60"/>
  <c r="U240" i="60" s="1"/>
  <c r="E240" i="60"/>
  <c r="M240" i="60"/>
  <c r="I240" i="60"/>
  <c r="L244" i="60"/>
  <c r="AA244" i="60" s="1"/>
  <c r="H244" i="60"/>
  <c r="W244" i="60" s="1"/>
  <c r="K244" i="60"/>
  <c r="Z244" i="60" s="1"/>
  <c r="G244" i="60"/>
  <c r="V244" i="60" s="1"/>
  <c r="N244" i="60"/>
  <c r="AC244" i="60" s="1"/>
  <c r="J244" i="60"/>
  <c r="Y244" i="60" s="1"/>
  <c r="F244" i="60"/>
  <c r="U244" i="60" s="1"/>
  <c r="M244" i="60"/>
  <c r="AB244" i="60" s="1"/>
  <c r="I244" i="60"/>
  <c r="X244" i="60" s="1"/>
  <c r="E244" i="60"/>
  <c r="T244" i="60" s="1"/>
  <c r="L248" i="60"/>
  <c r="AA248" i="60" s="1"/>
  <c r="H248" i="60"/>
  <c r="K248" i="60"/>
  <c r="Z248" i="60" s="1"/>
  <c r="G248" i="60"/>
  <c r="N248" i="60"/>
  <c r="AC248" i="60" s="1"/>
  <c r="J248" i="60"/>
  <c r="F248" i="60"/>
  <c r="U248" i="60" s="1"/>
  <c r="E248" i="60"/>
  <c r="M248" i="60"/>
  <c r="AB248" i="60" s="1"/>
  <c r="I248" i="60"/>
  <c r="L408" i="60"/>
  <c r="AA408" i="60" s="1"/>
  <c r="H408" i="60"/>
  <c r="K408" i="60"/>
  <c r="Z408" i="60" s="1"/>
  <c r="G408" i="60"/>
  <c r="N408" i="60"/>
  <c r="AC408" i="60" s="1"/>
  <c r="J408" i="60"/>
  <c r="F408" i="60"/>
  <c r="U408" i="60" s="1"/>
  <c r="I408" i="60"/>
  <c r="E408" i="60"/>
  <c r="T408" i="60" s="1"/>
  <c r="M408" i="60"/>
  <c r="M325" i="60"/>
  <c r="AB325" i="60" s="1"/>
  <c r="I325" i="60"/>
  <c r="E325" i="60"/>
  <c r="T325" i="60" s="1"/>
  <c r="L325" i="60"/>
  <c r="H325" i="60"/>
  <c r="W325" i="60" s="1"/>
  <c r="K325" i="60"/>
  <c r="G325" i="60"/>
  <c r="V325" i="60" s="1"/>
  <c r="N325" i="60"/>
  <c r="J325" i="60"/>
  <c r="Y325" i="60" s="1"/>
  <c r="F325" i="60"/>
  <c r="N225" i="60"/>
  <c r="AC225" i="60" s="1"/>
  <c r="J225" i="60"/>
  <c r="Y225" i="60" s="1"/>
  <c r="F225" i="60"/>
  <c r="U225" i="60" s="1"/>
  <c r="M225" i="60"/>
  <c r="AB225" i="60" s="1"/>
  <c r="I225" i="60"/>
  <c r="X225" i="60" s="1"/>
  <c r="E225" i="60"/>
  <c r="T225" i="60" s="1"/>
  <c r="L225" i="60"/>
  <c r="AA225" i="60" s="1"/>
  <c r="H225" i="60"/>
  <c r="W225" i="60" s="1"/>
  <c r="K225" i="60"/>
  <c r="Z225" i="60" s="1"/>
  <c r="G225" i="60"/>
  <c r="V225" i="60" s="1"/>
  <c r="K302" i="60"/>
  <c r="Z302" i="60" s="1"/>
  <c r="G302" i="60"/>
  <c r="V302" i="60" s="1"/>
  <c r="N302" i="60"/>
  <c r="AC302" i="60" s="1"/>
  <c r="J302" i="60"/>
  <c r="Y302" i="60" s="1"/>
  <c r="F302" i="60"/>
  <c r="U302" i="60" s="1"/>
  <c r="M302" i="60"/>
  <c r="AB302" i="60" s="1"/>
  <c r="I302" i="60"/>
  <c r="X302" i="60" s="1"/>
  <c r="E302" i="60"/>
  <c r="T302" i="60" s="1"/>
  <c r="H302" i="60"/>
  <c r="W302" i="60" s="1"/>
  <c r="L302" i="60"/>
  <c r="AA302" i="60" s="1"/>
  <c r="M331" i="60"/>
  <c r="AB331" i="60" s="1"/>
  <c r="E331" i="60"/>
  <c r="L331" i="60"/>
  <c r="AA331" i="60" s="1"/>
  <c r="K331" i="60"/>
  <c r="G331" i="60"/>
  <c r="V331" i="60" s="1"/>
  <c r="F331" i="60"/>
  <c r="N331" i="60"/>
  <c r="AC331" i="60" s="1"/>
  <c r="J331" i="60"/>
  <c r="L242" i="60"/>
  <c r="AA242" i="60" s="1"/>
  <c r="H242" i="60"/>
  <c r="W242" i="60" s="1"/>
  <c r="K242" i="60"/>
  <c r="Z242" i="60" s="1"/>
  <c r="G242" i="60"/>
  <c r="V242" i="60" s="1"/>
  <c r="N242" i="60"/>
  <c r="AC242" i="60" s="1"/>
  <c r="J242" i="60"/>
  <c r="Y242" i="60" s="1"/>
  <c r="F242" i="60"/>
  <c r="U242" i="60" s="1"/>
  <c r="M242" i="60"/>
  <c r="AB242" i="60" s="1"/>
  <c r="I242" i="60"/>
  <c r="X242" i="60" s="1"/>
  <c r="E242" i="60"/>
  <c r="T242" i="60" s="1"/>
  <c r="K274" i="60"/>
  <c r="G274" i="60"/>
  <c r="N274" i="60"/>
  <c r="AC274" i="60" s="1"/>
  <c r="J274" i="60"/>
  <c r="F274" i="60"/>
  <c r="U274" i="60" s="1"/>
  <c r="M274" i="60"/>
  <c r="I274" i="60"/>
  <c r="L274" i="60"/>
  <c r="H274" i="60"/>
  <c r="W274" i="60" s="1"/>
  <c r="L414" i="60"/>
  <c r="H414" i="60"/>
  <c r="W414" i="60" s="1"/>
  <c r="K414" i="60"/>
  <c r="G414" i="60"/>
  <c r="N414" i="60"/>
  <c r="J414" i="60"/>
  <c r="Y414" i="60" s="1"/>
  <c r="F414" i="60"/>
  <c r="M414" i="60"/>
  <c r="AB414" i="60" s="1"/>
  <c r="I414" i="60"/>
  <c r="E414" i="60"/>
  <c r="T414" i="60" s="1"/>
  <c r="M355" i="60"/>
  <c r="AB355" i="60" s="1"/>
  <c r="I355" i="60"/>
  <c r="X355" i="60" s="1"/>
  <c r="E355" i="60"/>
  <c r="T355" i="60" s="1"/>
  <c r="L355" i="60"/>
  <c r="AA355" i="60" s="1"/>
  <c r="H355" i="60"/>
  <c r="W355" i="60" s="1"/>
  <c r="K355" i="60"/>
  <c r="Z355" i="60" s="1"/>
  <c r="G355" i="60"/>
  <c r="V355" i="60" s="1"/>
  <c r="F355" i="60"/>
  <c r="U355" i="60" s="1"/>
  <c r="N355" i="60"/>
  <c r="AC355" i="60" s="1"/>
  <c r="J355" i="60"/>
  <c r="Y355" i="60" s="1"/>
  <c r="M359" i="60"/>
  <c r="I359" i="60"/>
  <c r="X359" i="60" s="1"/>
  <c r="E359" i="60"/>
  <c r="L359" i="60"/>
  <c r="AA359" i="60" s="1"/>
  <c r="H359" i="60"/>
  <c r="K359" i="60"/>
  <c r="Z359" i="60" s="1"/>
  <c r="G359" i="60"/>
  <c r="N359" i="60"/>
  <c r="AC359" i="60" s="1"/>
  <c r="J359" i="60"/>
  <c r="F359" i="60"/>
  <c r="U359" i="60" s="1"/>
  <c r="M363" i="60"/>
  <c r="I363" i="60"/>
  <c r="X363" i="60" s="1"/>
  <c r="L363" i="60"/>
  <c r="H363" i="60"/>
  <c r="W363" i="60" s="1"/>
  <c r="G363" i="60"/>
  <c r="N363" i="60"/>
  <c r="AC363" i="60" s="1"/>
  <c r="F363" i="60"/>
  <c r="K363" i="60"/>
  <c r="Z363" i="60" s="1"/>
  <c r="J363" i="60"/>
  <c r="N367" i="60"/>
  <c r="AC367" i="60" s="1"/>
  <c r="J367" i="60"/>
  <c r="F367" i="60"/>
  <c r="U367" i="60" s="1"/>
  <c r="M367" i="60"/>
  <c r="I367" i="60"/>
  <c r="E367" i="60"/>
  <c r="L367" i="60"/>
  <c r="AA367" i="60" s="1"/>
  <c r="H367" i="60"/>
  <c r="K367" i="60"/>
  <c r="Z367" i="60" s="1"/>
  <c r="G367" i="60"/>
  <c r="N371" i="60"/>
  <c r="AC371" i="60" s="1"/>
  <c r="J371" i="60"/>
  <c r="F371" i="60"/>
  <c r="M371" i="60"/>
  <c r="I371" i="60"/>
  <c r="X371" i="60" s="1"/>
  <c r="E371" i="60"/>
  <c r="L371" i="60"/>
  <c r="AA371" i="60" s="1"/>
  <c r="H371" i="60"/>
  <c r="K371" i="60"/>
  <c r="Z371" i="60" s="1"/>
  <c r="G371" i="60"/>
  <c r="N375" i="60"/>
  <c r="AC375" i="60" s="1"/>
  <c r="J375" i="60"/>
  <c r="F375" i="60"/>
  <c r="U375" i="60" s="1"/>
  <c r="M375" i="60"/>
  <c r="I375" i="60"/>
  <c r="X375" i="60" s="1"/>
  <c r="L375" i="60"/>
  <c r="H375" i="60"/>
  <c r="W375" i="60" s="1"/>
  <c r="K375" i="60"/>
  <c r="G375" i="60"/>
  <c r="V375" i="60" s="1"/>
  <c r="N379" i="60"/>
  <c r="AC379" i="60" s="1"/>
  <c r="J379" i="60"/>
  <c r="Y379" i="60" s="1"/>
  <c r="F379" i="60"/>
  <c r="U379" i="60" s="1"/>
  <c r="M379" i="60"/>
  <c r="AB379" i="60" s="1"/>
  <c r="I379" i="60"/>
  <c r="X379" i="60" s="1"/>
  <c r="E379" i="60"/>
  <c r="T379" i="60" s="1"/>
  <c r="L379" i="60"/>
  <c r="AA379" i="60" s="1"/>
  <c r="H379" i="60"/>
  <c r="W379" i="60" s="1"/>
  <c r="K379" i="60"/>
  <c r="Z379" i="60" s="1"/>
  <c r="G379" i="60"/>
  <c r="V379" i="60" s="1"/>
  <c r="N383" i="60"/>
  <c r="J383" i="60"/>
  <c r="Y383" i="60" s="1"/>
  <c r="F383" i="60"/>
  <c r="M383" i="60"/>
  <c r="AB383" i="60" s="1"/>
  <c r="I383" i="60"/>
  <c r="E383" i="60"/>
  <c r="T383" i="60" s="1"/>
  <c r="L383" i="60"/>
  <c r="H383" i="60"/>
  <c r="W383" i="60" s="1"/>
  <c r="K383" i="60"/>
  <c r="G383" i="60"/>
  <c r="V383" i="60" s="1"/>
  <c r="N391" i="60"/>
  <c r="AC391" i="60" s="1"/>
  <c r="J391" i="60"/>
  <c r="Y391" i="60" s="1"/>
  <c r="F391" i="60"/>
  <c r="U391" i="60" s="1"/>
  <c r="M391" i="60"/>
  <c r="AB391" i="60" s="1"/>
  <c r="I391" i="60"/>
  <c r="X391" i="60" s="1"/>
  <c r="E391" i="60"/>
  <c r="T391" i="60" s="1"/>
  <c r="L391" i="60"/>
  <c r="AA391" i="60" s="1"/>
  <c r="H391" i="60"/>
  <c r="W391" i="60" s="1"/>
  <c r="K391" i="60"/>
  <c r="Z391" i="60" s="1"/>
  <c r="G391" i="60"/>
  <c r="V391" i="60" s="1"/>
  <c r="M291" i="60"/>
  <c r="I291" i="60"/>
  <c r="X291" i="60" s="1"/>
  <c r="E291" i="60"/>
  <c r="L291" i="60"/>
  <c r="AA291" i="60" s="1"/>
  <c r="H291" i="60"/>
  <c r="K291" i="60"/>
  <c r="Z291" i="60" s="1"/>
  <c r="G291" i="60"/>
  <c r="F291" i="60"/>
  <c r="U291" i="60" s="1"/>
  <c r="N291" i="60"/>
  <c r="J291" i="60"/>
  <c r="Y291" i="60" s="1"/>
  <c r="K324" i="60"/>
  <c r="G324" i="60"/>
  <c r="N324" i="60"/>
  <c r="J324" i="60"/>
  <c r="Y324" i="60" s="1"/>
  <c r="F324" i="60"/>
  <c r="M324" i="60"/>
  <c r="AB324" i="60" s="1"/>
  <c r="I324" i="60"/>
  <c r="E324" i="60"/>
  <c r="T324" i="60" s="1"/>
  <c r="L324" i="60"/>
  <c r="H324" i="60"/>
  <c r="W324" i="60" s="1"/>
  <c r="L224" i="60"/>
  <c r="AA224" i="60" s="1"/>
  <c r="H224" i="60"/>
  <c r="W224" i="60" s="1"/>
  <c r="K224" i="60"/>
  <c r="Z224" i="60" s="1"/>
  <c r="G224" i="60"/>
  <c r="V224" i="60" s="1"/>
  <c r="N224" i="60"/>
  <c r="AC224" i="60" s="1"/>
  <c r="J224" i="60"/>
  <c r="Y224" i="60" s="1"/>
  <c r="F224" i="60"/>
  <c r="U224" i="60" s="1"/>
  <c r="E224" i="60"/>
  <c r="T224" i="60" s="1"/>
  <c r="M224" i="60"/>
  <c r="AB224" i="60" s="1"/>
  <c r="I224" i="60"/>
  <c r="X224" i="60" s="1"/>
  <c r="K316" i="60"/>
  <c r="Z316" i="60" s="1"/>
  <c r="G316" i="60"/>
  <c r="V316" i="60" s="1"/>
  <c r="N316" i="60"/>
  <c r="AC316" i="60" s="1"/>
  <c r="J316" i="60"/>
  <c r="Y316" i="60" s="1"/>
  <c r="F316" i="60"/>
  <c r="U316" i="60" s="1"/>
  <c r="M316" i="60"/>
  <c r="AB316" i="60" s="1"/>
  <c r="I316" i="60"/>
  <c r="X316" i="60" s="1"/>
  <c r="E316" i="60"/>
  <c r="T316" i="60" s="1"/>
  <c r="L316" i="60"/>
  <c r="AA316" i="60" s="1"/>
  <c r="H316" i="60"/>
  <c r="W316" i="60" s="1"/>
  <c r="R295" i="60"/>
  <c r="L254" i="60"/>
  <c r="AA254" i="60" s="1"/>
  <c r="H254" i="60"/>
  <c r="K254" i="60"/>
  <c r="G254" i="60"/>
  <c r="V254" i="60" s="1"/>
  <c r="N254" i="60"/>
  <c r="J254" i="60"/>
  <c r="F254" i="60"/>
  <c r="I254" i="60"/>
  <c r="X254" i="60" s="1"/>
  <c r="E254" i="60"/>
  <c r="M254" i="60"/>
  <c r="L446" i="60"/>
  <c r="AA446" i="60" s="1"/>
  <c r="H446" i="60"/>
  <c r="W446" i="60" s="1"/>
  <c r="K446" i="60"/>
  <c r="Z446" i="60" s="1"/>
  <c r="G446" i="60"/>
  <c r="V446" i="60" s="1"/>
  <c r="N446" i="60"/>
  <c r="AC446" i="60" s="1"/>
  <c r="J446" i="60"/>
  <c r="Y446" i="60" s="1"/>
  <c r="F446" i="60"/>
  <c r="U446" i="60" s="1"/>
  <c r="M446" i="60"/>
  <c r="AB446" i="60" s="1"/>
  <c r="I446" i="60"/>
  <c r="X446" i="60" s="1"/>
  <c r="E446" i="60"/>
  <c r="T446" i="60" s="1"/>
  <c r="K290" i="60"/>
  <c r="Z290" i="60" s="1"/>
  <c r="G290" i="60"/>
  <c r="V290" i="60" s="1"/>
  <c r="N290" i="60"/>
  <c r="AC290" i="60" s="1"/>
  <c r="J290" i="60"/>
  <c r="Y290" i="60" s="1"/>
  <c r="F290" i="60"/>
  <c r="U290" i="60" s="1"/>
  <c r="M290" i="60"/>
  <c r="AB290" i="60" s="1"/>
  <c r="I290" i="60"/>
  <c r="X290" i="60" s="1"/>
  <c r="E290" i="60"/>
  <c r="T290" i="60" s="1"/>
  <c r="L290" i="60"/>
  <c r="AA290" i="60" s="1"/>
  <c r="H290" i="60"/>
  <c r="W290" i="60" s="1"/>
  <c r="L394" i="60"/>
  <c r="AA394" i="60" s="1"/>
  <c r="H394" i="60"/>
  <c r="W394" i="60" s="1"/>
  <c r="K394" i="60"/>
  <c r="Z394" i="60" s="1"/>
  <c r="G394" i="60"/>
  <c r="V394" i="60" s="1"/>
  <c r="N394" i="60"/>
  <c r="AC394" i="60" s="1"/>
  <c r="J394" i="60"/>
  <c r="Y394" i="60" s="1"/>
  <c r="F394" i="60"/>
  <c r="U394" i="60" s="1"/>
  <c r="E394" i="60"/>
  <c r="T394" i="60" s="1"/>
  <c r="M394" i="60"/>
  <c r="AB394" i="60" s="1"/>
  <c r="I394" i="60"/>
  <c r="X394" i="60" s="1"/>
  <c r="D447" i="60"/>
  <c r="D551" i="60" s="1"/>
  <c r="M343" i="60"/>
  <c r="I343" i="60"/>
  <c r="X343" i="60" s="1"/>
  <c r="E343" i="60"/>
  <c r="T343" i="60" s="1"/>
  <c r="L343" i="60"/>
  <c r="AA343" i="60" s="1"/>
  <c r="H343" i="60"/>
  <c r="K343" i="60"/>
  <c r="Z343" i="60" s="1"/>
  <c r="G343" i="60"/>
  <c r="V343" i="60" s="1"/>
  <c r="N343" i="60"/>
  <c r="AC343" i="60" s="1"/>
  <c r="J343" i="60"/>
  <c r="F343" i="60"/>
  <c r="U343" i="60" s="1"/>
  <c r="N213" i="60"/>
  <c r="AC213" i="60" s="1"/>
  <c r="J213" i="60"/>
  <c r="Y213" i="60" s="1"/>
  <c r="F213" i="60"/>
  <c r="M213" i="60"/>
  <c r="AB213" i="60" s="1"/>
  <c r="I213" i="60"/>
  <c r="E213" i="60"/>
  <c r="T213" i="60" s="1"/>
  <c r="L213" i="60"/>
  <c r="AA213" i="60" s="1"/>
  <c r="H213" i="60"/>
  <c r="W213" i="60" s="1"/>
  <c r="K213" i="60"/>
  <c r="Z213" i="60" s="1"/>
  <c r="G213" i="60"/>
  <c r="V213" i="60" s="1"/>
  <c r="N235" i="60"/>
  <c r="AC235" i="60" s="1"/>
  <c r="J235" i="60"/>
  <c r="Y235" i="60" s="1"/>
  <c r="F235" i="60"/>
  <c r="U235" i="60" s="1"/>
  <c r="M235" i="60"/>
  <c r="AB235" i="60" s="1"/>
  <c r="I235" i="60"/>
  <c r="X235" i="60" s="1"/>
  <c r="E235" i="60"/>
  <c r="T235" i="60" s="1"/>
  <c r="L235" i="60"/>
  <c r="AA235" i="60" s="1"/>
  <c r="H235" i="60"/>
  <c r="W235" i="60" s="1"/>
  <c r="G235" i="60"/>
  <c r="V235" i="60" s="1"/>
  <c r="K235" i="60"/>
  <c r="Z235" i="60" s="1"/>
  <c r="N243" i="60"/>
  <c r="AC243" i="60" s="1"/>
  <c r="J243" i="60"/>
  <c r="Y243" i="60" s="1"/>
  <c r="F243" i="60"/>
  <c r="U243" i="60" s="1"/>
  <c r="M243" i="60"/>
  <c r="AB243" i="60" s="1"/>
  <c r="I243" i="60"/>
  <c r="X243" i="60" s="1"/>
  <c r="E243" i="60"/>
  <c r="T243" i="60" s="1"/>
  <c r="L243" i="60"/>
  <c r="AA243" i="60" s="1"/>
  <c r="H243" i="60"/>
  <c r="W243" i="60" s="1"/>
  <c r="G243" i="60"/>
  <c r="V243" i="60" s="1"/>
  <c r="K243" i="60"/>
  <c r="Z243" i="60" s="1"/>
  <c r="M297" i="60"/>
  <c r="AB297" i="60" s="1"/>
  <c r="I297" i="60"/>
  <c r="X297" i="60" s="1"/>
  <c r="E297" i="60"/>
  <c r="T297" i="60" s="1"/>
  <c r="L297" i="60"/>
  <c r="AA297" i="60" s="1"/>
  <c r="H297" i="60"/>
  <c r="W297" i="60" s="1"/>
  <c r="K297" i="60"/>
  <c r="Z297" i="60" s="1"/>
  <c r="G297" i="60"/>
  <c r="V297" i="60" s="1"/>
  <c r="J297" i="60"/>
  <c r="Y297" i="60" s="1"/>
  <c r="F297" i="60"/>
  <c r="U297" i="60" s="1"/>
  <c r="N297" i="60"/>
  <c r="AC297" i="60" s="1"/>
  <c r="N227" i="60"/>
  <c r="AC227" i="60" s="1"/>
  <c r="J227" i="60"/>
  <c r="Y227" i="60" s="1"/>
  <c r="F227" i="60"/>
  <c r="U227" i="60" s="1"/>
  <c r="M227" i="60"/>
  <c r="AB227" i="60" s="1"/>
  <c r="E227" i="60"/>
  <c r="T227" i="60" s="1"/>
  <c r="L227" i="60"/>
  <c r="AA227" i="60" s="1"/>
  <c r="H227" i="60"/>
  <c r="W227" i="60" s="1"/>
  <c r="K227" i="60"/>
  <c r="Z227" i="60" s="1"/>
  <c r="K330" i="60"/>
  <c r="Z330" i="60" s="1"/>
  <c r="G330" i="60"/>
  <c r="V330" i="60" s="1"/>
  <c r="N330" i="60"/>
  <c r="AC330" i="60" s="1"/>
  <c r="J330" i="60"/>
  <c r="Y330" i="60" s="1"/>
  <c r="F330" i="60"/>
  <c r="U330" i="60" s="1"/>
  <c r="M330" i="60"/>
  <c r="AB330" i="60" s="1"/>
  <c r="I330" i="60"/>
  <c r="X330" i="60" s="1"/>
  <c r="E330" i="60"/>
  <c r="T330" i="60" s="1"/>
  <c r="L330" i="60"/>
  <c r="AA330" i="60" s="1"/>
  <c r="H330" i="60"/>
  <c r="W330" i="60" s="1"/>
  <c r="K342" i="60"/>
  <c r="Z342" i="60" s="1"/>
  <c r="G342" i="60"/>
  <c r="V342" i="60" s="1"/>
  <c r="N342" i="60"/>
  <c r="AC342" i="60" s="1"/>
  <c r="J342" i="60"/>
  <c r="Y342" i="60" s="1"/>
  <c r="F342" i="60"/>
  <c r="U342" i="60" s="1"/>
  <c r="M342" i="60"/>
  <c r="AB342" i="60" s="1"/>
  <c r="I342" i="60"/>
  <c r="X342" i="60" s="1"/>
  <c r="E342" i="60"/>
  <c r="T342" i="60" s="1"/>
  <c r="H342" i="60"/>
  <c r="W342" i="60" s="1"/>
  <c r="L342" i="60"/>
  <c r="AA342" i="60" s="1"/>
  <c r="L252" i="60"/>
  <c r="AA252" i="60" s="1"/>
  <c r="H252" i="60"/>
  <c r="W252" i="60" s="1"/>
  <c r="K252" i="60"/>
  <c r="Z252" i="60" s="1"/>
  <c r="G252" i="60"/>
  <c r="V252" i="60" s="1"/>
  <c r="N252" i="60"/>
  <c r="AC252" i="60" s="1"/>
  <c r="J252" i="60"/>
  <c r="Y252" i="60" s="1"/>
  <c r="F252" i="60"/>
  <c r="U252" i="60" s="1"/>
  <c r="M252" i="60"/>
  <c r="AB252" i="60" s="1"/>
  <c r="I252" i="60"/>
  <c r="X252" i="60" s="1"/>
  <c r="E252" i="60"/>
  <c r="T252" i="60" s="1"/>
  <c r="N260" i="60"/>
  <c r="AC260" i="60" s="1"/>
  <c r="M260" i="60"/>
  <c r="AB260" i="60" s="1"/>
  <c r="L260" i="60"/>
  <c r="AA260" i="60" s="1"/>
  <c r="H260" i="60"/>
  <c r="W260" i="60" s="1"/>
  <c r="K260" i="60"/>
  <c r="Z260" i="60" s="1"/>
  <c r="G260" i="60"/>
  <c r="V260" i="60" s="1"/>
  <c r="J260" i="60"/>
  <c r="Y260" i="60" s="1"/>
  <c r="F260" i="60"/>
  <c r="U260" i="60" s="1"/>
  <c r="I260" i="60"/>
  <c r="X260" i="60" s="1"/>
  <c r="E260" i="60"/>
  <c r="T260" i="60" s="1"/>
  <c r="K268" i="60"/>
  <c r="Z268" i="60" s="1"/>
  <c r="G268" i="60"/>
  <c r="V268" i="60" s="1"/>
  <c r="N268" i="60"/>
  <c r="AC268" i="60" s="1"/>
  <c r="J268" i="60"/>
  <c r="Y268" i="60" s="1"/>
  <c r="F268" i="60"/>
  <c r="U268" i="60" s="1"/>
  <c r="M268" i="60"/>
  <c r="AB268" i="60" s="1"/>
  <c r="I268" i="60"/>
  <c r="X268" i="60" s="1"/>
  <c r="E268" i="60"/>
  <c r="T268" i="60" s="1"/>
  <c r="L268" i="60"/>
  <c r="AA268" i="60" s="1"/>
  <c r="H268" i="60"/>
  <c r="W268" i="60" s="1"/>
  <c r="L378" i="60"/>
  <c r="AA378" i="60" s="1"/>
  <c r="H378" i="60"/>
  <c r="W378" i="60" s="1"/>
  <c r="K378" i="60"/>
  <c r="Z378" i="60" s="1"/>
  <c r="G378" i="60"/>
  <c r="V378" i="60" s="1"/>
  <c r="N378" i="60"/>
  <c r="AC378" i="60" s="1"/>
  <c r="J378" i="60"/>
  <c r="Y378" i="60" s="1"/>
  <c r="F378" i="60"/>
  <c r="U378" i="60" s="1"/>
  <c r="E378" i="60"/>
  <c r="T378" i="60" s="1"/>
  <c r="M378" i="60"/>
  <c r="AB378" i="60" s="1"/>
  <c r="I378" i="60"/>
  <c r="X378" i="60" s="1"/>
  <c r="L386" i="60"/>
  <c r="AA386" i="60" s="1"/>
  <c r="H386" i="60"/>
  <c r="W386" i="60" s="1"/>
  <c r="K386" i="60"/>
  <c r="Z386" i="60" s="1"/>
  <c r="G386" i="60"/>
  <c r="V386" i="60" s="1"/>
  <c r="N386" i="60"/>
  <c r="AC386" i="60" s="1"/>
  <c r="J386" i="60"/>
  <c r="Y386" i="60" s="1"/>
  <c r="F386" i="60"/>
  <c r="U386" i="60" s="1"/>
  <c r="E386" i="60"/>
  <c r="T386" i="60" s="1"/>
  <c r="M386" i="60"/>
  <c r="AB386" i="60" s="1"/>
  <c r="I386" i="60"/>
  <c r="X386" i="60" s="1"/>
  <c r="L392" i="60"/>
  <c r="AA392" i="60" s="1"/>
  <c r="H392" i="60"/>
  <c r="W392" i="60" s="1"/>
  <c r="K392" i="60"/>
  <c r="Z392" i="60" s="1"/>
  <c r="G392" i="60"/>
  <c r="V392" i="60" s="1"/>
  <c r="N392" i="60"/>
  <c r="AC392" i="60" s="1"/>
  <c r="J392" i="60"/>
  <c r="Y392" i="60" s="1"/>
  <c r="F392" i="60"/>
  <c r="U392" i="60" s="1"/>
  <c r="I392" i="60"/>
  <c r="X392" i="60" s="1"/>
  <c r="E392" i="60"/>
  <c r="T392" i="60" s="1"/>
  <c r="M392" i="60"/>
  <c r="AB392" i="60" s="1"/>
  <c r="L210" i="60"/>
  <c r="AA210" i="60" s="1"/>
  <c r="H210" i="60"/>
  <c r="W210" i="60" s="1"/>
  <c r="K210" i="60"/>
  <c r="Z210" i="60" s="1"/>
  <c r="N210" i="60"/>
  <c r="AC210" i="60" s="1"/>
  <c r="J210" i="60"/>
  <c r="Y210" i="60" s="1"/>
  <c r="F210" i="60"/>
  <c r="U210" i="60" s="1"/>
  <c r="M210" i="60"/>
  <c r="AB210" i="60" s="1"/>
  <c r="I210" i="60"/>
  <c r="X210" i="60" s="1"/>
  <c r="Y220" i="60"/>
  <c r="X454" i="60"/>
  <c r="AA246" i="60"/>
  <c r="AC246" i="60"/>
  <c r="T222" i="60"/>
  <c r="V272" i="60"/>
  <c r="AC272" i="60"/>
  <c r="U272" i="60"/>
  <c r="AB272" i="60"/>
  <c r="X272" i="60"/>
  <c r="AA272" i="60"/>
  <c r="W272" i="60"/>
  <c r="W402" i="60"/>
  <c r="Y402" i="60"/>
  <c r="U376" i="60"/>
  <c r="Z222" i="60"/>
  <c r="AB222" i="60"/>
  <c r="AB350" i="60"/>
  <c r="X350" i="60"/>
  <c r="AA350" i="60"/>
  <c r="W350" i="60"/>
  <c r="Z350" i="60"/>
  <c r="V350" i="60"/>
  <c r="AC350" i="60"/>
  <c r="Y350" i="60"/>
  <c r="U350" i="60"/>
  <c r="U324" i="60"/>
  <c r="AA324" i="60"/>
  <c r="W222" i="60"/>
  <c r="U222" i="60"/>
  <c r="Y289" i="60"/>
  <c r="W289" i="60"/>
  <c r="AB343" i="60"/>
  <c r="Y343" i="60"/>
  <c r="U213" i="60"/>
  <c r="X213" i="60"/>
  <c r="W343" i="60"/>
  <c r="D476" i="60"/>
  <c r="S73" i="60"/>
  <c r="C99" i="60"/>
  <c r="C177" i="60"/>
  <c r="S65" i="60"/>
  <c r="C91" i="60"/>
  <c r="C169" i="60"/>
  <c r="S57" i="60"/>
  <c r="C161" i="60"/>
  <c r="C83" i="60"/>
  <c r="S75" i="60"/>
  <c r="C179" i="60"/>
  <c r="C101" i="60"/>
  <c r="S71" i="60"/>
  <c r="C175" i="60"/>
  <c r="C97" i="60"/>
  <c r="S63" i="60"/>
  <c r="C167" i="60"/>
  <c r="C89" i="60"/>
  <c r="S59" i="60"/>
  <c r="C163" i="60"/>
  <c r="C85" i="60"/>
  <c r="S74" i="60"/>
  <c r="C178" i="60"/>
  <c r="C100" i="60"/>
  <c r="S53" i="60"/>
  <c r="C157" i="60"/>
  <c r="S41" i="60"/>
  <c r="C145" i="60"/>
  <c r="S29" i="60"/>
  <c r="C133" i="60"/>
  <c r="C55" i="60"/>
  <c r="S76" i="60"/>
  <c r="C180" i="60"/>
  <c r="C102" i="60"/>
  <c r="D488" i="60"/>
  <c r="AA384" i="60"/>
  <c r="Z384" i="60"/>
  <c r="V384" i="60"/>
  <c r="AC384" i="60"/>
  <c r="T384" i="60"/>
  <c r="AB384" i="60"/>
  <c r="X384" i="60"/>
  <c r="D419" i="60"/>
  <c r="AA315" i="60"/>
  <c r="Z315" i="60"/>
  <c r="V315" i="60"/>
  <c r="AC315" i="60"/>
  <c r="Y315" i="60"/>
  <c r="X315" i="60"/>
  <c r="S329" i="60"/>
  <c r="C433" i="60"/>
  <c r="D512" i="60"/>
  <c r="W408" i="60"/>
  <c r="V408" i="60"/>
  <c r="Y408" i="60"/>
  <c r="AB408" i="60"/>
  <c r="X408" i="60"/>
  <c r="R231" i="60"/>
  <c r="B335" i="60"/>
  <c r="AC323" i="60"/>
  <c r="Y323" i="60"/>
  <c r="U323" i="60"/>
  <c r="D427" i="60"/>
  <c r="AA323" i="60"/>
  <c r="W323" i="60"/>
  <c r="AB323" i="60"/>
  <c r="Z323" i="60"/>
  <c r="AC220" i="60"/>
  <c r="AB220" i="60"/>
  <c r="AA220" i="60"/>
  <c r="R284" i="60"/>
  <c r="B388" i="60"/>
  <c r="AC393" i="60"/>
  <c r="Y393" i="60"/>
  <c r="AB393" i="60"/>
  <c r="X393" i="60"/>
  <c r="T393" i="60"/>
  <c r="W393" i="60"/>
  <c r="Z393" i="60"/>
  <c r="V393" i="60"/>
  <c r="D497" i="60"/>
  <c r="R309" i="60"/>
  <c r="B413" i="60"/>
  <c r="S339" i="60"/>
  <c r="C443" i="60"/>
  <c r="Y236" i="60"/>
  <c r="AB236" i="60"/>
  <c r="T236" i="60"/>
  <c r="W236" i="60"/>
  <c r="V236" i="60"/>
  <c r="Y240" i="60"/>
  <c r="AB240" i="60"/>
  <c r="X240" i="60"/>
  <c r="T240" i="60"/>
  <c r="W240" i="60"/>
  <c r="V240" i="60"/>
  <c r="Y248" i="60"/>
  <c r="X248" i="60"/>
  <c r="T248" i="60"/>
  <c r="W248" i="60"/>
  <c r="V248" i="60"/>
  <c r="Y292" i="60"/>
  <c r="U292" i="60"/>
  <c r="AB292" i="60"/>
  <c r="T292" i="60"/>
  <c r="AA292" i="60"/>
  <c r="W292" i="60"/>
  <c r="Z292" i="60"/>
  <c r="V292" i="60"/>
  <c r="R298" i="60"/>
  <c r="B402" i="60"/>
  <c r="AC321" i="60"/>
  <c r="W321" i="60"/>
  <c r="Z321" i="60"/>
  <c r="V321" i="60"/>
  <c r="D425" i="60"/>
  <c r="U321" i="60"/>
  <c r="AB321" i="60"/>
  <c r="T321" i="60"/>
  <c r="X321" i="60"/>
  <c r="S324" i="60"/>
  <c r="C428" i="60"/>
  <c r="W221" i="60"/>
  <c r="Z221" i="60"/>
  <c r="V221" i="60"/>
  <c r="Y221" i="60"/>
  <c r="AB221" i="60"/>
  <c r="X221" i="60"/>
  <c r="R227" i="60"/>
  <c r="B331" i="60"/>
  <c r="AC337" i="60"/>
  <c r="D441" i="60"/>
  <c r="AA337" i="60"/>
  <c r="X337" i="60"/>
  <c r="V337" i="60"/>
  <c r="AB337" i="60"/>
  <c r="X508" i="60"/>
  <c r="T508" i="60"/>
  <c r="D612" i="60"/>
  <c r="AA508" i="60"/>
  <c r="Z508" i="60"/>
  <c r="AC508" i="60"/>
  <c r="U508" i="60"/>
  <c r="D566" i="60"/>
  <c r="AA462" i="60"/>
  <c r="W462" i="60"/>
  <c r="Z462" i="60"/>
  <c r="V462" i="60"/>
  <c r="AC462" i="60"/>
  <c r="Y462" i="60"/>
  <c r="U462" i="60"/>
  <c r="AB462" i="60"/>
  <c r="X462" i="60"/>
  <c r="T462" i="60"/>
  <c r="D574" i="60"/>
  <c r="W470" i="60"/>
  <c r="V470" i="60"/>
  <c r="Y470" i="60"/>
  <c r="AB470" i="60"/>
  <c r="T470" i="60"/>
  <c r="D590" i="60"/>
  <c r="W486" i="60"/>
  <c r="Z486" i="60"/>
  <c r="V486" i="60"/>
  <c r="AC486" i="60"/>
  <c r="U486" i="60"/>
  <c r="AB486" i="60"/>
  <c r="X486" i="60"/>
  <c r="T486" i="60"/>
  <c r="D480" i="60"/>
  <c r="AA376" i="60"/>
  <c r="Z376" i="60"/>
  <c r="AC376" i="60"/>
  <c r="T376" i="60"/>
  <c r="D418" i="60"/>
  <c r="AC314" i="60"/>
  <c r="Y314" i="60"/>
  <c r="AB314" i="60"/>
  <c r="X314" i="60"/>
  <c r="T314" i="60"/>
  <c r="W314" i="60"/>
  <c r="V314" i="60"/>
  <c r="R216" i="60"/>
  <c r="B320" i="60"/>
  <c r="R248" i="60"/>
  <c r="B352" i="60"/>
  <c r="R280" i="60"/>
  <c r="B384" i="60"/>
  <c r="R237" i="60"/>
  <c r="B341" i="60"/>
  <c r="R285" i="60"/>
  <c r="B389" i="60"/>
  <c r="AC399" i="60"/>
  <c r="Y399" i="60"/>
  <c r="U399" i="60"/>
  <c r="D503" i="60"/>
  <c r="X399" i="60"/>
  <c r="T399" i="60"/>
  <c r="AA399" i="60"/>
  <c r="Z399" i="60"/>
  <c r="V399" i="60"/>
  <c r="AA299" i="60"/>
  <c r="W299" i="60"/>
  <c r="V299" i="60"/>
  <c r="AC299" i="60"/>
  <c r="Y299" i="60"/>
  <c r="T299" i="60"/>
  <c r="AB299" i="60"/>
  <c r="R301" i="60"/>
  <c r="B405" i="60"/>
  <c r="S319" i="60"/>
  <c r="C423" i="60"/>
  <c r="R222" i="60"/>
  <c r="B326" i="60"/>
  <c r="D436" i="60"/>
  <c r="AA332" i="60"/>
  <c r="W332" i="60"/>
  <c r="Y332" i="60"/>
  <c r="U332" i="60"/>
  <c r="AB332" i="60"/>
  <c r="T332" i="60"/>
  <c r="Z332" i="60"/>
  <c r="V332" i="60"/>
  <c r="S335" i="60"/>
  <c r="C439" i="60"/>
  <c r="Y232" i="60"/>
  <c r="U232" i="60"/>
  <c r="X232" i="60"/>
  <c r="T232" i="60"/>
  <c r="W232" i="60"/>
  <c r="Z232" i="60"/>
  <c r="V232" i="60"/>
  <c r="R260" i="60"/>
  <c r="B364" i="60"/>
  <c r="D550" i="60"/>
  <c r="D558" i="60"/>
  <c r="AA454" i="60"/>
  <c r="W454" i="60"/>
  <c r="V454" i="60"/>
  <c r="AC454" i="60"/>
  <c r="Y454" i="60"/>
  <c r="AB454" i="60"/>
  <c r="T454" i="60"/>
  <c r="D578" i="60"/>
  <c r="R229" i="60"/>
  <c r="B333" i="60"/>
  <c r="S45" i="60"/>
  <c r="C149" i="60"/>
  <c r="S33" i="60"/>
  <c r="C137" i="60"/>
  <c r="S321" i="60"/>
  <c r="C425" i="60"/>
  <c r="S325" i="60"/>
  <c r="C429" i="60"/>
  <c r="Y298" i="60"/>
  <c r="U298" i="60"/>
  <c r="AB298" i="60"/>
  <c r="AA298" i="60"/>
  <c r="W298" i="60"/>
  <c r="D506" i="60"/>
  <c r="U402" i="60"/>
  <c r="X402" i="60"/>
  <c r="T402" i="60"/>
  <c r="AA311" i="60"/>
  <c r="W311" i="60"/>
  <c r="V311" i="60"/>
  <c r="Y311" i="60"/>
  <c r="U311" i="60"/>
  <c r="AB311" i="60"/>
  <c r="AA340" i="60"/>
  <c r="AC340" i="60"/>
  <c r="Y340" i="60"/>
  <c r="U340" i="60"/>
  <c r="T340" i="60"/>
  <c r="Z340" i="60"/>
  <c r="X340" i="60"/>
  <c r="D444" i="60"/>
  <c r="AA344" i="60"/>
  <c r="Z344" i="60"/>
  <c r="AC344" i="60"/>
  <c r="Y344" i="60"/>
  <c r="U344" i="60"/>
  <c r="T344" i="60"/>
  <c r="D448" i="60"/>
  <c r="X344" i="60"/>
  <c r="D452" i="60"/>
  <c r="AA352" i="60"/>
  <c r="Z352" i="60"/>
  <c r="AC352" i="60"/>
  <c r="U352" i="60"/>
  <c r="D456" i="60"/>
  <c r="X352" i="60"/>
  <c r="R254" i="60"/>
  <c r="B358" i="60"/>
  <c r="R262" i="60"/>
  <c r="B366" i="60"/>
  <c r="R270" i="60"/>
  <c r="B374" i="60"/>
  <c r="R278" i="60"/>
  <c r="B382" i="60"/>
  <c r="S328" i="60"/>
  <c r="C432" i="60"/>
  <c r="D464" i="60"/>
  <c r="AA360" i="60"/>
  <c r="W360" i="60"/>
  <c r="Z360" i="60"/>
  <c r="V360" i="60"/>
  <c r="AC360" i="60"/>
  <c r="U360" i="60"/>
  <c r="AB360" i="60"/>
  <c r="X360" i="60"/>
  <c r="R299" i="60"/>
  <c r="B403" i="60"/>
  <c r="AC306" i="60"/>
  <c r="Y306" i="60"/>
  <c r="AB306" i="60"/>
  <c r="X306" i="60"/>
  <c r="T306" i="60"/>
  <c r="W306" i="60"/>
  <c r="V306" i="60"/>
  <c r="R249" i="60"/>
  <c r="B353" i="60"/>
  <c r="R253" i="60"/>
  <c r="B357" i="60"/>
  <c r="R257" i="60"/>
  <c r="B361" i="60"/>
  <c r="R261" i="60"/>
  <c r="B365" i="60"/>
  <c r="R265" i="60"/>
  <c r="B369" i="60"/>
  <c r="R269" i="60"/>
  <c r="B373" i="60"/>
  <c r="R273" i="60"/>
  <c r="B377" i="60"/>
  <c r="R277" i="60"/>
  <c r="B381" i="60"/>
  <c r="R281" i="60"/>
  <c r="B385" i="60"/>
  <c r="AC387" i="60"/>
  <c r="Y387" i="60"/>
  <c r="D491" i="60"/>
  <c r="AB387" i="60"/>
  <c r="X387" i="60"/>
  <c r="T387" i="60"/>
  <c r="W387" i="60"/>
  <c r="V387" i="60"/>
  <c r="Z387" i="60"/>
  <c r="R289" i="60"/>
  <c r="B393" i="60"/>
  <c r="D424" i="60"/>
  <c r="S323" i="60"/>
  <c r="C427" i="60"/>
  <c r="R226" i="60"/>
  <c r="B330" i="60"/>
  <c r="R300" i="60"/>
  <c r="B404" i="60"/>
  <c r="S52" i="60"/>
  <c r="C156" i="60"/>
  <c r="S44" i="60"/>
  <c r="C148" i="60"/>
  <c r="S36" i="60"/>
  <c r="C140" i="60"/>
  <c r="S32" i="60"/>
  <c r="C136" i="60"/>
  <c r="C70" i="60"/>
  <c r="C62" i="60"/>
  <c r="C58" i="60"/>
  <c r="S326" i="60"/>
  <c r="C430" i="60"/>
  <c r="R306" i="60"/>
  <c r="B410" i="60"/>
  <c r="D516" i="60"/>
  <c r="AA412" i="60"/>
  <c r="W412" i="60"/>
  <c r="Z412" i="60"/>
  <c r="AC412" i="60"/>
  <c r="Y412" i="60"/>
  <c r="U412" i="60"/>
  <c r="X412" i="60"/>
  <c r="T412" i="60"/>
  <c r="R239" i="60"/>
  <c r="B343" i="60"/>
  <c r="R247" i="60"/>
  <c r="B351" i="60"/>
  <c r="R251" i="60"/>
  <c r="B355" i="60"/>
  <c r="B363" i="60"/>
  <c r="R259" i="60"/>
  <c r="R267" i="60"/>
  <c r="B371" i="60"/>
  <c r="B379" i="60"/>
  <c r="R275" i="60"/>
  <c r="AC397" i="60"/>
  <c r="Y397" i="60"/>
  <c r="U397" i="60"/>
  <c r="X397" i="60"/>
  <c r="T397" i="60"/>
  <c r="AA397" i="60"/>
  <c r="D501" i="60"/>
  <c r="Z397" i="60"/>
  <c r="V397" i="60"/>
  <c r="D509" i="60"/>
  <c r="D530" i="60"/>
  <c r="D538" i="60"/>
  <c r="AA434" i="60"/>
  <c r="Z434" i="60"/>
  <c r="AC434" i="60"/>
  <c r="Y434" i="60"/>
  <c r="X434" i="60"/>
  <c r="AB434" i="60"/>
  <c r="D542" i="60"/>
  <c r="AA438" i="60"/>
  <c r="Z438" i="60"/>
  <c r="V438" i="60"/>
  <c r="AC438" i="60"/>
  <c r="U438" i="60"/>
  <c r="AB438" i="60"/>
  <c r="X438" i="60"/>
  <c r="D546" i="60"/>
  <c r="AA442" i="60"/>
  <c r="W442" i="60"/>
  <c r="Z442" i="60"/>
  <c r="AC442" i="60"/>
  <c r="Y442" i="60"/>
  <c r="U442" i="60"/>
  <c r="X442" i="60"/>
  <c r="AB442" i="60"/>
  <c r="R210" i="60"/>
  <c r="B314" i="60"/>
  <c r="D484" i="60"/>
  <c r="D455" i="60"/>
  <c r="AC351" i="60"/>
  <c r="Y351" i="60"/>
  <c r="AB351" i="60"/>
  <c r="T351" i="60"/>
  <c r="AA351" i="60"/>
  <c r="W351" i="60"/>
  <c r="V351" i="60"/>
  <c r="S51" i="60"/>
  <c r="C155" i="60"/>
  <c r="S43" i="60"/>
  <c r="C147" i="60"/>
  <c r="S35" i="60"/>
  <c r="C139" i="60"/>
  <c r="C78" i="60"/>
  <c r="AC415" i="60"/>
  <c r="U415" i="60"/>
  <c r="D519" i="60"/>
  <c r="AB415" i="60"/>
  <c r="X415" i="60"/>
  <c r="T415" i="60"/>
  <c r="AA415" i="60"/>
  <c r="W415" i="60"/>
  <c r="Z415" i="60"/>
  <c r="V415" i="60"/>
  <c r="S334" i="60"/>
  <c r="C438" i="60"/>
  <c r="AA285" i="60"/>
  <c r="W285" i="60"/>
  <c r="Z285" i="60"/>
  <c r="V285" i="60"/>
  <c r="AC285" i="60"/>
  <c r="Y285" i="60"/>
  <c r="U285" i="60"/>
  <c r="T285" i="60"/>
  <c r="X285" i="60"/>
  <c r="R240" i="60"/>
  <c r="B344" i="60"/>
  <c r="R272" i="60"/>
  <c r="B376" i="60"/>
  <c r="Y214" i="60"/>
  <c r="AB214" i="60"/>
  <c r="X214" i="60"/>
  <c r="AA214" i="60"/>
  <c r="W214" i="60"/>
  <c r="V214" i="60"/>
  <c r="Z214" i="60"/>
  <c r="D502" i="60"/>
  <c r="R233" i="60"/>
  <c r="B337" i="60"/>
  <c r="D500" i="60"/>
  <c r="W396" i="60"/>
  <c r="V396" i="60"/>
  <c r="Y396" i="60"/>
  <c r="AB396" i="60"/>
  <c r="T396" i="60"/>
  <c r="S322" i="60"/>
  <c r="C426" i="60"/>
  <c r="R287" i="60"/>
  <c r="B391" i="60"/>
  <c r="Y230" i="60"/>
  <c r="AB230" i="60"/>
  <c r="X230" i="60"/>
  <c r="W230" i="60"/>
  <c r="V230" i="60"/>
  <c r="AC262" i="60"/>
  <c r="U262" i="60"/>
  <c r="AB262" i="60"/>
  <c r="X262" i="60"/>
  <c r="AA262" i="60"/>
  <c r="W262" i="60"/>
  <c r="V262" i="60"/>
  <c r="Z262" i="60"/>
  <c r="W307" i="60"/>
  <c r="V307" i="60"/>
  <c r="AC307" i="60"/>
  <c r="X307" i="60"/>
  <c r="R238" i="60"/>
  <c r="B342" i="60"/>
  <c r="R242" i="60"/>
  <c r="B346" i="60"/>
  <c r="R246" i="60"/>
  <c r="B350" i="60"/>
  <c r="R250" i="60"/>
  <c r="B354" i="60"/>
  <c r="R258" i="60"/>
  <c r="B362" i="60"/>
  <c r="R266" i="60"/>
  <c r="B370" i="60"/>
  <c r="R274" i="60"/>
  <c r="B378" i="60"/>
  <c r="R282" i="60"/>
  <c r="B386" i="60"/>
  <c r="AC288" i="60"/>
  <c r="Y288" i="60"/>
  <c r="AB288" i="60"/>
  <c r="T288" i="60"/>
  <c r="AA288" i="60"/>
  <c r="W288" i="60"/>
  <c r="Z288" i="60"/>
  <c r="V288" i="60"/>
  <c r="R294" i="60"/>
  <c r="B398" i="60"/>
  <c r="C424" i="60"/>
  <c r="S320" i="60"/>
  <c r="AA217" i="60"/>
  <c r="W217" i="60"/>
  <c r="Z217" i="60"/>
  <c r="V217" i="60"/>
  <c r="Y217" i="60"/>
  <c r="U217" i="60"/>
  <c r="X217" i="60"/>
  <c r="AB217" i="60"/>
  <c r="R223" i="60"/>
  <c r="B327" i="60"/>
  <c r="AC333" i="60"/>
  <c r="Y333" i="60"/>
  <c r="U333" i="60"/>
  <c r="D437" i="60"/>
  <c r="AA333" i="60"/>
  <c r="W333" i="60"/>
  <c r="Z333" i="60"/>
  <c r="X333" i="60"/>
  <c r="V333" i="60"/>
  <c r="AB333" i="60"/>
  <c r="T333" i="60"/>
  <c r="C440" i="60"/>
  <c r="S336" i="60"/>
  <c r="AA233" i="60"/>
  <c r="Z233" i="60"/>
  <c r="AC233" i="60"/>
  <c r="X233" i="60"/>
  <c r="S338" i="60"/>
  <c r="C442" i="60"/>
  <c r="R288" i="60"/>
  <c r="B392" i="60"/>
  <c r="R217" i="60"/>
  <c r="B321" i="60"/>
  <c r="R221" i="60"/>
  <c r="B325" i="60"/>
  <c r="Y331" i="60"/>
  <c r="U331" i="60"/>
  <c r="D435" i="60"/>
  <c r="T331" i="60"/>
  <c r="Z331" i="60"/>
  <c r="AC226" i="60"/>
  <c r="Y226" i="60"/>
  <c r="AB226" i="60"/>
  <c r="X226" i="60"/>
  <c r="T226" i="60"/>
  <c r="W226" i="60"/>
  <c r="Z226" i="60"/>
  <c r="V226" i="60"/>
  <c r="AC258" i="60"/>
  <c r="Y258" i="60"/>
  <c r="U258" i="60"/>
  <c r="X258" i="60"/>
  <c r="T258" i="60"/>
  <c r="AA258" i="60"/>
  <c r="W258" i="60"/>
  <c r="Z258" i="60"/>
  <c r="R241" i="60"/>
  <c r="B345" i="60"/>
  <c r="AA255" i="60"/>
  <c r="W255" i="60"/>
  <c r="V255" i="60"/>
  <c r="Y255" i="60"/>
  <c r="U255" i="60"/>
  <c r="AB255" i="60"/>
  <c r="T255" i="60"/>
  <c r="W259" i="60"/>
  <c r="Z259" i="60"/>
  <c r="AC259" i="60"/>
  <c r="U259" i="60"/>
  <c r="X259" i="60"/>
  <c r="AA263" i="60"/>
  <c r="W263" i="60"/>
  <c r="Z263" i="60"/>
  <c r="AC263" i="60"/>
  <c r="Y263" i="60"/>
  <c r="U263" i="60"/>
  <c r="AB263" i="60"/>
  <c r="X263" i="60"/>
  <c r="AA267" i="60"/>
  <c r="Z267" i="60"/>
  <c r="Y267" i="60"/>
  <c r="U267" i="60"/>
  <c r="X267" i="60"/>
  <c r="AA271" i="60"/>
  <c r="Z271" i="60"/>
  <c r="V271" i="60"/>
  <c r="AC271" i="60"/>
  <c r="U271" i="60"/>
  <c r="X271" i="60"/>
  <c r="T271" i="60"/>
  <c r="AA279" i="60"/>
  <c r="W279" i="60"/>
  <c r="Z279" i="60"/>
  <c r="AC279" i="60"/>
  <c r="Y279" i="60"/>
  <c r="U279" i="60"/>
  <c r="AB279" i="60"/>
  <c r="X279" i="60"/>
  <c r="AA283" i="60"/>
  <c r="Z283" i="60"/>
  <c r="V283" i="60"/>
  <c r="AC283" i="60"/>
  <c r="Y283" i="60"/>
  <c r="U283" i="60"/>
  <c r="T283" i="60"/>
  <c r="AB283" i="60"/>
  <c r="X283" i="60"/>
  <c r="Y395" i="60"/>
  <c r="U395" i="60"/>
  <c r="D499" i="60"/>
  <c r="AB395" i="60"/>
  <c r="T395" i="60"/>
  <c r="W395" i="60"/>
  <c r="V395" i="60"/>
  <c r="AA295" i="60"/>
  <c r="W295" i="60"/>
  <c r="Z295" i="60"/>
  <c r="V295" i="60"/>
  <c r="AC295" i="60"/>
  <c r="Y295" i="60"/>
  <c r="U295" i="60"/>
  <c r="AB295" i="60"/>
  <c r="X295" i="60"/>
  <c r="R297" i="60"/>
  <c r="B401" i="60"/>
  <c r="R218" i="60"/>
  <c r="B322" i="60"/>
  <c r="D432" i="60"/>
  <c r="S331" i="60"/>
  <c r="C435" i="60"/>
  <c r="Y228" i="60"/>
  <c r="AB228" i="60"/>
  <c r="T228" i="60"/>
  <c r="W228" i="60"/>
  <c r="V228" i="60"/>
  <c r="R234" i="60"/>
  <c r="B338" i="60"/>
  <c r="AA305" i="60"/>
  <c r="W305" i="60"/>
  <c r="V305" i="60"/>
  <c r="Y305" i="60"/>
  <c r="U305" i="60"/>
  <c r="T305" i="60"/>
  <c r="AB305" i="60"/>
  <c r="D498" i="60"/>
  <c r="R292" i="60"/>
  <c r="B396" i="60"/>
  <c r="S49" i="60"/>
  <c r="C153" i="60"/>
  <c r="S37" i="60"/>
  <c r="C141" i="60"/>
  <c r="C67" i="60"/>
  <c r="R256" i="60"/>
  <c r="B360" i="60"/>
  <c r="AC308" i="60"/>
  <c r="Y308" i="60"/>
  <c r="AB308" i="60"/>
  <c r="X308" i="60"/>
  <c r="T308" i="60"/>
  <c r="W308" i="60"/>
  <c r="V308" i="60"/>
  <c r="AC312" i="60"/>
  <c r="U312" i="60"/>
  <c r="AB312" i="60"/>
  <c r="X312" i="60"/>
  <c r="AA312" i="60"/>
  <c r="W312" i="60"/>
  <c r="Z312" i="60"/>
  <c r="V312" i="60"/>
  <c r="AA237" i="60"/>
  <c r="W237" i="60"/>
  <c r="Z237" i="60"/>
  <c r="V237" i="60"/>
  <c r="AC237" i="60"/>
  <c r="Y237" i="60"/>
  <c r="AB237" i="60"/>
  <c r="X237" i="60"/>
  <c r="T237" i="60"/>
  <c r="AA241" i="60"/>
  <c r="W241" i="60"/>
  <c r="Z241" i="60"/>
  <c r="Y241" i="60"/>
  <c r="U241" i="60"/>
  <c r="X241" i="60"/>
  <c r="AB241" i="60"/>
  <c r="T241" i="60"/>
  <c r="AA245" i="60"/>
  <c r="W245" i="60"/>
  <c r="Z245" i="60"/>
  <c r="AC245" i="60"/>
  <c r="Y245" i="60"/>
  <c r="U245" i="60"/>
  <c r="AB245" i="60"/>
  <c r="X245" i="60"/>
  <c r="T245" i="60"/>
  <c r="AA253" i="60"/>
  <c r="W253" i="60"/>
  <c r="V253" i="60"/>
  <c r="Y253" i="60"/>
  <c r="U253" i="60"/>
  <c r="AB253" i="60"/>
  <c r="T253" i="60"/>
  <c r="W257" i="60"/>
  <c r="Z257" i="60"/>
  <c r="V257" i="60"/>
  <c r="AC257" i="60"/>
  <c r="Y257" i="60"/>
  <c r="X257" i="60"/>
  <c r="T257" i="60"/>
  <c r="AB257" i="60"/>
  <c r="AA265" i="60"/>
  <c r="W265" i="60"/>
  <c r="V265" i="60"/>
  <c r="Y265" i="60"/>
  <c r="U265" i="60"/>
  <c r="T265" i="60"/>
  <c r="AB265" i="60"/>
  <c r="AA269" i="60"/>
  <c r="W269" i="60"/>
  <c r="Z269" i="60"/>
  <c r="V269" i="60"/>
  <c r="AC269" i="60"/>
  <c r="Y269" i="60"/>
  <c r="AB269" i="60"/>
  <c r="X269" i="60"/>
  <c r="AA273" i="60"/>
  <c r="Z273" i="60"/>
  <c r="V273" i="60"/>
  <c r="AC273" i="60"/>
  <c r="Y273" i="60"/>
  <c r="X273" i="60"/>
  <c r="T273" i="60"/>
  <c r="AB273" i="60"/>
  <c r="W281" i="60"/>
  <c r="Z281" i="60"/>
  <c r="AC281" i="60"/>
  <c r="Y281" i="60"/>
  <c r="X281" i="60"/>
  <c r="T281" i="60"/>
  <c r="AB281" i="60"/>
  <c r="S333" i="60"/>
  <c r="C437" i="60"/>
  <c r="S337" i="60"/>
  <c r="C441" i="60"/>
  <c r="R212" i="60"/>
  <c r="B316" i="60"/>
  <c r="D468" i="60"/>
  <c r="AA364" i="60"/>
  <c r="W364" i="60"/>
  <c r="Z364" i="60"/>
  <c r="V364" i="60"/>
  <c r="Y364" i="60"/>
  <c r="U364" i="60"/>
  <c r="AB364" i="60"/>
  <c r="X364" i="60"/>
  <c r="D439" i="60"/>
  <c r="AC335" i="60"/>
  <c r="Y335" i="60"/>
  <c r="U335" i="60"/>
  <c r="AA335" i="60"/>
  <c r="V335" i="60"/>
  <c r="T335" i="60"/>
  <c r="Z335" i="60"/>
  <c r="X335" i="60"/>
  <c r="AB246" i="60"/>
  <c r="T246" i="60"/>
  <c r="Z246" i="60"/>
  <c r="AC278" i="60"/>
  <c r="Y278" i="60"/>
  <c r="AB278" i="60"/>
  <c r="X278" i="60"/>
  <c r="T278" i="60"/>
  <c r="AA278" i="60"/>
  <c r="V278" i="60"/>
  <c r="R286" i="60"/>
  <c r="B390" i="60"/>
  <c r="R302" i="60"/>
  <c r="B406" i="60"/>
  <c r="R215" i="60"/>
  <c r="B319" i="60"/>
  <c r="AC325" i="60"/>
  <c r="U325" i="60"/>
  <c r="AA325" i="60"/>
  <c r="Z325" i="60"/>
  <c r="D429" i="60"/>
  <c r="X325" i="60"/>
  <c r="R296" i="60"/>
  <c r="B400" i="60"/>
  <c r="R304" i="60"/>
  <c r="B408" i="60"/>
  <c r="Y274" i="60"/>
  <c r="AB274" i="60"/>
  <c r="X274" i="60"/>
  <c r="AA274" i="60"/>
  <c r="Z274" i="60"/>
  <c r="V274" i="60"/>
  <c r="R308" i="60"/>
  <c r="B412" i="60"/>
  <c r="AC310" i="60"/>
  <c r="Y310" i="60"/>
  <c r="U310" i="60"/>
  <c r="X310" i="60"/>
  <c r="T310" i="60"/>
  <c r="W310" i="60"/>
  <c r="V310" i="60"/>
  <c r="Z310" i="60"/>
  <c r="R312" i="60"/>
  <c r="B416" i="60"/>
  <c r="AC403" i="60"/>
  <c r="Y403" i="60"/>
  <c r="U403" i="60"/>
  <c r="D507" i="60"/>
  <c r="AB403" i="60"/>
  <c r="X403" i="60"/>
  <c r="T403" i="60"/>
  <c r="AA403" i="60"/>
  <c r="W403" i="60"/>
  <c r="V403" i="60"/>
  <c r="Z403" i="60"/>
  <c r="W336" i="60"/>
  <c r="AC336" i="60"/>
  <c r="Y336" i="60"/>
  <c r="D440" i="60"/>
  <c r="AB336" i="60"/>
  <c r="T336" i="60"/>
  <c r="X336" i="60"/>
  <c r="V336" i="60"/>
  <c r="S315" i="60"/>
  <c r="C419" i="60"/>
  <c r="D564" i="60"/>
  <c r="AA460" i="60"/>
  <c r="W460" i="60"/>
  <c r="Z460" i="60"/>
  <c r="AC460" i="60"/>
  <c r="Y460" i="60"/>
  <c r="U460" i="60"/>
  <c r="T460" i="60"/>
  <c r="X460" i="60"/>
  <c r="R399" i="60"/>
  <c r="B503" i="60"/>
  <c r="R332" i="60"/>
  <c r="B436" i="60"/>
  <c r="AC254" i="60"/>
  <c r="Y254" i="60"/>
  <c r="U254" i="60"/>
  <c r="AB254" i="60"/>
  <c r="T254" i="60"/>
  <c r="W254" i="60"/>
  <c r="Z254" i="60"/>
  <c r="Y286" i="60"/>
  <c r="U286" i="60"/>
  <c r="AB286" i="60"/>
  <c r="T286" i="60"/>
  <c r="AA286" i="60"/>
  <c r="W286" i="60"/>
  <c r="V286" i="60"/>
  <c r="Z286" i="60"/>
  <c r="AA390" i="60"/>
  <c r="W390" i="60"/>
  <c r="Z390" i="60"/>
  <c r="V390" i="60"/>
  <c r="D494" i="60"/>
  <c r="Y390" i="60"/>
  <c r="U390" i="60"/>
  <c r="X390" i="60"/>
  <c r="T390" i="60"/>
  <c r="AB390" i="60"/>
  <c r="S48" i="60"/>
  <c r="C152" i="60"/>
  <c r="S40" i="60"/>
  <c r="C144" i="60"/>
  <c r="S54" i="60"/>
  <c r="C80" i="60"/>
  <c r="C158" i="60"/>
  <c r="C66" i="60"/>
  <c r="C79" i="60"/>
  <c r="D504" i="60"/>
  <c r="B411" i="60"/>
  <c r="R307" i="60"/>
  <c r="AC234" i="60"/>
  <c r="Y234" i="60"/>
  <c r="U234" i="60"/>
  <c r="AB234" i="60"/>
  <c r="X234" i="60"/>
  <c r="T234" i="60"/>
  <c r="AA234" i="60"/>
  <c r="W234" i="60"/>
  <c r="V234" i="60"/>
  <c r="AC266" i="60"/>
  <c r="Y266" i="60"/>
  <c r="U266" i="60"/>
  <c r="X266" i="60"/>
  <c r="T266" i="60"/>
  <c r="AA266" i="60"/>
  <c r="Z266" i="60"/>
  <c r="R310" i="60"/>
  <c r="B414" i="60"/>
  <c r="D520" i="60"/>
  <c r="AA416" i="60"/>
  <c r="W416" i="60"/>
  <c r="Z416" i="60"/>
  <c r="V416" i="60"/>
  <c r="AC416" i="60"/>
  <c r="Y416" i="60"/>
  <c r="U416" i="60"/>
  <c r="T416" i="60"/>
  <c r="X416" i="60"/>
  <c r="R235" i="60"/>
  <c r="B339" i="60"/>
  <c r="R243" i="60"/>
  <c r="B347" i="60"/>
  <c r="R255" i="60"/>
  <c r="B359" i="60"/>
  <c r="R263" i="60"/>
  <c r="B367" i="60"/>
  <c r="R271" i="60"/>
  <c r="B375" i="60"/>
  <c r="R279" i="60"/>
  <c r="B383" i="60"/>
  <c r="R283" i="60"/>
  <c r="B387" i="60"/>
  <c r="AC389" i="60"/>
  <c r="Y389" i="60"/>
  <c r="U389" i="60"/>
  <c r="AB389" i="60"/>
  <c r="X389" i="60"/>
  <c r="AA389" i="60"/>
  <c r="W389" i="60"/>
  <c r="D493" i="60"/>
  <c r="Z389" i="60"/>
  <c r="AC401" i="60"/>
  <c r="Y401" i="60"/>
  <c r="AB401" i="60"/>
  <c r="X401" i="60"/>
  <c r="T401" i="60"/>
  <c r="W401" i="60"/>
  <c r="Z401" i="60"/>
  <c r="D505" i="60"/>
  <c r="V401" i="60"/>
  <c r="D534" i="60"/>
  <c r="W430" i="60"/>
  <c r="Z430" i="60"/>
  <c r="V430" i="60"/>
  <c r="Y430" i="60"/>
  <c r="U430" i="60"/>
  <c r="AB430" i="60"/>
  <c r="T430" i="60"/>
  <c r="S314" i="60"/>
  <c r="C418" i="60"/>
  <c r="R220" i="60"/>
  <c r="B324" i="60"/>
  <c r="R252" i="60"/>
  <c r="B356" i="60"/>
  <c r="R211" i="60"/>
  <c r="B315" i="60"/>
  <c r="S47" i="60"/>
  <c r="C151" i="60"/>
  <c r="S39" i="60"/>
  <c r="C143" i="60"/>
  <c r="S31" i="60"/>
  <c r="C135" i="60"/>
  <c r="C69" i="60"/>
  <c r="C61" i="60"/>
  <c r="S28" i="60"/>
  <c r="C132" i="60"/>
  <c r="S50" i="60"/>
  <c r="C154" i="60"/>
  <c r="S46" i="60"/>
  <c r="C150" i="60"/>
  <c r="S42" i="60"/>
  <c r="C146" i="60"/>
  <c r="S38" i="60"/>
  <c r="C142" i="60"/>
  <c r="S34" i="60"/>
  <c r="C138" i="60"/>
  <c r="S30" i="60"/>
  <c r="C134" i="60"/>
  <c r="C72" i="60"/>
  <c r="C68" i="60"/>
  <c r="C64" i="60"/>
  <c r="C60" i="60"/>
  <c r="C56" i="60"/>
  <c r="C77" i="60"/>
  <c r="D525" i="60"/>
  <c r="AC421" i="60"/>
  <c r="U421" i="60"/>
  <c r="X421" i="60"/>
  <c r="AA421" i="60"/>
  <c r="V421" i="60"/>
  <c r="D472" i="60"/>
  <c r="D443" i="60"/>
  <c r="B395" i="60"/>
  <c r="R291" i="60"/>
  <c r="R224" i="60"/>
  <c r="B328" i="60"/>
  <c r="AC282" i="60"/>
  <c r="U282" i="60"/>
  <c r="AB282" i="60"/>
  <c r="X282" i="60"/>
  <c r="AA282" i="60"/>
  <c r="W282" i="60"/>
  <c r="Z282" i="60"/>
  <c r="V282" i="60"/>
  <c r="Y341" i="60"/>
  <c r="D445" i="60"/>
  <c r="W341" i="60"/>
  <c r="Z341" i="60"/>
  <c r="V341" i="60"/>
  <c r="AB341" i="60"/>
  <c r="T341" i="60"/>
  <c r="U345" i="60"/>
  <c r="AB345" i="60"/>
  <c r="T345" i="60"/>
  <c r="D449" i="60"/>
  <c r="AA345" i="60"/>
  <c r="W345" i="60"/>
  <c r="Z345" i="60"/>
  <c r="V345" i="60"/>
  <c r="Y349" i="60"/>
  <c r="AB349" i="60"/>
  <c r="T349" i="60"/>
  <c r="D453" i="60"/>
  <c r="W349" i="60"/>
  <c r="V349" i="60"/>
  <c r="D457" i="60"/>
  <c r="Y357" i="60"/>
  <c r="AB357" i="60"/>
  <c r="T357" i="60"/>
  <c r="W357" i="60"/>
  <c r="D461" i="60"/>
  <c r="V357" i="60"/>
  <c r="U361" i="60"/>
  <c r="AB361" i="60"/>
  <c r="T361" i="60"/>
  <c r="W361" i="60"/>
  <c r="V361" i="60"/>
  <c r="D465" i="60"/>
  <c r="D469" i="60"/>
  <c r="AC369" i="60"/>
  <c r="U369" i="60"/>
  <c r="X369" i="60"/>
  <c r="AA369" i="60"/>
  <c r="Z369" i="60"/>
  <c r="D473" i="60"/>
  <c r="V369" i="60"/>
  <c r="AC373" i="60"/>
  <c r="U373" i="60"/>
  <c r="X373" i="60"/>
  <c r="AA373" i="60"/>
  <c r="W373" i="60"/>
  <c r="D477" i="60"/>
  <c r="V373" i="60"/>
  <c r="AC377" i="60"/>
  <c r="U377" i="60"/>
  <c r="X377" i="60"/>
  <c r="AA377" i="60"/>
  <c r="Z377" i="60"/>
  <c r="D481" i="60"/>
  <c r="D485" i="60"/>
  <c r="AC385" i="60"/>
  <c r="U385" i="60"/>
  <c r="X385" i="60"/>
  <c r="AA385" i="60"/>
  <c r="Z385" i="60"/>
  <c r="D489" i="60"/>
  <c r="D422" i="60"/>
  <c r="Y318" i="60"/>
  <c r="AB318" i="60"/>
  <c r="T318" i="60"/>
  <c r="AA318" i="60"/>
  <c r="Z318" i="60"/>
  <c r="V318" i="60"/>
  <c r="S317" i="60"/>
  <c r="C421" i="60"/>
  <c r="AC409" i="60"/>
  <c r="Y409" i="60"/>
  <c r="AB409" i="60"/>
  <c r="X409" i="60"/>
  <c r="T409" i="60"/>
  <c r="W409" i="60"/>
  <c r="Z409" i="60"/>
  <c r="V409" i="60"/>
  <c r="D513" i="60"/>
  <c r="D594" i="60"/>
  <c r="AA490" i="60"/>
  <c r="Z490" i="60"/>
  <c r="V490" i="60"/>
  <c r="AC490" i="60"/>
  <c r="U490" i="60"/>
  <c r="X490" i="60"/>
  <c r="T490" i="60"/>
  <c r="AC411" i="60"/>
  <c r="Y411" i="60"/>
  <c r="D515" i="60"/>
  <c r="AB411" i="60"/>
  <c r="X411" i="60"/>
  <c r="T411" i="60"/>
  <c r="W411" i="60"/>
  <c r="V411" i="60"/>
  <c r="Z411" i="60"/>
  <c r="S330" i="60"/>
  <c r="C434" i="60"/>
  <c r="D431" i="60"/>
  <c r="R303" i="60"/>
  <c r="B407" i="60"/>
  <c r="R236" i="60"/>
  <c r="B340" i="60"/>
  <c r="R268" i="60"/>
  <c r="B372" i="60"/>
  <c r="R305" i="60"/>
  <c r="B409" i="60"/>
  <c r="R313" i="60"/>
  <c r="B417" i="60"/>
  <c r="AC284" i="60"/>
  <c r="Y284" i="60"/>
  <c r="U284" i="60"/>
  <c r="X284" i="60"/>
  <c r="T284" i="60"/>
  <c r="AA284" i="60"/>
  <c r="Z284" i="60"/>
  <c r="R290" i="60"/>
  <c r="B394" i="60"/>
  <c r="AC300" i="60"/>
  <c r="U300" i="60"/>
  <c r="X300" i="60"/>
  <c r="W300" i="60"/>
  <c r="Z300" i="60"/>
  <c r="V300" i="60"/>
  <c r="AC304" i="60"/>
  <c r="Y304" i="60"/>
  <c r="AB304" i="60"/>
  <c r="X304" i="60"/>
  <c r="T304" i="60"/>
  <c r="W304" i="60"/>
  <c r="V304" i="60"/>
  <c r="Z304" i="60"/>
  <c r="R219" i="60"/>
  <c r="B323" i="60"/>
  <c r="D433" i="60"/>
  <c r="S332" i="60"/>
  <c r="C436" i="60"/>
  <c r="AA229" i="60"/>
  <c r="Z229" i="60"/>
  <c r="V229" i="60"/>
  <c r="AC229" i="60"/>
  <c r="Y229" i="60"/>
  <c r="AB229" i="60"/>
  <c r="T229" i="60"/>
  <c r="S316" i="60"/>
  <c r="C420" i="60"/>
  <c r="AC413" i="60"/>
  <c r="Y413" i="60"/>
  <c r="U413" i="60"/>
  <c r="AB413" i="60"/>
  <c r="X413" i="60"/>
  <c r="T413" i="60"/>
  <c r="AA413" i="60"/>
  <c r="W413" i="60"/>
  <c r="D517" i="60"/>
  <c r="Z413" i="60"/>
  <c r="V413" i="60"/>
  <c r="D521" i="60"/>
  <c r="D562" i="60"/>
  <c r="D570" i="60"/>
  <c r="D586" i="60"/>
  <c r="AA482" i="60"/>
  <c r="Z482" i="60"/>
  <c r="V482" i="60"/>
  <c r="AC482" i="60"/>
  <c r="U482" i="60"/>
  <c r="X482" i="60"/>
  <c r="T482" i="60"/>
  <c r="D510" i="60"/>
  <c r="R213" i="60"/>
  <c r="B317" i="60"/>
  <c r="D511" i="60"/>
  <c r="D451" i="60"/>
  <c r="AC347" i="60"/>
  <c r="Y347" i="60"/>
  <c r="U347" i="60"/>
  <c r="X347" i="60"/>
  <c r="T347" i="60"/>
  <c r="AA347" i="60"/>
  <c r="V347" i="60"/>
  <c r="Z347" i="60"/>
  <c r="AA293" i="60"/>
  <c r="W293" i="60"/>
  <c r="Z293" i="60"/>
  <c r="V293" i="60"/>
  <c r="AC293" i="60"/>
  <c r="Y293" i="60"/>
  <c r="U293" i="60"/>
  <c r="AB293" i="60"/>
  <c r="T293" i="60"/>
  <c r="X293" i="60"/>
  <c r="R232" i="60"/>
  <c r="B336" i="60"/>
  <c r="R264" i="60"/>
  <c r="B368" i="60"/>
  <c r="W410" i="60"/>
  <c r="Z410" i="60"/>
  <c r="V410" i="60"/>
  <c r="D514" i="60"/>
  <c r="AC410" i="60"/>
  <c r="Y410" i="60"/>
  <c r="U410" i="60"/>
  <c r="X410" i="60"/>
  <c r="T410" i="60"/>
  <c r="AA414" i="60"/>
  <c r="Z414" i="60"/>
  <c r="V414" i="60"/>
  <c r="D518" i="60"/>
  <c r="AC414" i="60"/>
  <c r="U414" i="60"/>
  <c r="X414" i="60"/>
  <c r="R245" i="60"/>
  <c r="B349" i="60"/>
  <c r="D459" i="60"/>
  <c r="Y359" i="60"/>
  <c r="D463" i="60"/>
  <c r="AB359" i="60"/>
  <c r="T359" i="60"/>
  <c r="W359" i="60"/>
  <c r="V359" i="60"/>
  <c r="Y363" i="60"/>
  <c r="U363" i="60"/>
  <c r="D467" i="60"/>
  <c r="AB363" i="60"/>
  <c r="AA363" i="60"/>
  <c r="V363" i="60"/>
  <c r="Y367" i="60"/>
  <c r="D471" i="60"/>
  <c r="AB367" i="60"/>
  <c r="X367" i="60"/>
  <c r="T367" i="60"/>
  <c r="W367" i="60"/>
  <c r="V367" i="60"/>
  <c r="Y371" i="60"/>
  <c r="U371" i="60"/>
  <c r="D475" i="60"/>
  <c r="AB371" i="60"/>
  <c r="T371" i="60"/>
  <c r="W371" i="60"/>
  <c r="V371" i="60"/>
  <c r="Y375" i="60"/>
  <c r="D479" i="60"/>
  <c r="AB375" i="60"/>
  <c r="AA375" i="60"/>
  <c r="Z375" i="60"/>
  <c r="D483" i="60"/>
  <c r="AC383" i="60"/>
  <c r="U383" i="60"/>
  <c r="D487" i="60"/>
  <c r="X383" i="60"/>
  <c r="AA383" i="60"/>
  <c r="Z383" i="60"/>
  <c r="D495" i="60"/>
  <c r="W291" i="60"/>
  <c r="V291" i="60"/>
  <c r="AC291" i="60"/>
  <c r="T291" i="60"/>
  <c r="AB291" i="60"/>
  <c r="R293" i="60"/>
  <c r="B397" i="60"/>
  <c r="R214" i="60"/>
  <c r="B318" i="60"/>
  <c r="D428" i="60"/>
  <c r="AC324" i="60"/>
  <c r="Z324" i="60"/>
  <c r="S327" i="60"/>
  <c r="C431" i="60"/>
  <c r="R230" i="60"/>
  <c r="B334" i="60"/>
  <c r="D420" i="60"/>
  <c r="D423" i="60"/>
  <c r="AA319" i="60"/>
  <c r="W319" i="60"/>
  <c r="Z319" i="60"/>
  <c r="AC319" i="60"/>
  <c r="Y319" i="60"/>
  <c r="U319" i="60"/>
  <c r="X319" i="60"/>
  <c r="AB319" i="60"/>
  <c r="R311" i="60"/>
  <c r="B415" i="60"/>
  <c r="R244" i="60"/>
  <c r="B348" i="60"/>
  <c r="R276" i="60"/>
  <c r="B380" i="60"/>
  <c r="D554" i="60"/>
  <c r="D582" i="60"/>
  <c r="R225" i="60"/>
  <c r="B329" i="60"/>
  <c r="C526" i="60"/>
  <c r="S526" i="60" s="1"/>
  <c r="S422" i="60"/>
  <c r="D600" i="60"/>
  <c r="AA496" i="60"/>
  <c r="W496" i="60"/>
  <c r="Z496" i="60"/>
  <c r="V496" i="60"/>
  <c r="AC496" i="60"/>
  <c r="Y496" i="60"/>
  <c r="U496" i="60"/>
  <c r="AB496" i="60"/>
  <c r="X496" i="60"/>
  <c r="N467" i="60" l="1"/>
  <c r="J467" i="60"/>
  <c r="F467" i="60"/>
  <c r="M467" i="60"/>
  <c r="I467" i="60"/>
  <c r="E467" i="60"/>
  <c r="L467" i="60"/>
  <c r="H467" i="60"/>
  <c r="K467" i="60"/>
  <c r="G467" i="60"/>
  <c r="K570" i="60"/>
  <c r="G570" i="60"/>
  <c r="N570" i="60"/>
  <c r="J570" i="60"/>
  <c r="F570" i="60"/>
  <c r="M570" i="60"/>
  <c r="I570" i="60"/>
  <c r="E570" i="60"/>
  <c r="L570" i="60"/>
  <c r="H570" i="60"/>
  <c r="N481" i="60"/>
  <c r="J481" i="60"/>
  <c r="M481" i="60"/>
  <c r="I481" i="60"/>
  <c r="L481" i="60"/>
  <c r="F481" i="60"/>
  <c r="K481" i="60"/>
  <c r="E481" i="60"/>
  <c r="H481" i="60"/>
  <c r="G481" i="60"/>
  <c r="N465" i="60"/>
  <c r="J465" i="60"/>
  <c r="F465" i="60"/>
  <c r="M465" i="60"/>
  <c r="I465" i="60"/>
  <c r="E465" i="60"/>
  <c r="L465" i="60"/>
  <c r="H465" i="60"/>
  <c r="K465" i="60"/>
  <c r="G465" i="60"/>
  <c r="L456" i="60"/>
  <c r="H456" i="60"/>
  <c r="K456" i="60"/>
  <c r="G456" i="60"/>
  <c r="N456" i="60"/>
  <c r="J456" i="60"/>
  <c r="F456" i="60"/>
  <c r="I456" i="60"/>
  <c r="E456" i="60"/>
  <c r="M456" i="60"/>
  <c r="L436" i="60"/>
  <c r="H436" i="60"/>
  <c r="K436" i="60"/>
  <c r="G436" i="60"/>
  <c r="N436" i="60"/>
  <c r="J436" i="60"/>
  <c r="F436" i="60"/>
  <c r="M436" i="60"/>
  <c r="I436" i="60"/>
  <c r="E436" i="60"/>
  <c r="M488" i="60"/>
  <c r="I488" i="60"/>
  <c r="E488" i="60"/>
  <c r="L488" i="60"/>
  <c r="H488" i="60"/>
  <c r="K488" i="60"/>
  <c r="G488" i="60"/>
  <c r="F488" i="60"/>
  <c r="N488" i="60"/>
  <c r="J488" i="60"/>
  <c r="L458" i="60"/>
  <c r="AA458" i="60" s="1"/>
  <c r="H458" i="60"/>
  <c r="W458" i="60" s="1"/>
  <c r="K458" i="60"/>
  <c r="Z458" i="60" s="1"/>
  <c r="G458" i="60"/>
  <c r="V458" i="60" s="1"/>
  <c r="N458" i="60"/>
  <c r="AC458" i="60" s="1"/>
  <c r="J458" i="60"/>
  <c r="Y458" i="60" s="1"/>
  <c r="F458" i="60"/>
  <c r="U458" i="60" s="1"/>
  <c r="E458" i="60"/>
  <c r="T458" i="60" s="1"/>
  <c r="M458" i="60"/>
  <c r="AB458" i="60" s="1"/>
  <c r="I458" i="60"/>
  <c r="X458" i="60" s="1"/>
  <c r="N479" i="60"/>
  <c r="J479" i="60"/>
  <c r="F479" i="60"/>
  <c r="M479" i="60"/>
  <c r="I479" i="60"/>
  <c r="E479" i="60"/>
  <c r="L479" i="60"/>
  <c r="H479" i="60"/>
  <c r="K479" i="60"/>
  <c r="G479" i="60"/>
  <c r="K515" i="60"/>
  <c r="G515" i="60"/>
  <c r="N515" i="60"/>
  <c r="J515" i="60"/>
  <c r="F515" i="60"/>
  <c r="M515" i="60"/>
  <c r="I515" i="60"/>
  <c r="H515" i="60"/>
  <c r="L515" i="60"/>
  <c r="K507" i="60"/>
  <c r="G507" i="60"/>
  <c r="N507" i="60"/>
  <c r="J507" i="60"/>
  <c r="F507" i="60"/>
  <c r="M507" i="60"/>
  <c r="I507" i="60"/>
  <c r="E507" i="60"/>
  <c r="H507" i="60"/>
  <c r="L507" i="60"/>
  <c r="M502" i="60"/>
  <c r="AB502" i="60" s="1"/>
  <c r="I502" i="60"/>
  <c r="X502" i="60" s="1"/>
  <c r="E502" i="60"/>
  <c r="T502" i="60" s="1"/>
  <c r="L502" i="60"/>
  <c r="AA502" i="60" s="1"/>
  <c r="H502" i="60"/>
  <c r="W502" i="60" s="1"/>
  <c r="K502" i="60"/>
  <c r="Z502" i="60" s="1"/>
  <c r="G502" i="60"/>
  <c r="V502" i="60" s="1"/>
  <c r="J502" i="60"/>
  <c r="Y502" i="60" s="1"/>
  <c r="F502" i="60"/>
  <c r="U502" i="60" s="1"/>
  <c r="N502" i="60"/>
  <c r="AC502" i="60" s="1"/>
  <c r="K578" i="60"/>
  <c r="G578" i="60"/>
  <c r="N578" i="60"/>
  <c r="J578" i="60"/>
  <c r="F578" i="60"/>
  <c r="M578" i="60"/>
  <c r="I578" i="60"/>
  <c r="E578" i="60"/>
  <c r="L578" i="60"/>
  <c r="H578" i="60"/>
  <c r="K558" i="60"/>
  <c r="G558" i="60"/>
  <c r="N558" i="60"/>
  <c r="J558" i="60"/>
  <c r="F558" i="60"/>
  <c r="M558" i="60"/>
  <c r="I558" i="60"/>
  <c r="E558" i="60"/>
  <c r="H558" i="60"/>
  <c r="L558" i="60"/>
  <c r="K574" i="60"/>
  <c r="G574" i="60"/>
  <c r="N574" i="60"/>
  <c r="J574" i="60"/>
  <c r="F574" i="60"/>
  <c r="M574" i="60"/>
  <c r="I574" i="60"/>
  <c r="E574" i="60"/>
  <c r="H574" i="60"/>
  <c r="L574" i="60"/>
  <c r="N441" i="60"/>
  <c r="J441" i="60"/>
  <c r="M441" i="60"/>
  <c r="I441" i="60"/>
  <c r="E441" i="60"/>
  <c r="L441" i="60"/>
  <c r="K441" i="60"/>
  <c r="G441" i="60"/>
  <c r="L476" i="60"/>
  <c r="AA476" i="60" s="1"/>
  <c r="H476" i="60"/>
  <c r="W476" i="60" s="1"/>
  <c r="K476" i="60"/>
  <c r="Z476" i="60" s="1"/>
  <c r="G476" i="60"/>
  <c r="V476" i="60" s="1"/>
  <c r="N476" i="60"/>
  <c r="AC476" i="60" s="1"/>
  <c r="J476" i="60"/>
  <c r="Y476" i="60" s="1"/>
  <c r="F476" i="60"/>
  <c r="U476" i="60" s="1"/>
  <c r="M476" i="60"/>
  <c r="AB476" i="60" s="1"/>
  <c r="I476" i="60"/>
  <c r="X476" i="60" s="1"/>
  <c r="E476" i="60"/>
  <c r="T476" i="60" s="1"/>
  <c r="K554" i="60"/>
  <c r="Z554" i="60" s="1"/>
  <c r="G554" i="60"/>
  <c r="V554" i="60" s="1"/>
  <c r="N554" i="60"/>
  <c r="AC554" i="60" s="1"/>
  <c r="J554" i="60"/>
  <c r="Y554" i="60" s="1"/>
  <c r="F554" i="60"/>
  <c r="U554" i="60" s="1"/>
  <c r="M554" i="60"/>
  <c r="AB554" i="60" s="1"/>
  <c r="I554" i="60"/>
  <c r="X554" i="60" s="1"/>
  <c r="E554" i="60"/>
  <c r="T554" i="60" s="1"/>
  <c r="L554" i="60"/>
  <c r="AA554" i="60" s="1"/>
  <c r="H554" i="60"/>
  <c r="W554" i="60" s="1"/>
  <c r="M514" i="60"/>
  <c r="I514" i="60"/>
  <c r="E514" i="60"/>
  <c r="L514" i="60"/>
  <c r="H514" i="60"/>
  <c r="K514" i="60"/>
  <c r="G514" i="60"/>
  <c r="N514" i="60"/>
  <c r="J514" i="60"/>
  <c r="F514" i="60"/>
  <c r="K517" i="60"/>
  <c r="G517" i="60"/>
  <c r="N517" i="60"/>
  <c r="J517" i="60"/>
  <c r="F517" i="60"/>
  <c r="M517" i="60"/>
  <c r="I517" i="60"/>
  <c r="L517" i="60"/>
  <c r="H517" i="60"/>
  <c r="N461" i="60"/>
  <c r="J461" i="60"/>
  <c r="F461" i="60"/>
  <c r="M461" i="60"/>
  <c r="I461" i="60"/>
  <c r="E461" i="60"/>
  <c r="L461" i="60"/>
  <c r="H461" i="60"/>
  <c r="G461" i="60"/>
  <c r="K461" i="60"/>
  <c r="N453" i="60"/>
  <c r="J453" i="60"/>
  <c r="F453" i="60"/>
  <c r="M453" i="60"/>
  <c r="I453" i="60"/>
  <c r="E453" i="60"/>
  <c r="L453" i="60"/>
  <c r="H453" i="60"/>
  <c r="G453" i="60"/>
  <c r="K453" i="60"/>
  <c r="K534" i="60"/>
  <c r="G534" i="60"/>
  <c r="N534" i="60"/>
  <c r="J534" i="60"/>
  <c r="F534" i="60"/>
  <c r="M534" i="60"/>
  <c r="I534" i="60"/>
  <c r="E534" i="60"/>
  <c r="H534" i="60"/>
  <c r="L534" i="60"/>
  <c r="K564" i="60"/>
  <c r="G564" i="60"/>
  <c r="N564" i="60"/>
  <c r="J564" i="60"/>
  <c r="F564" i="60"/>
  <c r="M564" i="60"/>
  <c r="I564" i="60"/>
  <c r="E564" i="60"/>
  <c r="L564" i="60"/>
  <c r="H564" i="60"/>
  <c r="L596" i="60"/>
  <c r="H596" i="60"/>
  <c r="K596" i="60"/>
  <c r="G596" i="60"/>
  <c r="N596" i="60"/>
  <c r="J596" i="60"/>
  <c r="F596" i="60"/>
  <c r="M596" i="60"/>
  <c r="I596" i="60"/>
  <c r="E596" i="60"/>
  <c r="K519" i="60"/>
  <c r="G519" i="60"/>
  <c r="N519" i="60"/>
  <c r="J519" i="60"/>
  <c r="F519" i="60"/>
  <c r="M519" i="60"/>
  <c r="I519" i="60"/>
  <c r="E519" i="60"/>
  <c r="L519" i="60"/>
  <c r="H519" i="60"/>
  <c r="M484" i="60"/>
  <c r="AB484" i="60" s="1"/>
  <c r="I484" i="60"/>
  <c r="X484" i="60" s="1"/>
  <c r="E484" i="60"/>
  <c r="T484" i="60" s="1"/>
  <c r="L484" i="60"/>
  <c r="AA484" i="60" s="1"/>
  <c r="H484" i="60"/>
  <c r="W484" i="60" s="1"/>
  <c r="K484" i="60"/>
  <c r="Z484" i="60" s="1"/>
  <c r="G484" i="60"/>
  <c r="V484" i="60" s="1"/>
  <c r="N484" i="60"/>
  <c r="AC484" i="60" s="1"/>
  <c r="J484" i="60"/>
  <c r="Y484" i="60" s="1"/>
  <c r="F484" i="60"/>
  <c r="U484" i="60" s="1"/>
  <c r="K542" i="60"/>
  <c r="G542" i="60"/>
  <c r="N542" i="60"/>
  <c r="J542" i="60"/>
  <c r="F542" i="60"/>
  <c r="M542" i="60"/>
  <c r="I542" i="60"/>
  <c r="E542" i="60"/>
  <c r="H542" i="60"/>
  <c r="L542" i="60"/>
  <c r="M530" i="60"/>
  <c r="AB530" i="60" s="1"/>
  <c r="I530" i="60"/>
  <c r="X530" i="60" s="1"/>
  <c r="E530" i="60"/>
  <c r="T530" i="60" s="1"/>
  <c r="L530" i="60"/>
  <c r="AA530" i="60" s="1"/>
  <c r="H530" i="60"/>
  <c r="W530" i="60" s="1"/>
  <c r="K530" i="60"/>
  <c r="Z530" i="60" s="1"/>
  <c r="G530" i="60"/>
  <c r="V530" i="60" s="1"/>
  <c r="N530" i="60"/>
  <c r="AC530" i="60" s="1"/>
  <c r="J530" i="60"/>
  <c r="Y530" i="60" s="1"/>
  <c r="F530" i="60"/>
  <c r="U530" i="60" s="1"/>
  <c r="L448" i="60"/>
  <c r="H448" i="60"/>
  <c r="K448" i="60"/>
  <c r="G448" i="60"/>
  <c r="N448" i="60"/>
  <c r="J448" i="60"/>
  <c r="F448" i="60"/>
  <c r="I448" i="60"/>
  <c r="E448" i="60"/>
  <c r="M448" i="60"/>
  <c r="K503" i="60"/>
  <c r="G503" i="60"/>
  <c r="N503" i="60"/>
  <c r="J503" i="60"/>
  <c r="F503" i="60"/>
  <c r="M503" i="60"/>
  <c r="I503" i="60"/>
  <c r="E503" i="60"/>
  <c r="L503" i="60"/>
  <c r="H503" i="60"/>
  <c r="L418" i="60"/>
  <c r="H418" i="60"/>
  <c r="K418" i="60"/>
  <c r="N418" i="60"/>
  <c r="J418" i="60"/>
  <c r="F418" i="60"/>
  <c r="M418" i="60"/>
  <c r="I418" i="60"/>
  <c r="K590" i="60"/>
  <c r="G590" i="60"/>
  <c r="N590" i="60"/>
  <c r="J590" i="60"/>
  <c r="F590" i="60"/>
  <c r="M590" i="60"/>
  <c r="I590" i="60"/>
  <c r="E590" i="60"/>
  <c r="H590" i="60"/>
  <c r="L590" i="60"/>
  <c r="N427" i="60"/>
  <c r="J427" i="60"/>
  <c r="F427" i="60"/>
  <c r="M427" i="60"/>
  <c r="I427" i="60"/>
  <c r="E427" i="60"/>
  <c r="L427" i="60"/>
  <c r="H427" i="60"/>
  <c r="K427" i="60"/>
  <c r="G427" i="60"/>
  <c r="L466" i="60"/>
  <c r="AA466" i="60" s="1"/>
  <c r="H466" i="60"/>
  <c r="W466" i="60" s="1"/>
  <c r="K466" i="60"/>
  <c r="Z466" i="60" s="1"/>
  <c r="G466" i="60"/>
  <c r="V466" i="60" s="1"/>
  <c r="N466" i="60"/>
  <c r="AC466" i="60" s="1"/>
  <c r="J466" i="60"/>
  <c r="Y466" i="60" s="1"/>
  <c r="F466" i="60"/>
  <c r="U466" i="60" s="1"/>
  <c r="E466" i="60"/>
  <c r="T466" i="60" s="1"/>
  <c r="M466" i="60"/>
  <c r="AB466" i="60" s="1"/>
  <c r="I466" i="60"/>
  <c r="X466" i="60" s="1"/>
  <c r="L474" i="60"/>
  <c r="AA474" i="60" s="1"/>
  <c r="H474" i="60"/>
  <c r="W474" i="60" s="1"/>
  <c r="K474" i="60"/>
  <c r="Z474" i="60" s="1"/>
  <c r="G474" i="60"/>
  <c r="V474" i="60" s="1"/>
  <c r="N474" i="60"/>
  <c r="AC474" i="60" s="1"/>
  <c r="J474" i="60"/>
  <c r="Y474" i="60" s="1"/>
  <c r="F474" i="60"/>
  <c r="U474" i="60" s="1"/>
  <c r="E474" i="60"/>
  <c r="T474" i="60" s="1"/>
  <c r="M474" i="60"/>
  <c r="AB474" i="60" s="1"/>
  <c r="I474" i="60"/>
  <c r="X474" i="60" s="1"/>
  <c r="K495" i="60"/>
  <c r="Z495" i="60" s="1"/>
  <c r="G495" i="60"/>
  <c r="V495" i="60" s="1"/>
  <c r="N495" i="60"/>
  <c r="AC495" i="60" s="1"/>
  <c r="J495" i="60"/>
  <c r="Y495" i="60" s="1"/>
  <c r="F495" i="60"/>
  <c r="U495" i="60" s="1"/>
  <c r="M495" i="60"/>
  <c r="AB495" i="60" s="1"/>
  <c r="I495" i="60"/>
  <c r="X495" i="60" s="1"/>
  <c r="E495" i="60"/>
  <c r="T495" i="60" s="1"/>
  <c r="L495" i="60"/>
  <c r="AA495" i="60" s="1"/>
  <c r="H495" i="60"/>
  <c r="W495" i="60" s="1"/>
  <c r="N449" i="60"/>
  <c r="J449" i="60"/>
  <c r="F449" i="60"/>
  <c r="M449" i="60"/>
  <c r="AB449" i="60" s="1"/>
  <c r="I449" i="60"/>
  <c r="E449" i="60"/>
  <c r="L449" i="60"/>
  <c r="H449" i="60"/>
  <c r="W449" i="60" s="1"/>
  <c r="K449" i="60"/>
  <c r="G449" i="60"/>
  <c r="K509" i="60"/>
  <c r="Z509" i="60" s="1"/>
  <c r="G509" i="60"/>
  <c r="V509" i="60" s="1"/>
  <c r="N509" i="60"/>
  <c r="AC509" i="60" s="1"/>
  <c r="J509" i="60"/>
  <c r="Y509" i="60" s="1"/>
  <c r="F509" i="60"/>
  <c r="U509" i="60" s="1"/>
  <c r="M509" i="60"/>
  <c r="AB509" i="60" s="1"/>
  <c r="I509" i="60"/>
  <c r="X509" i="60" s="1"/>
  <c r="E509" i="60"/>
  <c r="T509" i="60" s="1"/>
  <c r="L509" i="60"/>
  <c r="AA509" i="60" s="1"/>
  <c r="H509" i="60"/>
  <c r="W509" i="60" s="1"/>
  <c r="L464" i="60"/>
  <c r="H464" i="60"/>
  <c r="K464" i="60"/>
  <c r="G464" i="60"/>
  <c r="N464" i="60"/>
  <c r="J464" i="60"/>
  <c r="F464" i="60"/>
  <c r="I464" i="60"/>
  <c r="X464" i="60" s="1"/>
  <c r="E464" i="60"/>
  <c r="M464" i="60"/>
  <c r="N425" i="60"/>
  <c r="J425" i="60"/>
  <c r="Y425" i="60" s="1"/>
  <c r="F425" i="60"/>
  <c r="M425" i="60"/>
  <c r="I425" i="60"/>
  <c r="L425" i="60"/>
  <c r="AA425" i="60" s="1"/>
  <c r="H425" i="60"/>
  <c r="K425" i="60"/>
  <c r="G425" i="60"/>
  <c r="K586" i="60"/>
  <c r="G586" i="60"/>
  <c r="N586" i="60"/>
  <c r="J586" i="60"/>
  <c r="F586" i="60"/>
  <c r="M586" i="60"/>
  <c r="I586" i="60"/>
  <c r="E586" i="60"/>
  <c r="L586" i="60"/>
  <c r="AA586" i="60" s="1"/>
  <c r="H586" i="60"/>
  <c r="K521" i="60"/>
  <c r="Z521" i="60" s="1"/>
  <c r="G521" i="60"/>
  <c r="V521" i="60" s="1"/>
  <c r="N521" i="60"/>
  <c r="AC521" i="60" s="1"/>
  <c r="J521" i="60"/>
  <c r="Y521" i="60" s="1"/>
  <c r="F521" i="60"/>
  <c r="U521" i="60" s="1"/>
  <c r="M521" i="60"/>
  <c r="AB521" i="60" s="1"/>
  <c r="I521" i="60"/>
  <c r="X521" i="60" s="1"/>
  <c r="E521" i="60"/>
  <c r="T521" i="60" s="1"/>
  <c r="L521" i="60"/>
  <c r="AA521" i="60" s="1"/>
  <c r="H521" i="60"/>
  <c r="W521" i="60" s="1"/>
  <c r="N477" i="60"/>
  <c r="AC477" i="60" s="1"/>
  <c r="J477" i="60"/>
  <c r="F477" i="60"/>
  <c r="M477" i="60"/>
  <c r="I477" i="60"/>
  <c r="X477" i="60" s="1"/>
  <c r="E477" i="60"/>
  <c r="L477" i="60"/>
  <c r="H477" i="60"/>
  <c r="G477" i="60"/>
  <c r="V477" i="60" s="1"/>
  <c r="K477" i="60"/>
  <c r="K582" i="60"/>
  <c r="Z582" i="60" s="1"/>
  <c r="G582" i="60"/>
  <c r="V582" i="60" s="1"/>
  <c r="N582" i="60"/>
  <c r="AC582" i="60" s="1"/>
  <c r="J582" i="60"/>
  <c r="Y582" i="60" s="1"/>
  <c r="F582" i="60"/>
  <c r="U582" i="60" s="1"/>
  <c r="M582" i="60"/>
  <c r="AB582" i="60" s="1"/>
  <c r="I582" i="60"/>
  <c r="X582" i="60" s="1"/>
  <c r="E582" i="60"/>
  <c r="T582" i="60" s="1"/>
  <c r="H582" i="60"/>
  <c r="W582" i="60" s="1"/>
  <c r="L582" i="60"/>
  <c r="AA582" i="60" s="1"/>
  <c r="N423" i="60"/>
  <c r="AC423" i="60" s="1"/>
  <c r="J423" i="60"/>
  <c r="F423" i="60"/>
  <c r="U423" i="60" s="1"/>
  <c r="M423" i="60"/>
  <c r="I423" i="60"/>
  <c r="X423" i="60" s="1"/>
  <c r="E423" i="60"/>
  <c r="L423" i="60"/>
  <c r="AA423" i="60" s="1"/>
  <c r="H423" i="60"/>
  <c r="K423" i="60"/>
  <c r="G423" i="60"/>
  <c r="L428" i="60"/>
  <c r="AA428" i="60" s="1"/>
  <c r="H428" i="60"/>
  <c r="K428" i="60"/>
  <c r="G428" i="60"/>
  <c r="N428" i="60"/>
  <c r="J428" i="60"/>
  <c r="F428" i="60"/>
  <c r="U428" i="60" s="1"/>
  <c r="M428" i="60"/>
  <c r="I428" i="60"/>
  <c r="E428" i="60"/>
  <c r="K483" i="60"/>
  <c r="Z483" i="60" s="1"/>
  <c r="G483" i="60"/>
  <c r="V483" i="60" s="1"/>
  <c r="N483" i="60"/>
  <c r="AC483" i="60" s="1"/>
  <c r="J483" i="60"/>
  <c r="Y483" i="60" s="1"/>
  <c r="F483" i="60"/>
  <c r="U483" i="60" s="1"/>
  <c r="M483" i="60"/>
  <c r="AB483" i="60" s="1"/>
  <c r="I483" i="60"/>
  <c r="X483" i="60" s="1"/>
  <c r="E483" i="60"/>
  <c r="T483" i="60" s="1"/>
  <c r="H483" i="60"/>
  <c r="W483" i="60" s="1"/>
  <c r="L483" i="60"/>
  <c r="AA483" i="60" s="1"/>
  <c r="N471" i="60"/>
  <c r="AC471" i="60" s="1"/>
  <c r="J471" i="60"/>
  <c r="F471" i="60"/>
  <c r="M471" i="60"/>
  <c r="I471" i="60"/>
  <c r="X471" i="60" s="1"/>
  <c r="E471" i="60"/>
  <c r="L471" i="60"/>
  <c r="H471" i="60"/>
  <c r="K471" i="60"/>
  <c r="Z471" i="60" s="1"/>
  <c r="G471" i="60"/>
  <c r="N459" i="60"/>
  <c r="AC459" i="60" s="1"/>
  <c r="J459" i="60"/>
  <c r="Y459" i="60" s="1"/>
  <c r="F459" i="60"/>
  <c r="U459" i="60" s="1"/>
  <c r="M459" i="60"/>
  <c r="AB459" i="60" s="1"/>
  <c r="I459" i="60"/>
  <c r="X459" i="60" s="1"/>
  <c r="E459" i="60"/>
  <c r="T459" i="60" s="1"/>
  <c r="L459" i="60"/>
  <c r="AA459" i="60" s="1"/>
  <c r="H459" i="60"/>
  <c r="W459" i="60" s="1"/>
  <c r="K459" i="60"/>
  <c r="Z459" i="60" s="1"/>
  <c r="G459" i="60"/>
  <c r="V459" i="60" s="1"/>
  <c r="M518" i="60"/>
  <c r="AB518" i="60" s="1"/>
  <c r="I518" i="60"/>
  <c r="E518" i="60"/>
  <c r="T518" i="60" s="1"/>
  <c r="L518" i="60"/>
  <c r="H518" i="60"/>
  <c r="K518" i="60"/>
  <c r="G518" i="60"/>
  <c r="V518" i="60" s="1"/>
  <c r="J518" i="60"/>
  <c r="F518" i="60"/>
  <c r="U518" i="60" s="1"/>
  <c r="N518" i="60"/>
  <c r="N451" i="60"/>
  <c r="AC451" i="60" s="1"/>
  <c r="J451" i="60"/>
  <c r="F451" i="60"/>
  <c r="U451" i="60" s="1"/>
  <c r="M451" i="60"/>
  <c r="I451" i="60"/>
  <c r="X451" i="60" s="1"/>
  <c r="E451" i="60"/>
  <c r="L451" i="60"/>
  <c r="AA451" i="60" s="1"/>
  <c r="H451" i="60"/>
  <c r="K451" i="60"/>
  <c r="Z451" i="60" s="1"/>
  <c r="G451" i="60"/>
  <c r="K511" i="60"/>
  <c r="Z511" i="60" s="1"/>
  <c r="G511" i="60"/>
  <c r="V511" i="60" s="1"/>
  <c r="N511" i="60"/>
  <c r="AC511" i="60" s="1"/>
  <c r="J511" i="60"/>
  <c r="Y511" i="60" s="1"/>
  <c r="F511" i="60"/>
  <c r="U511" i="60" s="1"/>
  <c r="M511" i="60"/>
  <c r="AB511" i="60" s="1"/>
  <c r="I511" i="60"/>
  <c r="X511" i="60" s="1"/>
  <c r="E511" i="60"/>
  <c r="T511" i="60" s="1"/>
  <c r="L511" i="60"/>
  <c r="AA511" i="60" s="1"/>
  <c r="H511" i="60"/>
  <c r="W511" i="60" s="1"/>
  <c r="M510" i="60"/>
  <c r="AB510" i="60" s="1"/>
  <c r="I510" i="60"/>
  <c r="X510" i="60" s="1"/>
  <c r="E510" i="60"/>
  <c r="T510" i="60" s="1"/>
  <c r="L510" i="60"/>
  <c r="AA510" i="60" s="1"/>
  <c r="H510" i="60"/>
  <c r="W510" i="60" s="1"/>
  <c r="K510" i="60"/>
  <c r="Z510" i="60" s="1"/>
  <c r="G510" i="60"/>
  <c r="V510" i="60" s="1"/>
  <c r="J510" i="60"/>
  <c r="Y510" i="60" s="1"/>
  <c r="F510" i="60"/>
  <c r="U510" i="60" s="1"/>
  <c r="N510" i="60"/>
  <c r="AC510" i="60" s="1"/>
  <c r="L594" i="60"/>
  <c r="H594" i="60"/>
  <c r="K594" i="60"/>
  <c r="Z594" i="60" s="1"/>
  <c r="G594" i="60"/>
  <c r="N594" i="60"/>
  <c r="AC594" i="60" s="1"/>
  <c r="J594" i="60"/>
  <c r="F594" i="60"/>
  <c r="U594" i="60" s="1"/>
  <c r="M594" i="60"/>
  <c r="I594" i="60"/>
  <c r="X594" i="60" s="1"/>
  <c r="E594" i="60"/>
  <c r="L422" i="60"/>
  <c r="AA422" i="60" s="1"/>
  <c r="H422" i="60"/>
  <c r="K422" i="60"/>
  <c r="Z422" i="60" s="1"/>
  <c r="G422" i="60"/>
  <c r="N422" i="60"/>
  <c r="AC422" i="60" s="1"/>
  <c r="J422" i="60"/>
  <c r="F422" i="60"/>
  <c r="M422" i="60"/>
  <c r="I422" i="60"/>
  <c r="X422" i="60" s="1"/>
  <c r="E422" i="60"/>
  <c r="N457" i="60"/>
  <c r="AC457" i="60" s="1"/>
  <c r="J457" i="60"/>
  <c r="Y457" i="60" s="1"/>
  <c r="F457" i="60"/>
  <c r="U457" i="60" s="1"/>
  <c r="M457" i="60"/>
  <c r="AB457" i="60" s="1"/>
  <c r="I457" i="60"/>
  <c r="X457" i="60" s="1"/>
  <c r="E457" i="60"/>
  <c r="T457" i="60" s="1"/>
  <c r="L457" i="60"/>
  <c r="AA457" i="60" s="1"/>
  <c r="H457" i="60"/>
  <c r="W457" i="60" s="1"/>
  <c r="K457" i="60"/>
  <c r="Z457" i="60" s="1"/>
  <c r="G457" i="60"/>
  <c r="V457" i="60" s="1"/>
  <c r="N445" i="60"/>
  <c r="J445" i="60"/>
  <c r="F445" i="60"/>
  <c r="U445" i="60" s="1"/>
  <c r="M445" i="60"/>
  <c r="I445" i="60"/>
  <c r="E445" i="60"/>
  <c r="L445" i="60"/>
  <c r="AA445" i="60" s="1"/>
  <c r="H445" i="60"/>
  <c r="G445" i="60"/>
  <c r="V445" i="60" s="1"/>
  <c r="K445" i="60"/>
  <c r="K525" i="60"/>
  <c r="Z525" i="60" s="1"/>
  <c r="G525" i="60"/>
  <c r="N525" i="60"/>
  <c r="AC525" i="60" s="1"/>
  <c r="J525" i="60"/>
  <c r="F525" i="60"/>
  <c r="U525" i="60" s="1"/>
  <c r="M525" i="60"/>
  <c r="I525" i="60"/>
  <c r="X525" i="60" s="1"/>
  <c r="E525" i="60"/>
  <c r="L525" i="60"/>
  <c r="AA525" i="60" s="1"/>
  <c r="H525" i="60"/>
  <c r="M504" i="60"/>
  <c r="AB504" i="60" s="1"/>
  <c r="I504" i="60"/>
  <c r="X504" i="60" s="1"/>
  <c r="E504" i="60"/>
  <c r="T504" i="60" s="1"/>
  <c r="L504" i="60"/>
  <c r="AA504" i="60" s="1"/>
  <c r="H504" i="60"/>
  <c r="W504" i="60" s="1"/>
  <c r="K504" i="60"/>
  <c r="Z504" i="60" s="1"/>
  <c r="G504" i="60"/>
  <c r="V504" i="60" s="1"/>
  <c r="F504" i="60"/>
  <c r="U504" i="60" s="1"/>
  <c r="N504" i="60"/>
  <c r="AC504" i="60" s="1"/>
  <c r="J504" i="60"/>
  <c r="Y504" i="60" s="1"/>
  <c r="M494" i="60"/>
  <c r="I494" i="60"/>
  <c r="E494" i="60"/>
  <c r="T494" i="60" s="1"/>
  <c r="L494" i="60"/>
  <c r="H494" i="60"/>
  <c r="W494" i="60" s="1"/>
  <c r="K494" i="60"/>
  <c r="G494" i="60"/>
  <c r="V494" i="60" s="1"/>
  <c r="J494" i="60"/>
  <c r="F494" i="60"/>
  <c r="U494" i="60" s="1"/>
  <c r="N494" i="60"/>
  <c r="L468" i="60"/>
  <c r="AA468" i="60" s="1"/>
  <c r="H468" i="60"/>
  <c r="K468" i="60"/>
  <c r="Z468" i="60" s="1"/>
  <c r="G468" i="60"/>
  <c r="N468" i="60"/>
  <c r="AC468" i="60" s="1"/>
  <c r="J468" i="60"/>
  <c r="F468" i="60"/>
  <c r="U468" i="60" s="1"/>
  <c r="M468" i="60"/>
  <c r="I468" i="60"/>
  <c r="X468" i="60" s="1"/>
  <c r="E468" i="60"/>
  <c r="M498" i="60"/>
  <c r="AB498" i="60" s="1"/>
  <c r="I498" i="60"/>
  <c r="X498" i="60" s="1"/>
  <c r="E498" i="60"/>
  <c r="T498" i="60" s="1"/>
  <c r="L498" i="60"/>
  <c r="AA498" i="60" s="1"/>
  <c r="H498" i="60"/>
  <c r="W498" i="60" s="1"/>
  <c r="K498" i="60"/>
  <c r="Z498" i="60" s="1"/>
  <c r="G498" i="60"/>
  <c r="V498" i="60" s="1"/>
  <c r="N498" i="60"/>
  <c r="AC498" i="60" s="1"/>
  <c r="J498" i="60"/>
  <c r="Y498" i="60" s="1"/>
  <c r="F498" i="60"/>
  <c r="U498" i="60" s="1"/>
  <c r="M551" i="60"/>
  <c r="AB551" i="60" s="1"/>
  <c r="I551" i="60"/>
  <c r="E551" i="60"/>
  <c r="L551" i="60"/>
  <c r="H551" i="60"/>
  <c r="W551" i="60" s="1"/>
  <c r="K551" i="60"/>
  <c r="G551" i="60"/>
  <c r="N551" i="60"/>
  <c r="J551" i="60"/>
  <c r="Y551" i="60" s="1"/>
  <c r="F551" i="60"/>
  <c r="L432" i="60"/>
  <c r="AA432" i="60" s="1"/>
  <c r="H432" i="60"/>
  <c r="W432" i="60" s="1"/>
  <c r="K432" i="60"/>
  <c r="Z432" i="60" s="1"/>
  <c r="G432" i="60"/>
  <c r="V432" i="60" s="1"/>
  <c r="N432" i="60"/>
  <c r="AC432" i="60" s="1"/>
  <c r="J432" i="60"/>
  <c r="Y432" i="60" s="1"/>
  <c r="F432" i="60"/>
  <c r="U432" i="60" s="1"/>
  <c r="I432" i="60"/>
  <c r="X432" i="60" s="1"/>
  <c r="E432" i="60"/>
  <c r="T432" i="60" s="1"/>
  <c r="M432" i="60"/>
  <c r="AB432" i="60" s="1"/>
  <c r="N455" i="60"/>
  <c r="J455" i="60"/>
  <c r="F455" i="60"/>
  <c r="M455" i="60"/>
  <c r="I455" i="60"/>
  <c r="E455" i="60"/>
  <c r="L455" i="60"/>
  <c r="H455" i="60"/>
  <c r="K455" i="60"/>
  <c r="Z455" i="60" s="1"/>
  <c r="G455" i="60"/>
  <c r="K546" i="60"/>
  <c r="Z546" i="60" s="1"/>
  <c r="G546" i="60"/>
  <c r="N546" i="60"/>
  <c r="AC546" i="60" s="1"/>
  <c r="J546" i="60"/>
  <c r="F546" i="60"/>
  <c r="U546" i="60" s="1"/>
  <c r="M546" i="60"/>
  <c r="I546" i="60"/>
  <c r="X546" i="60" s="1"/>
  <c r="E546" i="60"/>
  <c r="L546" i="60"/>
  <c r="AA546" i="60" s="1"/>
  <c r="H546" i="60"/>
  <c r="K538" i="60"/>
  <c r="Z538" i="60" s="1"/>
  <c r="G538" i="60"/>
  <c r="N538" i="60"/>
  <c r="AC538" i="60" s="1"/>
  <c r="J538" i="60"/>
  <c r="M538" i="60"/>
  <c r="AB538" i="60" s="1"/>
  <c r="I538" i="60"/>
  <c r="E538" i="60"/>
  <c r="L538" i="60"/>
  <c r="H538" i="60"/>
  <c r="W538" i="60" s="1"/>
  <c r="M516" i="60"/>
  <c r="I516" i="60"/>
  <c r="E516" i="60"/>
  <c r="L516" i="60"/>
  <c r="AA516" i="60" s="1"/>
  <c r="H516" i="60"/>
  <c r="K516" i="60"/>
  <c r="G516" i="60"/>
  <c r="N516" i="60"/>
  <c r="AC516" i="60" s="1"/>
  <c r="J516" i="60"/>
  <c r="F516" i="60"/>
  <c r="U516" i="60" s="1"/>
  <c r="L424" i="60"/>
  <c r="AA424" i="60" s="1"/>
  <c r="H424" i="60"/>
  <c r="W424" i="60" s="1"/>
  <c r="K424" i="60"/>
  <c r="Z424" i="60" s="1"/>
  <c r="G424" i="60"/>
  <c r="V424" i="60" s="1"/>
  <c r="N424" i="60"/>
  <c r="AC424" i="60" s="1"/>
  <c r="J424" i="60"/>
  <c r="Y424" i="60" s="1"/>
  <c r="F424" i="60"/>
  <c r="U424" i="60" s="1"/>
  <c r="I424" i="60"/>
  <c r="X424" i="60" s="1"/>
  <c r="E424" i="60"/>
  <c r="T424" i="60" s="1"/>
  <c r="M424" i="60"/>
  <c r="AB424" i="60" s="1"/>
  <c r="L452" i="60"/>
  <c r="AA452" i="60" s="1"/>
  <c r="H452" i="60"/>
  <c r="W452" i="60" s="1"/>
  <c r="K452" i="60"/>
  <c r="Z452" i="60" s="1"/>
  <c r="G452" i="60"/>
  <c r="V452" i="60" s="1"/>
  <c r="N452" i="60"/>
  <c r="AC452" i="60" s="1"/>
  <c r="J452" i="60"/>
  <c r="Y452" i="60" s="1"/>
  <c r="F452" i="60"/>
  <c r="U452" i="60" s="1"/>
  <c r="M452" i="60"/>
  <c r="AB452" i="60" s="1"/>
  <c r="I452" i="60"/>
  <c r="X452" i="60" s="1"/>
  <c r="E452" i="60"/>
  <c r="T452" i="60" s="1"/>
  <c r="M506" i="60"/>
  <c r="I506" i="60"/>
  <c r="E506" i="60"/>
  <c r="L506" i="60"/>
  <c r="AA506" i="60" s="1"/>
  <c r="H506" i="60"/>
  <c r="K506" i="60"/>
  <c r="G506" i="60"/>
  <c r="N506" i="60"/>
  <c r="AC506" i="60" s="1"/>
  <c r="J506" i="60"/>
  <c r="F506" i="60"/>
  <c r="U506" i="60" s="1"/>
  <c r="L480" i="60"/>
  <c r="H480" i="60"/>
  <c r="K480" i="60"/>
  <c r="G480" i="60"/>
  <c r="V480" i="60" s="1"/>
  <c r="N480" i="60"/>
  <c r="J480" i="60"/>
  <c r="Y480" i="60" s="1"/>
  <c r="F480" i="60"/>
  <c r="U480" i="60" s="1"/>
  <c r="I480" i="60"/>
  <c r="X480" i="60" s="1"/>
  <c r="E480" i="60"/>
  <c r="M480" i="60"/>
  <c r="AB480" i="60" s="1"/>
  <c r="K497" i="60"/>
  <c r="G497" i="60"/>
  <c r="N497" i="60"/>
  <c r="J497" i="60"/>
  <c r="Y497" i="60" s="1"/>
  <c r="F497" i="60"/>
  <c r="M497" i="60"/>
  <c r="AB497" i="60" s="1"/>
  <c r="I497" i="60"/>
  <c r="E497" i="60"/>
  <c r="L497" i="60"/>
  <c r="H497" i="60"/>
  <c r="W497" i="60" s="1"/>
  <c r="N419" i="60"/>
  <c r="J419" i="60"/>
  <c r="F419" i="60"/>
  <c r="M419" i="60"/>
  <c r="AB419" i="60" s="1"/>
  <c r="I419" i="60"/>
  <c r="E419" i="60"/>
  <c r="L419" i="60"/>
  <c r="H419" i="60"/>
  <c r="W419" i="60" s="1"/>
  <c r="K419" i="60"/>
  <c r="G419" i="60"/>
  <c r="N443" i="60"/>
  <c r="AC443" i="60" s="1"/>
  <c r="J443" i="60"/>
  <c r="Y443" i="60" s="1"/>
  <c r="F443" i="60"/>
  <c r="U443" i="60" s="1"/>
  <c r="M443" i="60"/>
  <c r="AB443" i="60" s="1"/>
  <c r="I443" i="60"/>
  <c r="X443" i="60" s="1"/>
  <c r="E443" i="60"/>
  <c r="T443" i="60" s="1"/>
  <c r="L443" i="60"/>
  <c r="AA443" i="60" s="1"/>
  <c r="H443" i="60"/>
  <c r="W443" i="60" s="1"/>
  <c r="K443" i="60"/>
  <c r="Z443" i="60" s="1"/>
  <c r="G443" i="60"/>
  <c r="V443" i="60" s="1"/>
  <c r="K499" i="60"/>
  <c r="G499" i="60"/>
  <c r="V499" i="60" s="1"/>
  <c r="N499" i="60"/>
  <c r="J499" i="60"/>
  <c r="Y499" i="60" s="1"/>
  <c r="F499" i="60"/>
  <c r="M499" i="60"/>
  <c r="I499" i="60"/>
  <c r="E499" i="60"/>
  <c r="T499" i="60" s="1"/>
  <c r="H499" i="60"/>
  <c r="L499" i="60"/>
  <c r="AA499" i="60" s="1"/>
  <c r="N437" i="60"/>
  <c r="J437" i="60"/>
  <c r="Y437" i="60" s="1"/>
  <c r="F437" i="60"/>
  <c r="M437" i="60"/>
  <c r="E437" i="60"/>
  <c r="L437" i="60"/>
  <c r="AA437" i="60" s="1"/>
  <c r="H437" i="60"/>
  <c r="G437" i="60"/>
  <c r="V437" i="60" s="1"/>
  <c r="K437" i="60"/>
  <c r="Z437" i="60" s="1"/>
  <c r="K491" i="60"/>
  <c r="Z491" i="60" s="1"/>
  <c r="G491" i="60"/>
  <c r="N491" i="60"/>
  <c r="AC491" i="60" s="1"/>
  <c r="J491" i="60"/>
  <c r="F491" i="60"/>
  <c r="U491" i="60" s="1"/>
  <c r="M491" i="60"/>
  <c r="I491" i="60"/>
  <c r="X491" i="60" s="1"/>
  <c r="E491" i="60"/>
  <c r="H491" i="60"/>
  <c r="W491" i="60" s="1"/>
  <c r="L491" i="60"/>
  <c r="L420" i="60"/>
  <c r="AA420" i="60" s="1"/>
  <c r="H420" i="60"/>
  <c r="W420" i="60" s="1"/>
  <c r="K420" i="60"/>
  <c r="Z420" i="60" s="1"/>
  <c r="G420" i="60"/>
  <c r="V420" i="60" s="1"/>
  <c r="N420" i="60"/>
  <c r="AC420" i="60" s="1"/>
  <c r="J420" i="60"/>
  <c r="Y420" i="60" s="1"/>
  <c r="F420" i="60"/>
  <c r="U420" i="60" s="1"/>
  <c r="M420" i="60"/>
  <c r="AB420" i="60" s="1"/>
  <c r="I420" i="60"/>
  <c r="X420" i="60" s="1"/>
  <c r="E420" i="60"/>
  <c r="T420" i="60" s="1"/>
  <c r="L600" i="60"/>
  <c r="AA600" i="60" s="1"/>
  <c r="H600" i="60"/>
  <c r="K600" i="60"/>
  <c r="Z600" i="60" s="1"/>
  <c r="G600" i="60"/>
  <c r="V600" i="60" s="1"/>
  <c r="N600" i="60"/>
  <c r="AC600" i="60" s="1"/>
  <c r="J600" i="60"/>
  <c r="E600" i="60"/>
  <c r="M600" i="60"/>
  <c r="I600" i="60"/>
  <c r="X600" i="60" s="1"/>
  <c r="K487" i="60"/>
  <c r="G487" i="60"/>
  <c r="V487" i="60" s="1"/>
  <c r="N487" i="60"/>
  <c r="J487" i="60"/>
  <c r="Y487" i="60" s="1"/>
  <c r="F487" i="60"/>
  <c r="M487" i="60"/>
  <c r="AB487" i="60" s="1"/>
  <c r="I487" i="60"/>
  <c r="E487" i="60"/>
  <c r="T487" i="60" s="1"/>
  <c r="L487" i="60"/>
  <c r="H487" i="60"/>
  <c r="W487" i="60" s="1"/>
  <c r="N475" i="60"/>
  <c r="J475" i="60"/>
  <c r="Y475" i="60" s="1"/>
  <c r="F475" i="60"/>
  <c r="M475" i="60"/>
  <c r="I475" i="60"/>
  <c r="E475" i="60"/>
  <c r="T475" i="60" s="1"/>
  <c r="L475" i="60"/>
  <c r="H475" i="60"/>
  <c r="K475" i="60"/>
  <c r="G475" i="60"/>
  <c r="V475" i="60" s="1"/>
  <c r="N463" i="60"/>
  <c r="J463" i="60"/>
  <c r="Y463" i="60" s="1"/>
  <c r="F463" i="60"/>
  <c r="M463" i="60"/>
  <c r="AB463" i="60" s="1"/>
  <c r="I463" i="60"/>
  <c r="E463" i="60"/>
  <c r="T463" i="60" s="1"/>
  <c r="L463" i="60"/>
  <c r="AA463" i="60" s="1"/>
  <c r="H463" i="60"/>
  <c r="W463" i="60" s="1"/>
  <c r="K463" i="60"/>
  <c r="G463" i="60"/>
  <c r="V463" i="60" s="1"/>
  <c r="K562" i="60"/>
  <c r="Z562" i="60" s="1"/>
  <c r="G562" i="60"/>
  <c r="V562" i="60" s="1"/>
  <c r="N562" i="60"/>
  <c r="AC562" i="60" s="1"/>
  <c r="J562" i="60"/>
  <c r="Y562" i="60" s="1"/>
  <c r="F562" i="60"/>
  <c r="U562" i="60" s="1"/>
  <c r="M562" i="60"/>
  <c r="AB562" i="60" s="1"/>
  <c r="I562" i="60"/>
  <c r="X562" i="60" s="1"/>
  <c r="E562" i="60"/>
  <c r="T562" i="60" s="1"/>
  <c r="L562" i="60"/>
  <c r="AA562" i="60" s="1"/>
  <c r="H562" i="60"/>
  <c r="W562" i="60" s="1"/>
  <c r="N433" i="60"/>
  <c r="AC433" i="60" s="1"/>
  <c r="J433" i="60"/>
  <c r="Y433" i="60" s="1"/>
  <c r="F433" i="60"/>
  <c r="U433" i="60" s="1"/>
  <c r="M433" i="60"/>
  <c r="AB433" i="60" s="1"/>
  <c r="I433" i="60"/>
  <c r="X433" i="60" s="1"/>
  <c r="E433" i="60"/>
  <c r="T433" i="60" s="1"/>
  <c r="L433" i="60"/>
  <c r="AA433" i="60" s="1"/>
  <c r="H433" i="60"/>
  <c r="W433" i="60" s="1"/>
  <c r="K433" i="60"/>
  <c r="Z433" i="60" s="1"/>
  <c r="G433" i="60"/>
  <c r="V433" i="60" s="1"/>
  <c r="N431" i="60"/>
  <c r="AC431" i="60" s="1"/>
  <c r="J431" i="60"/>
  <c r="Y431" i="60" s="1"/>
  <c r="F431" i="60"/>
  <c r="U431" i="60" s="1"/>
  <c r="M431" i="60"/>
  <c r="AB431" i="60" s="1"/>
  <c r="I431" i="60"/>
  <c r="X431" i="60" s="1"/>
  <c r="E431" i="60"/>
  <c r="T431" i="60" s="1"/>
  <c r="L431" i="60"/>
  <c r="AA431" i="60" s="1"/>
  <c r="H431" i="60"/>
  <c r="W431" i="60" s="1"/>
  <c r="K431" i="60"/>
  <c r="Z431" i="60" s="1"/>
  <c r="G431" i="60"/>
  <c r="V431" i="60" s="1"/>
  <c r="K513" i="60"/>
  <c r="G513" i="60"/>
  <c r="V513" i="60" s="1"/>
  <c r="N513" i="60"/>
  <c r="J513" i="60"/>
  <c r="Y513" i="60" s="1"/>
  <c r="F513" i="60"/>
  <c r="M513" i="60"/>
  <c r="AB513" i="60" s="1"/>
  <c r="I513" i="60"/>
  <c r="E513" i="60"/>
  <c r="T513" i="60" s="1"/>
  <c r="L513" i="60"/>
  <c r="H513" i="60"/>
  <c r="W513" i="60" s="1"/>
  <c r="K489" i="60"/>
  <c r="G489" i="60"/>
  <c r="V489" i="60" s="1"/>
  <c r="N489" i="60"/>
  <c r="J489" i="60"/>
  <c r="Y489" i="60" s="1"/>
  <c r="F489" i="60"/>
  <c r="M489" i="60"/>
  <c r="AB489" i="60" s="1"/>
  <c r="I489" i="60"/>
  <c r="E489" i="60"/>
  <c r="T489" i="60" s="1"/>
  <c r="L489" i="60"/>
  <c r="H489" i="60"/>
  <c r="W489" i="60" s="1"/>
  <c r="K485" i="60"/>
  <c r="Z485" i="60" s="1"/>
  <c r="G485" i="60"/>
  <c r="V485" i="60" s="1"/>
  <c r="N485" i="60"/>
  <c r="AC485" i="60" s="1"/>
  <c r="J485" i="60"/>
  <c r="Y485" i="60" s="1"/>
  <c r="F485" i="60"/>
  <c r="U485" i="60" s="1"/>
  <c r="M485" i="60"/>
  <c r="AB485" i="60" s="1"/>
  <c r="I485" i="60"/>
  <c r="X485" i="60" s="1"/>
  <c r="E485" i="60"/>
  <c r="T485" i="60" s="1"/>
  <c r="L485" i="60"/>
  <c r="AA485" i="60" s="1"/>
  <c r="H485" i="60"/>
  <c r="W485" i="60" s="1"/>
  <c r="N473" i="60"/>
  <c r="AC473" i="60" s="1"/>
  <c r="J473" i="60"/>
  <c r="Y473" i="60" s="1"/>
  <c r="F473" i="60"/>
  <c r="M473" i="60"/>
  <c r="AB473" i="60" s="1"/>
  <c r="I473" i="60"/>
  <c r="X473" i="60" s="1"/>
  <c r="E473" i="60"/>
  <c r="T473" i="60" s="1"/>
  <c r="L473" i="60"/>
  <c r="H473" i="60"/>
  <c r="W473" i="60" s="1"/>
  <c r="K473" i="60"/>
  <c r="Z473" i="60" s="1"/>
  <c r="G473" i="60"/>
  <c r="V473" i="60" s="1"/>
  <c r="N469" i="60"/>
  <c r="AC469" i="60" s="1"/>
  <c r="J469" i="60"/>
  <c r="Y469" i="60" s="1"/>
  <c r="F469" i="60"/>
  <c r="U469" i="60" s="1"/>
  <c r="M469" i="60"/>
  <c r="AB469" i="60" s="1"/>
  <c r="I469" i="60"/>
  <c r="X469" i="60" s="1"/>
  <c r="E469" i="60"/>
  <c r="T469" i="60" s="1"/>
  <c r="L469" i="60"/>
  <c r="AA469" i="60" s="1"/>
  <c r="H469" i="60"/>
  <c r="W469" i="60" s="1"/>
  <c r="G469" i="60"/>
  <c r="V469" i="60" s="1"/>
  <c r="K469" i="60"/>
  <c r="Z469" i="60" s="1"/>
  <c r="L472" i="60"/>
  <c r="AA472" i="60" s="1"/>
  <c r="H472" i="60"/>
  <c r="W472" i="60" s="1"/>
  <c r="K472" i="60"/>
  <c r="Z472" i="60" s="1"/>
  <c r="G472" i="60"/>
  <c r="V472" i="60" s="1"/>
  <c r="N472" i="60"/>
  <c r="AC472" i="60" s="1"/>
  <c r="J472" i="60"/>
  <c r="Y472" i="60" s="1"/>
  <c r="F472" i="60"/>
  <c r="U472" i="60" s="1"/>
  <c r="I472" i="60"/>
  <c r="X472" i="60" s="1"/>
  <c r="E472" i="60"/>
  <c r="T472" i="60" s="1"/>
  <c r="M472" i="60"/>
  <c r="AB472" i="60" s="1"/>
  <c r="K505" i="60"/>
  <c r="G505" i="60"/>
  <c r="V505" i="60" s="1"/>
  <c r="N505" i="60"/>
  <c r="J505" i="60"/>
  <c r="Y505" i="60" s="1"/>
  <c r="F505" i="60"/>
  <c r="M505" i="60"/>
  <c r="AB505" i="60" s="1"/>
  <c r="I505" i="60"/>
  <c r="E505" i="60"/>
  <c r="T505" i="60" s="1"/>
  <c r="L505" i="60"/>
  <c r="H505" i="60"/>
  <c r="W505" i="60" s="1"/>
  <c r="K493" i="60"/>
  <c r="G493" i="60"/>
  <c r="V493" i="60" s="1"/>
  <c r="N493" i="60"/>
  <c r="J493" i="60"/>
  <c r="F493" i="60"/>
  <c r="U493" i="60" s="1"/>
  <c r="M493" i="60"/>
  <c r="AB493" i="60" s="1"/>
  <c r="I493" i="60"/>
  <c r="E493" i="60"/>
  <c r="T493" i="60" s="1"/>
  <c r="L493" i="60"/>
  <c r="AA493" i="60" s="1"/>
  <c r="H493" i="60"/>
  <c r="W493" i="60" s="1"/>
  <c r="M520" i="60"/>
  <c r="I520" i="60"/>
  <c r="X520" i="60" s="1"/>
  <c r="E520" i="60"/>
  <c r="L520" i="60"/>
  <c r="AA520" i="60" s="1"/>
  <c r="H520" i="60"/>
  <c r="K520" i="60"/>
  <c r="Z520" i="60" s="1"/>
  <c r="G520" i="60"/>
  <c r="V520" i="60" s="1"/>
  <c r="F520" i="60"/>
  <c r="U520" i="60" s="1"/>
  <c r="N520" i="60"/>
  <c r="J520" i="60"/>
  <c r="Y520" i="60" s="1"/>
  <c r="L440" i="60"/>
  <c r="AA440" i="60" s="1"/>
  <c r="H440" i="60"/>
  <c r="K440" i="60"/>
  <c r="G440" i="60"/>
  <c r="V440" i="60" s="1"/>
  <c r="N440" i="60"/>
  <c r="AC440" i="60" s="1"/>
  <c r="J440" i="60"/>
  <c r="Y440" i="60" s="1"/>
  <c r="F440" i="60"/>
  <c r="I440" i="60"/>
  <c r="X440" i="60" s="1"/>
  <c r="E440" i="60"/>
  <c r="M440" i="60"/>
  <c r="AB440" i="60" s="1"/>
  <c r="N429" i="60"/>
  <c r="J429" i="60"/>
  <c r="F429" i="60"/>
  <c r="U429" i="60" s="1"/>
  <c r="M429" i="60"/>
  <c r="AB429" i="60" s="1"/>
  <c r="I429" i="60"/>
  <c r="E429" i="60"/>
  <c r="T429" i="60" s="1"/>
  <c r="L429" i="60"/>
  <c r="AA429" i="60" s="1"/>
  <c r="H429" i="60"/>
  <c r="W429" i="60" s="1"/>
  <c r="G429" i="60"/>
  <c r="K429" i="60"/>
  <c r="Z429" i="60" s="1"/>
  <c r="N439" i="60"/>
  <c r="J439" i="60"/>
  <c r="Y439" i="60" s="1"/>
  <c r="F439" i="60"/>
  <c r="M439" i="60"/>
  <c r="AB439" i="60" s="1"/>
  <c r="I439" i="60"/>
  <c r="E439" i="60"/>
  <c r="T439" i="60" s="1"/>
  <c r="L439" i="60"/>
  <c r="H439" i="60"/>
  <c r="W439" i="60" s="1"/>
  <c r="K439" i="60"/>
  <c r="Z439" i="60" s="1"/>
  <c r="G439" i="60"/>
  <c r="N435" i="60"/>
  <c r="J435" i="60"/>
  <c r="Y435" i="60" s="1"/>
  <c r="F435" i="60"/>
  <c r="U435" i="60" s="1"/>
  <c r="M435" i="60"/>
  <c r="AB435" i="60" s="1"/>
  <c r="I435" i="60"/>
  <c r="E435" i="60"/>
  <c r="T435" i="60" s="1"/>
  <c r="L435" i="60"/>
  <c r="AA435" i="60" s="1"/>
  <c r="H435" i="60"/>
  <c r="W435" i="60" s="1"/>
  <c r="K435" i="60"/>
  <c r="G435" i="60"/>
  <c r="V435" i="60" s="1"/>
  <c r="M500" i="60"/>
  <c r="AB500" i="60" s="1"/>
  <c r="I500" i="60"/>
  <c r="X500" i="60" s="1"/>
  <c r="E500" i="60"/>
  <c r="L500" i="60"/>
  <c r="H500" i="60"/>
  <c r="W500" i="60" s="1"/>
  <c r="K500" i="60"/>
  <c r="Z500" i="60" s="1"/>
  <c r="G500" i="60"/>
  <c r="N500" i="60"/>
  <c r="AC500" i="60" s="1"/>
  <c r="J500" i="60"/>
  <c r="Y500" i="60" s="1"/>
  <c r="F500" i="60"/>
  <c r="U500" i="60" s="1"/>
  <c r="K501" i="60"/>
  <c r="G501" i="60"/>
  <c r="N501" i="60"/>
  <c r="J501" i="60"/>
  <c r="Y501" i="60" s="1"/>
  <c r="F501" i="60"/>
  <c r="M501" i="60"/>
  <c r="AB501" i="60" s="1"/>
  <c r="I501" i="60"/>
  <c r="E501" i="60"/>
  <c r="T501" i="60" s="1"/>
  <c r="L501" i="60"/>
  <c r="H501" i="60"/>
  <c r="W501" i="60" s="1"/>
  <c r="L444" i="60"/>
  <c r="AA444" i="60" s="1"/>
  <c r="H444" i="60"/>
  <c r="W444" i="60" s="1"/>
  <c r="K444" i="60"/>
  <c r="G444" i="60"/>
  <c r="V444" i="60" s="1"/>
  <c r="N444" i="60"/>
  <c r="AC444" i="60" s="1"/>
  <c r="J444" i="60"/>
  <c r="Y444" i="60" s="1"/>
  <c r="F444" i="60"/>
  <c r="M444" i="60"/>
  <c r="AB444" i="60" s="1"/>
  <c r="I444" i="60"/>
  <c r="X444" i="60" s="1"/>
  <c r="E444" i="60"/>
  <c r="T444" i="60" s="1"/>
  <c r="K550" i="60"/>
  <c r="Z550" i="60" s="1"/>
  <c r="G550" i="60"/>
  <c r="V550" i="60" s="1"/>
  <c r="N550" i="60"/>
  <c r="AC550" i="60" s="1"/>
  <c r="J550" i="60"/>
  <c r="Y550" i="60" s="1"/>
  <c r="F550" i="60"/>
  <c r="U550" i="60" s="1"/>
  <c r="M550" i="60"/>
  <c r="AB550" i="60" s="1"/>
  <c r="I550" i="60"/>
  <c r="X550" i="60" s="1"/>
  <c r="E550" i="60"/>
  <c r="T550" i="60" s="1"/>
  <c r="H550" i="60"/>
  <c r="W550" i="60" s="1"/>
  <c r="L550" i="60"/>
  <c r="AA550" i="60" s="1"/>
  <c r="K566" i="60"/>
  <c r="Z566" i="60" s="1"/>
  <c r="G566" i="60"/>
  <c r="V566" i="60" s="1"/>
  <c r="N566" i="60"/>
  <c r="J566" i="60"/>
  <c r="F566" i="60"/>
  <c r="U566" i="60" s="1"/>
  <c r="M566" i="60"/>
  <c r="AB566" i="60" s="1"/>
  <c r="I566" i="60"/>
  <c r="E566" i="60"/>
  <c r="T566" i="60" s="1"/>
  <c r="H566" i="60"/>
  <c r="W566" i="60" s="1"/>
  <c r="L566" i="60"/>
  <c r="AA566" i="60" s="1"/>
  <c r="L612" i="60"/>
  <c r="H612" i="60"/>
  <c r="W612" i="60" s="1"/>
  <c r="K612" i="60"/>
  <c r="Z612" i="60" s="1"/>
  <c r="G612" i="60"/>
  <c r="N612" i="60"/>
  <c r="J612" i="60"/>
  <c r="Y612" i="60" s="1"/>
  <c r="F612" i="60"/>
  <c r="U612" i="60" s="1"/>
  <c r="M612" i="60"/>
  <c r="AB612" i="60" s="1"/>
  <c r="I612" i="60"/>
  <c r="E612" i="60"/>
  <c r="T612" i="60" s="1"/>
  <c r="M512" i="60"/>
  <c r="AB512" i="60" s="1"/>
  <c r="I512" i="60"/>
  <c r="X512" i="60" s="1"/>
  <c r="E512" i="60"/>
  <c r="L512" i="60"/>
  <c r="AA512" i="60" s="1"/>
  <c r="H512" i="60"/>
  <c r="W512" i="60" s="1"/>
  <c r="K512" i="60"/>
  <c r="Z512" i="60" s="1"/>
  <c r="G512" i="60"/>
  <c r="F512" i="60"/>
  <c r="U512" i="60" s="1"/>
  <c r="N512" i="60"/>
  <c r="AC512" i="60" s="1"/>
  <c r="J512" i="60"/>
  <c r="Y512" i="60" s="1"/>
  <c r="N447" i="60"/>
  <c r="AC447" i="60" s="1"/>
  <c r="J447" i="60"/>
  <c r="Y447" i="60" s="1"/>
  <c r="F447" i="60"/>
  <c r="U447" i="60" s="1"/>
  <c r="M447" i="60"/>
  <c r="AB447" i="60" s="1"/>
  <c r="I447" i="60"/>
  <c r="X447" i="60" s="1"/>
  <c r="E447" i="60"/>
  <c r="T447" i="60" s="1"/>
  <c r="L447" i="60"/>
  <c r="AA447" i="60" s="1"/>
  <c r="H447" i="60"/>
  <c r="W447" i="60" s="1"/>
  <c r="K447" i="60"/>
  <c r="Z447" i="60" s="1"/>
  <c r="G447" i="60"/>
  <c r="V447" i="60" s="1"/>
  <c r="M492" i="60"/>
  <c r="AB492" i="60" s="1"/>
  <c r="I492" i="60"/>
  <c r="X492" i="60" s="1"/>
  <c r="E492" i="60"/>
  <c r="T492" i="60" s="1"/>
  <c r="L492" i="60"/>
  <c r="AA492" i="60" s="1"/>
  <c r="H492" i="60"/>
  <c r="W492" i="60" s="1"/>
  <c r="K492" i="60"/>
  <c r="Z492" i="60" s="1"/>
  <c r="G492" i="60"/>
  <c r="V492" i="60" s="1"/>
  <c r="N492" i="60"/>
  <c r="AC492" i="60" s="1"/>
  <c r="J492" i="60"/>
  <c r="Y492" i="60" s="1"/>
  <c r="F492" i="60"/>
  <c r="U492" i="60" s="1"/>
  <c r="AB558" i="60"/>
  <c r="W558" i="60"/>
  <c r="Y558" i="60"/>
  <c r="AC480" i="60"/>
  <c r="Z428" i="60"/>
  <c r="D580" i="60"/>
  <c r="AC463" i="60"/>
  <c r="U463" i="60"/>
  <c r="D567" i="60"/>
  <c r="X463" i="60"/>
  <c r="Z463" i="60"/>
  <c r="S142" i="60"/>
  <c r="C246" i="60"/>
  <c r="S246" i="60" s="1"/>
  <c r="C350" i="60"/>
  <c r="S135" i="60"/>
  <c r="C239" i="60"/>
  <c r="S239" i="60" s="1"/>
  <c r="C343" i="60"/>
  <c r="R356" i="60"/>
  <c r="B460" i="60"/>
  <c r="S418" i="60"/>
  <c r="C522" i="60"/>
  <c r="S522" i="60" s="1"/>
  <c r="R414" i="60"/>
  <c r="B518" i="60"/>
  <c r="C530" i="60"/>
  <c r="S530" i="60" s="1"/>
  <c r="S426" i="60"/>
  <c r="D604" i="60"/>
  <c r="AA500" i="60"/>
  <c r="V500" i="60"/>
  <c r="T500" i="60"/>
  <c r="S139" i="60"/>
  <c r="C243" i="60"/>
  <c r="S243" i="60" s="1"/>
  <c r="C347" i="60"/>
  <c r="S155" i="60"/>
  <c r="C259" i="60"/>
  <c r="S259" i="60" s="1"/>
  <c r="C363" i="60"/>
  <c r="AB546" i="60"/>
  <c r="T546" i="60"/>
  <c r="W546" i="60"/>
  <c r="V546" i="60"/>
  <c r="Y546" i="60"/>
  <c r="D540" i="60"/>
  <c r="AA436" i="60"/>
  <c r="W436" i="60"/>
  <c r="Z436" i="60"/>
  <c r="V436" i="60"/>
  <c r="AC436" i="60"/>
  <c r="Y436" i="60"/>
  <c r="U436" i="60"/>
  <c r="T436" i="60"/>
  <c r="AB436" i="60"/>
  <c r="X436" i="60"/>
  <c r="R341" i="60"/>
  <c r="B445" i="60"/>
  <c r="R352" i="60"/>
  <c r="B456" i="60"/>
  <c r="D529" i="60"/>
  <c r="AC425" i="60"/>
  <c r="U425" i="60"/>
  <c r="AB425" i="60"/>
  <c r="X425" i="60"/>
  <c r="W425" i="60"/>
  <c r="Z425" i="60"/>
  <c r="V425" i="60"/>
  <c r="W428" i="60"/>
  <c r="V428" i="60"/>
  <c r="AC428" i="60"/>
  <c r="Y428" i="60"/>
  <c r="T428" i="60"/>
  <c r="D532" i="60"/>
  <c r="AB428" i="60"/>
  <c r="R417" i="60"/>
  <c r="B521" i="60"/>
  <c r="R372" i="60"/>
  <c r="B476" i="60"/>
  <c r="R407" i="60"/>
  <c r="B511" i="60"/>
  <c r="D526" i="60"/>
  <c r="W422" i="60"/>
  <c r="V422" i="60"/>
  <c r="Y422" i="60"/>
  <c r="U422" i="60"/>
  <c r="AB422" i="60"/>
  <c r="T422" i="60"/>
  <c r="D565" i="60"/>
  <c r="AC461" i="60"/>
  <c r="Y461" i="60"/>
  <c r="U461" i="60"/>
  <c r="AB461" i="60"/>
  <c r="X461" i="60"/>
  <c r="T461" i="60"/>
  <c r="AA461" i="60"/>
  <c r="W461" i="60"/>
  <c r="Z461" i="60"/>
  <c r="V461" i="60"/>
  <c r="D557" i="60"/>
  <c r="AC453" i="60"/>
  <c r="Y453" i="60"/>
  <c r="U453" i="60"/>
  <c r="AB453" i="60"/>
  <c r="X453" i="60"/>
  <c r="T453" i="60"/>
  <c r="AA453" i="60"/>
  <c r="W453" i="60"/>
  <c r="Z453" i="60"/>
  <c r="V453" i="60"/>
  <c r="B499" i="60"/>
  <c r="R395" i="60"/>
  <c r="S64" i="60"/>
  <c r="C168" i="60"/>
  <c r="C90" i="60"/>
  <c r="R383" i="60"/>
  <c r="B487" i="60"/>
  <c r="R367" i="60"/>
  <c r="B471" i="60"/>
  <c r="B451" i="60"/>
  <c r="R347" i="60"/>
  <c r="S80" i="60"/>
  <c r="C184" i="60"/>
  <c r="S152" i="60"/>
  <c r="C256" i="60"/>
  <c r="S256" i="60" s="1"/>
  <c r="C360" i="60"/>
  <c r="AA494" i="60"/>
  <c r="Z494" i="60"/>
  <c r="AC494" i="60"/>
  <c r="Y494" i="60"/>
  <c r="D598" i="60"/>
  <c r="AB494" i="60"/>
  <c r="X494" i="60"/>
  <c r="R408" i="60"/>
  <c r="B512" i="60"/>
  <c r="R400" i="60"/>
  <c r="B504" i="60"/>
  <c r="S153" i="60"/>
  <c r="C361" i="60"/>
  <c r="C257" i="60"/>
  <c r="S257" i="60" s="1"/>
  <c r="D603" i="60"/>
  <c r="AC499" i="60"/>
  <c r="U499" i="60"/>
  <c r="AB499" i="60"/>
  <c r="X499" i="60"/>
  <c r="W499" i="60"/>
  <c r="Z499" i="60"/>
  <c r="R337" i="60"/>
  <c r="B441" i="60"/>
  <c r="D606" i="60"/>
  <c r="B483" i="60"/>
  <c r="R379" i="60"/>
  <c r="B467" i="60"/>
  <c r="R363" i="60"/>
  <c r="C534" i="60"/>
  <c r="S534" i="60" s="1"/>
  <c r="S430" i="60"/>
  <c r="S62" i="60"/>
  <c r="C88" i="60"/>
  <c r="C166" i="60"/>
  <c r="S140" i="60"/>
  <c r="C244" i="60"/>
  <c r="S244" i="60" s="1"/>
  <c r="C348" i="60"/>
  <c r="S156" i="60"/>
  <c r="C260" i="60"/>
  <c r="S260" i="60" s="1"/>
  <c r="C364" i="60"/>
  <c r="R330" i="60"/>
  <c r="B434" i="60"/>
  <c r="Y491" i="60"/>
  <c r="AB491" i="60"/>
  <c r="T491" i="60"/>
  <c r="D595" i="60"/>
  <c r="AA491" i="60"/>
  <c r="V491" i="60"/>
  <c r="R385" i="60"/>
  <c r="B489" i="60"/>
  <c r="R377" i="60"/>
  <c r="B481" i="60"/>
  <c r="R369" i="60"/>
  <c r="B473" i="60"/>
  <c r="R361" i="60"/>
  <c r="B465" i="60"/>
  <c r="R353" i="60"/>
  <c r="B457" i="60"/>
  <c r="B507" i="60"/>
  <c r="R403" i="60"/>
  <c r="D568" i="60"/>
  <c r="AA464" i="60"/>
  <c r="W464" i="60"/>
  <c r="Z464" i="60"/>
  <c r="V464" i="60"/>
  <c r="AC464" i="60"/>
  <c r="Y464" i="60"/>
  <c r="U464" i="60"/>
  <c r="AB464" i="60"/>
  <c r="T464" i="60"/>
  <c r="D560" i="60"/>
  <c r="AA456" i="60"/>
  <c r="W456" i="60"/>
  <c r="Z456" i="60"/>
  <c r="V456" i="60"/>
  <c r="AC456" i="60"/>
  <c r="Y456" i="60"/>
  <c r="U456" i="60"/>
  <c r="AB456" i="60"/>
  <c r="X456" i="60"/>
  <c r="T456" i="60"/>
  <c r="C533" i="60"/>
  <c r="S533" i="60" s="1"/>
  <c r="S429" i="60"/>
  <c r="S137" i="60"/>
  <c r="C345" i="60"/>
  <c r="C241" i="60"/>
  <c r="S241" i="60" s="1"/>
  <c r="R333" i="60"/>
  <c r="B437" i="60"/>
  <c r="AB578" i="60"/>
  <c r="X578" i="60"/>
  <c r="T578" i="60"/>
  <c r="AA578" i="60"/>
  <c r="W578" i="60"/>
  <c r="Z578" i="60"/>
  <c r="V578" i="60"/>
  <c r="AC578" i="60"/>
  <c r="Y578" i="60"/>
  <c r="U578" i="60"/>
  <c r="R326" i="60"/>
  <c r="B430" i="60"/>
  <c r="S423" i="60"/>
  <c r="C527" i="60"/>
  <c r="S527" i="60" s="1"/>
  <c r="D584" i="60"/>
  <c r="AA480" i="60"/>
  <c r="W480" i="60"/>
  <c r="Z480" i="60"/>
  <c r="T480" i="60"/>
  <c r="D545" i="60"/>
  <c r="AC441" i="60"/>
  <c r="Y441" i="60"/>
  <c r="AB441" i="60"/>
  <c r="X441" i="60"/>
  <c r="T441" i="60"/>
  <c r="AA441" i="60"/>
  <c r="Z441" i="60"/>
  <c r="V441" i="60"/>
  <c r="R331" i="60"/>
  <c r="B435" i="60"/>
  <c r="C532" i="60"/>
  <c r="S532" i="60" s="1"/>
  <c r="S428" i="60"/>
  <c r="R388" i="60"/>
  <c r="B492" i="60"/>
  <c r="S145" i="60"/>
  <c r="C353" i="60"/>
  <c r="C249" i="60"/>
  <c r="S249" i="60" s="1"/>
  <c r="S100" i="60"/>
  <c r="C204" i="60"/>
  <c r="S163" i="60"/>
  <c r="C267" i="60"/>
  <c r="S267" i="60" s="1"/>
  <c r="C371" i="60"/>
  <c r="S101" i="60"/>
  <c r="C205" i="60"/>
  <c r="S177" i="60"/>
  <c r="C385" i="60"/>
  <c r="C281" i="60"/>
  <c r="S281" i="60" s="1"/>
  <c r="D524" i="60"/>
  <c r="D547" i="60"/>
  <c r="S134" i="60"/>
  <c r="C238" i="60"/>
  <c r="S238" i="60" s="1"/>
  <c r="C342" i="60"/>
  <c r="S158" i="60"/>
  <c r="C366" i="60"/>
  <c r="C262" i="60"/>
  <c r="S262" i="60" s="1"/>
  <c r="AB564" i="60"/>
  <c r="X564" i="60"/>
  <c r="T564" i="60"/>
  <c r="AA564" i="60"/>
  <c r="W564" i="60"/>
  <c r="Z564" i="60"/>
  <c r="V564" i="60"/>
  <c r="Y564" i="60"/>
  <c r="U564" i="60"/>
  <c r="AC564" i="60"/>
  <c r="D539" i="60"/>
  <c r="AC435" i="60"/>
  <c r="X435" i="60"/>
  <c r="Z435" i="60"/>
  <c r="R392" i="60"/>
  <c r="B496" i="60"/>
  <c r="R370" i="60"/>
  <c r="B474" i="60"/>
  <c r="D613" i="60"/>
  <c r="S58" i="60"/>
  <c r="C84" i="60"/>
  <c r="C162" i="60"/>
  <c r="R374" i="60"/>
  <c r="B478" i="60"/>
  <c r="R358" i="60"/>
  <c r="B462" i="60"/>
  <c r="D548" i="60"/>
  <c r="Z444" i="60"/>
  <c r="U444" i="60"/>
  <c r="X558" i="60"/>
  <c r="T558" i="60"/>
  <c r="AA558" i="60"/>
  <c r="Z558" i="60"/>
  <c r="V558" i="60"/>
  <c r="U558" i="60"/>
  <c r="AC558" i="60"/>
  <c r="AB590" i="60"/>
  <c r="X590" i="60"/>
  <c r="T590" i="60"/>
  <c r="AA590" i="60"/>
  <c r="W590" i="60"/>
  <c r="Z590" i="60"/>
  <c r="V590" i="60"/>
  <c r="U590" i="60"/>
  <c r="AC590" i="60"/>
  <c r="Y590" i="60"/>
  <c r="R413" i="60"/>
  <c r="B517" i="60"/>
  <c r="D531" i="60"/>
  <c r="AC427" i="60"/>
  <c r="Y427" i="60"/>
  <c r="U427" i="60"/>
  <c r="AB427" i="60"/>
  <c r="X427" i="60"/>
  <c r="T427" i="60"/>
  <c r="AA427" i="60"/>
  <c r="W427" i="60"/>
  <c r="Z427" i="60"/>
  <c r="V427" i="60"/>
  <c r="S167" i="60"/>
  <c r="C271" i="60"/>
  <c r="S271" i="60" s="1"/>
  <c r="C375" i="60"/>
  <c r="R329" i="60"/>
  <c r="B433" i="60"/>
  <c r="R380" i="60"/>
  <c r="B484" i="60"/>
  <c r="R415" i="60"/>
  <c r="B519" i="60"/>
  <c r="D527" i="60"/>
  <c r="Y423" i="60"/>
  <c r="AB423" i="60"/>
  <c r="T423" i="60"/>
  <c r="W423" i="60"/>
  <c r="V423" i="60"/>
  <c r="Z423" i="60"/>
  <c r="R334" i="60"/>
  <c r="B438" i="60"/>
  <c r="S431" i="60"/>
  <c r="C535" i="60"/>
  <c r="S535" i="60" s="1"/>
  <c r="D571" i="60"/>
  <c r="AC467" i="60"/>
  <c r="Y467" i="60"/>
  <c r="U467" i="60"/>
  <c r="AB467" i="60"/>
  <c r="X467" i="60"/>
  <c r="T467" i="60"/>
  <c r="AA467" i="60"/>
  <c r="W467" i="60"/>
  <c r="Z467" i="60"/>
  <c r="V467" i="60"/>
  <c r="R336" i="60"/>
  <c r="B440" i="60"/>
  <c r="AB570" i="60"/>
  <c r="X570" i="60"/>
  <c r="T570" i="60"/>
  <c r="AA570" i="60"/>
  <c r="W570" i="60"/>
  <c r="Z570" i="60"/>
  <c r="V570" i="60"/>
  <c r="AC570" i="60"/>
  <c r="Y570" i="60"/>
  <c r="U570" i="60"/>
  <c r="D537" i="60"/>
  <c r="R394" i="60"/>
  <c r="B498" i="60"/>
  <c r="AB594" i="60"/>
  <c r="T594" i="60"/>
  <c r="AA594" i="60"/>
  <c r="W594" i="60"/>
  <c r="V594" i="60"/>
  <c r="Y594" i="60"/>
  <c r="C525" i="60"/>
  <c r="S525" i="60" s="1"/>
  <c r="S421" i="60"/>
  <c r="D581" i="60"/>
  <c r="Y477" i="60"/>
  <c r="U477" i="60"/>
  <c r="AB477" i="60"/>
  <c r="T477" i="60"/>
  <c r="AA477" i="60"/>
  <c r="W477" i="60"/>
  <c r="Z477" i="60"/>
  <c r="AB600" i="60"/>
  <c r="T600" i="60"/>
  <c r="W600" i="60"/>
  <c r="Y600" i="60"/>
  <c r="R318" i="60"/>
  <c r="B422" i="60"/>
  <c r="AC487" i="60"/>
  <c r="U487" i="60"/>
  <c r="X487" i="60"/>
  <c r="AA487" i="60"/>
  <c r="Z487" i="60"/>
  <c r="D591" i="60"/>
  <c r="Y471" i="60"/>
  <c r="U471" i="60"/>
  <c r="AB471" i="60"/>
  <c r="T471" i="60"/>
  <c r="AA471" i="60"/>
  <c r="W471" i="60"/>
  <c r="D575" i="60"/>
  <c r="AB514" i="60"/>
  <c r="X514" i="60"/>
  <c r="T514" i="60"/>
  <c r="AA514" i="60"/>
  <c r="W514" i="60"/>
  <c r="Z514" i="60"/>
  <c r="V514" i="60"/>
  <c r="U514" i="60"/>
  <c r="D618" i="60"/>
  <c r="AC514" i="60"/>
  <c r="Y514" i="60"/>
  <c r="AB586" i="60"/>
  <c r="X586" i="60"/>
  <c r="T586" i="60"/>
  <c r="W586" i="60"/>
  <c r="Z586" i="60"/>
  <c r="V586" i="60"/>
  <c r="AC586" i="60"/>
  <c r="Y586" i="60"/>
  <c r="U586" i="60"/>
  <c r="D625" i="60"/>
  <c r="D621" i="60"/>
  <c r="Z517" i="60"/>
  <c r="V517" i="60"/>
  <c r="AC517" i="60"/>
  <c r="Y517" i="60"/>
  <c r="U517" i="60"/>
  <c r="AB517" i="60"/>
  <c r="X517" i="60"/>
  <c r="W517" i="60"/>
  <c r="AA517" i="60"/>
  <c r="C524" i="60"/>
  <c r="S524" i="60" s="1"/>
  <c r="S420" i="60"/>
  <c r="C540" i="60"/>
  <c r="S540" i="60" s="1"/>
  <c r="S436" i="60"/>
  <c r="D535" i="60"/>
  <c r="C538" i="60"/>
  <c r="S538" i="60" s="1"/>
  <c r="S434" i="60"/>
  <c r="D617" i="60"/>
  <c r="Z513" i="60"/>
  <c r="AC513" i="60"/>
  <c r="U513" i="60"/>
  <c r="X513" i="60"/>
  <c r="AA513" i="60"/>
  <c r="D561" i="60"/>
  <c r="D549" i="60"/>
  <c r="AC445" i="60"/>
  <c r="Y445" i="60"/>
  <c r="AB445" i="60"/>
  <c r="X445" i="60"/>
  <c r="T445" i="60"/>
  <c r="W445" i="60"/>
  <c r="Z445" i="60"/>
  <c r="R328" i="60"/>
  <c r="B432" i="60"/>
  <c r="V525" i="60"/>
  <c r="Y525" i="60"/>
  <c r="AB525" i="60"/>
  <c r="T525" i="60"/>
  <c r="W525" i="60"/>
  <c r="S77" i="60"/>
  <c r="C103" i="60"/>
  <c r="C181" i="60"/>
  <c r="S68" i="60"/>
  <c r="C172" i="60"/>
  <c r="C94" i="60"/>
  <c r="S138" i="60"/>
  <c r="C242" i="60"/>
  <c r="S242" i="60" s="1"/>
  <c r="C346" i="60"/>
  <c r="S146" i="60"/>
  <c r="C250" i="60"/>
  <c r="S250" i="60" s="1"/>
  <c r="C354" i="60"/>
  <c r="S154" i="60"/>
  <c r="C362" i="60"/>
  <c r="C258" i="60"/>
  <c r="S258" i="60" s="1"/>
  <c r="S61" i="60"/>
  <c r="C87" i="60"/>
  <c r="C165" i="60"/>
  <c r="S143" i="60"/>
  <c r="C247" i="60"/>
  <c r="S247" i="60" s="1"/>
  <c r="C351" i="60"/>
  <c r="R315" i="60"/>
  <c r="B419" i="60"/>
  <c r="R324" i="60"/>
  <c r="B428" i="60"/>
  <c r="D609" i="60"/>
  <c r="Z505" i="60"/>
  <c r="AC505" i="60"/>
  <c r="U505" i="60"/>
  <c r="X505" i="60"/>
  <c r="AA505" i="60"/>
  <c r="D597" i="60"/>
  <c r="AC493" i="60"/>
  <c r="Y493" i="60"/>
  <c r="X493" i="60"/>
  <c r="Z493" i="60"/>
  <c r="D608" i="60"/>
  <c r="S79" i="60"/>
  <c r="C183" i="60"/>
  <c r="C105" i="60"/>
  <c r="B540" i="60"/>
  <c r="R540" i="60" s="1"/>
  <c r="R436" i="60"/>
  <c r="D544" i="60"/>
  <c r="W440" i="60"/>
  <c r="Z440" i="60"/>
  <c r="U440" i="60"/>
  <c r="T440" i="60"/>
  <c r="R319" i="60"/>
  <c r="B423" i="60"/>
  <c r="R390" i="60"/>
  <c r="B494" i="60"/>
  <c r="C545" i="60"/>
  <c r="S545" i="60" s="1"/>
  <c r="S441" i="60"/>
  <c r="R360" i="60"/>
  <c r="B464" i="60"/>
  <c r="S67" i="60"/>
  <c r="C171" i="60"/>
  <c r="C93" i="60"/>
  <c r="R401" i="60"/>
  <c r="B505" i="60"/>
  <c r="R321" i="60"/>
  <c r="B425" i="60"/>
  <c r="S442" i="60"/>
  <c r="C546" i="60"/>
  <c r="S546" i="60" s="1"/>
  <c r="AB596" i="60"/>
  <c r="X596" i="60"/>
  <c r="T596" i="60"/>
  <c r="AA596" i="60"/>
  <c r="W596" i="60"/>
  <c r="Z596" i="60"/>
  <c r="V596" i="60"/>
  <c r="Y596" i="60"/>
  <c r="U596" i="60"/>
  <c r="AC596" i="60"/>
  <c r="C544" i="60"/>
  <c r="S544" i="60" s="1"/>
  <c r="S440" i="60"/>
  <c r="D541" i="60"/>
  <c r="AC437" i="60"/>
  <c r="U437" i="60"/>
  <c r="AB437" i="60"/>
  <c r="T437" i="60"/>
  <c r="W437" i="60"/>
  <c r="R327" i="60"/>
  <c r="B431" i="60"/>
  <c r="R378" i="60"/>
  <c r="B482" i="60"/>
  <c r="R362" i="60"/>
  <c r="B466" i="60"/>
  <c r="R350" i="60"/>
  <c r="B454" i="60"/>
  <c r="R342" i="60"/>
  <c r="B446" i="60"/>
  <c r="R391" i="60"/>
  <c r="B495" i="60"/>
  <c r="R376" i="60"/>
  <c r="B480" i="60"/>
  <c r="S438" i="60"/>
  <c r="C542" i="60"/>
  <c r="S542" i="60" s="1"/>
  <c r="S147" i="60"/>
  <c r="C251" i="60"/>
  <c r="S251" i="60" s="1"/>
  <c r="C355" i="60"/>
  <c r="X538" i="60"/>
  <c r="T538" i="60"/>
  <c r="AA538" i="60"/>
  <c r="V538" i="60"/>
  <c r="Y538" i="60"/>
  <c r="B475" i="60"/>
  <c r="R371" i="60"/>
  <c r="B459" i="60"/>
  <c r="R355" i="60"/>
  <c r="R343" i="60"/>
  <c r="B447" i="60"/>
  <c r="AB516" i="60"/>
  <c r="X516" i="60"/>
  <c r="T516" i="60"/>
  <c r="D620" i="60"/>
  <c r="W516" i="60"/>
  <c r="Z516" i="60"/>
  <c r="V516" i="60"/>
  <c r="Y516" i="60"/>
  <c r="S70" i="60"/>
  <c r="C174" i="60"/>
  <c r="C96" i="60"/>
  <c r="R393" i="60"/>
  <c r="B497" i="60"/>
  <c r="C536" i="60"/>
  <c r="S536" i="60" s="1"/>
  <c r="S432" i="60"/>
  <c r="R382" i="60"/>
  <c r="B486" i="60"/>
  <c r="R366" i="60"/>
  <c r="B470" i="60"/>
  <c r="D552" i="60"/>
  <c r="AA448" i="60"/>
  <c r="W448" i="60"/>
  <c r="Z448" i="60"/>
  <c r="V448" i="60"/>
  <c r="AC448" i="60"/>
  <c r="Y448" i="60"/>
  <c r="U448" i="60"/>
  <c r="AB448" i="60"/>
  <c r="X448" i="60"/>
  <c r="T448" i="60"/>
  <c r="AB506" i="60"/>
  <c r="X506" i="60"/>
  <c r="T506" i="60"/>
  <c r="W506" i="60"/>
  <c r="Z506" i="60"/>
  <c r="V506" i="60"/>
  <c r="D610" i="60"/>
  <c r="Y506" i="60"/>
  <c r="Z503" i="60"/>
  <c r="V503" i="60"/>
  <c r="AC503" i="60"/>
  <c r="Y503" i="60"/>
  <c r="U503" i="60"/>
  <c r="D607" i="60"/>
  <c r="AB503" i="60"/>
  <c r="X503" i="60"/>
  <c r="T503" i="60"/>
  <c r="AA503" i="60"/>
  <c r="W503" i="60"/>
  <c r="R389" i="60"/>
  <c r="B493" i="60"/>
  <c r="R384" i="60"/>
  <c r="B488" i="60"/>
  <c r="R320" i="60"/>
  <c r="B424" i="60"/>
  <c r="D522" i="60"/>
  <c r="AA418" i="60"/>
  <c r="W418" i="60"/>
  <c r="Z418" i="60"/>
  <c r="AC418" i="60"/>
  <c r="Y418" i="60"/>
  <c r="U418" i="60"/>
  <c r="X418" i="60"/>
  <c r="AB418" i="60"/>
  <c r="X566" i="60"/>
  <c r="AC566" i="60"/>
  <c r="Y566" i="60"/>
  <c r="X612" i="60"/>
  <c r="AA612" i="60"/>
  <c r="V612" i="60"/>
  <c r="AC612" i="60"/>
  <c r="R402" i="60"/>
  <c r="B506" i="60"/>
  <c r="S443" i="60"/>
  <c r="C547" i="60"/>
  <c r="S547" i="60" s="1"/>
  <c r="D601" i="60"/>
  <c r="AC497" i="60"/>
  <c r="U497" i="60"/>
  <c r="X497" i="60"/>
  <c r="T497" i="60"/>
  <c r="AA497" i="60"/>
  <c r="Z497" i="60"/>
  <c r="T512" i="60"/>
  <c r="D616" i="60"/>
  <c r="V512" i="60"/>
  <c r="D592" i="60"/>
  <c r="AA488" i="60"/>
  <c r="W488" i="60"/>
  <c r="Z488" i="60"/>
  <c r="V488" i="60"/>
  <c r="AC488" i="60"/>
  <c r="Y488" i="60"/>
  <c r="U488" i="60"/>
  <c r="AB488" i="60"/>
  <c r="X488" i="60"/>
  <c r="T488" i="60"/>
  <c r="S55" i="60"/>
  <c r="C159" i="60"/>
  <c r="C81" i="60"/>
  <c r="S178" i="60"/>
  <c r="C386" i="60"/>
  <c r="C282" i="60"/>
  <c r="S282" i="60" s="1"/>
  <c r="S97" i="60"/>
  <c r="C201" i="60"/>
  <c r="S179" i="60"/>
  <c r="C283" i="60"/>
  <c r="S283" i="60" s="1"/>
  <c r="C387" i="60"/>
  <c r="S169" i="60"/>
  <c r="C377" i="60"/>
  <c r="C273" i="60"/>
  <c r="S273" i="60" s="1"/>
  <c r="S99" i="60"/>
  <c r="C203" i="60"/>
  <c r="R397" i="60"/>
  <c r="B501" i="60"/>
  <c r="AC479" i="60"/>
  <c r="Y479" i="60"/>
  <c r="U479" i="60"/>
  <c r="D583" i="60"/>
  <c r="AB479" i="60"/>
  <c r="X479" i="60"/>
  <c r="T479" i="60"/>
  <c r="AA479" i="60"/>
  <c r="W479" i="60"/>
  <c r="V479" i="60"/>
  <c r="Z479" i="60"/>
  <c r="D585" i="60"/>
  <c r="AC481" i="60"/>
  <c r="Y481" i="60"/>
  <c r="U481" i="60"/>
  <c r="AB481" i="60"/>
  <c r="X481" i="60"/>
  <c r="T481" i="60"/>
  <c r="AA481" i="60"/>
  <c r="W481" i="60"/>
  <c r="Z481" i="60"/>
  <c r="V481" i="60"/>
  <c r="D569" i="60"/>
  <c r="AC465" i="60"/>
  <c r="Y465" i="60"/>
  <c r="U465" i="60"/>
  <c r="AB465" i="60"/>
  <c r="X465" i="60"/>
  <c r="T465" i="60"/>
  <c r="AA465" i="60"/>
  <c r="W465" i="60"/>
  <c r="Z465" i="60"/>
  <c r="V465" i="60"/>
  <c r="D553" i="60"/>
  <c r="AC449" i="60"/>
  <c r="Y449" i="60"/>
  <c r="U449" i="60"/>
  <c r="X449" i="60"/>
  <c r="T449" i="60"/>
  <c r="AA449" i="60"/>
  <c r="Z449" i="60"/>
  <c r="V449" i="60"/>
  <c r="S60" i="60"/>
  <c r="C164" i="60"/>
  <c r="C86" i="60"/>
  <c r="S150" i="60"/>
  <c r="C358" i="60"/>
  <c r="C254" i="60"/>
  <c r="S254" i="60" s="1"/>
  <c r="S132" i="60"/>
  <c r="C236" i="60"/>
  <c r="S236" i="60" s="1"/>
  <c r="C340" i="60"/>
  <c r="S151" i="60"/>
  <c r="C255" i="60"/>
  <c r="S255" i="60" s="1"/>
  <c r="C359" i="60"/>
  <c r="AB534" i="60"/>
  <c r="X534" i="60"/>
  <c r="T534" i="60"/>
  <c r="AA534" i="60"/>
  <c r="W534" i="60"/>
  <c r="Z534" i="60"/>
  <c r="V534" i="60"/>
  <c r="U534" i="60"/>
  <c r="AC534" i="60"/>
  <c r="Y534" i="60"/>
  <c r="B607" i="60"/>
  <c r="R607" i="60" s="1"/>
  <c r="R503" i="60"/>
  <c r="R406" i="60"/>
  <c r="B510" i="60"/>
  <c r="AC439" i="60"/>
  <c r="U439" i="60"/>
  <c r="X439" i="60"/>
  <c r="AA439" i="60"/>
  <c r="V439" i="60"/>
  <c r="D543" i="60"/>
  <c r="R316" i="60"/>
  <c r="B420" i="60"/>
  <c r="C541" i="60"/>
  <c r="S541" i="60" s="1"/>
  <c r="S437" i="60"/>
  <c r="R322" i="60"/>
  <c r="B426" i="60"/>
  <c r="R325" i="60"/>
  <c r="B429" i="60"/>
  <c r="R398" i="60"/>
  <c r="B502" i="60"/>
  <c r="R386" i="60"/>
  <c r="B490" i="60"/>
  <c r="R354" i="60"/>
  <c r="B458" i="60"/>
  <c r="R346" i="60"/>
  <c r="B450" i="60"/>
  <c r="R344" i="60"/>
  <c r="B448" i="60"/>
  <c r="AC455" i="60"/>
  <c r="Y455" i="60"/>
  <c r="U455" i="60"/>
  <c r="AB455" i="60"/>
  <c r="X455" i="60"/>
  <c r="T455" i="60"/>
  <c r="AA455" i="60"/>
  <c r="W455" i="60"/>
  <c r="V455" i="60"/>
  <c r="D559" i="60"/>
  <c r="R314" i="60"/>
  <c r="B418" i="60"/>
  <c r="R351" i="60"/>
  <c r="B455" i="60"/>
  <c r="R364" i="60"/>
  <c r="B468" i="60"/>
  <c r="S439" i="60"/>
  <c r="C543" i="60"/>
  <c r="S543" i="60" s="1"/>
  <c r="R335" i="60"/>
  <c r="B439" i="60"/>
  <c r="S180" i="60"/>
  <c r="C388" i="60"/>
  <c r="C284" i="60"/>
  <c r="S284" i="60" s="1"/>
  <c r="S85" i="60"/>
  <c r="C189" i="60"/>
  <c r="S161" i="60"/>
  <c r="C369" i="60"/>
  <c r="C265" i="60"/>
  <c r="S265" i="60" s="1"/>
  <c r="D587" i="60"/>
  <c r="R348" i="60"/>
  <c r="B452" i="60"/>
  <c r="D599" i="60"/>
  <c r="AC475" i="60"/>
  <c r="U475" i="60"/>
  <c r="AB475" i="60"/>
  <c r="X475" i="60"/>
  <c r="D579" i="60"/>
  <c r="AA475" i="60"/>
  <c r="W475" i="60"/>
  <c r="Z475" i="60"/>
  <c r="D563" i="60"/>
  <c r="R349" i="60"/>
  <c r="B453" i="60"/>
  <c r="X518" i="60"/>
  <c r="AA518" i="60"/>
  <c r="W518" i="60"/>
  <c r="Z518" i="60"/>
  <c r="AC518" i="60"/>
  <c r="D622" i="60"/>
  <c r="Y518" i="60"/>
  <c r="R368" i="60"/>
  <c r="B472" i="60"/>
  <c r="D555" i="60"/>
  <c r="Y451" i="60"/>
  <c r="AB451" i="60"/>
  <c r="T451" i="60"/>
  <c r="W451" i="60"/>
  <c r="V451" i="60"/>
  <c r="D615" i="60"/>
  <c r="R317" i="60"/>
  <c r="B421" i="60"/>
  <c r="D614" i="60"/>
  <c r="R323" i="60"/>
  <c r="B427" i="60"/>
  <c r="R409" i="60"/>
  <c r="B513" i="60"/>
  <c r="R340" i="60"/>
  <c r="B444" i="60"/>
  <c r="Z515" i="60"/>
  <c r="V515" i="60"/>
  <c r="AC515" i="60"/>
  <c r="Y515" i="60"/>
  <c r="U515" i="60"/>
  <c r="D619" i="60"/>
  <c r="AB515" i="60"/>
  <c r="X515" i="60"/>
  <c r="AA515" i="60"/>
  <c r="W515" i="60"/>
  <c r="D593" i="60"/>
  <c r="AC489" i="60"/>
  <c r="U489" i="60"/>
  <c r="X489" i="60"/>
  <c r="AA489" i="60"/>
  <c r="Z489" i="60"/>
  <c r="D589" i="60"/>
  <c r="D577" i="60"/>
  <c r="U473" i="60"/>
  <c r="AA473" i="60"/>
  <c r="D573" i="60"/>
  <c r="D576" i="60"/>
  <c r="S56" i="60"/>
  <c r="C160" i="60"/>
  <c r="C82" i="60"/>
  <c r="S72" i="60"/>
  <c r="C176" i="60"/>
  <c r="C98" i="60"/>
  <c r="S69" i="60"/>
  <c r="C95" i="60"/>
  <c r="C173" i="60"/>
  <c r="B491" i="60"/>
  <c r="R387" i="60"/>
  <c r="R375" i="60"/>
  <c r="B479" i="60"/>
  <c r="R359" i="60"/>
  <c r="B463" i="60"/>
  <c r="B443" i="60"/>
  <c r="R339" i="60"/>
  <c r="AB520" i="60"/>
  <c r="T520" i="60"/>
  <c r="D624" i="60"/>
  <c r="W520" i="60"/>
  <c r="AC520" i="60"/>
  <c r="B515" i="60"/>
  <c r="R411" i="60"/>
  <c r="S66" i="60"/>
  <c r="C170" i="60"/>
  <c r="C92" i="60"/>
  <c r="S144" i="60"/>
  <c r="C248" i="60"/>
  <c r="S248" i="60" s="1"/>
  <c r="C352" i="60"/>
  <c r="S419" i="60"/>
  <c r="C523" i="60"/>
  <c r="S523" i="60" s="1"/>
  <c r="Z507" i="60"/>
  <c r="V507" i="60"/>
  <c r="AC507" i="60"/>
  <c r="Y507" i="60"/>
  <c r="U507" i="60"/>
  <c r="D611" i="60"/>
  <c r="AB507" i="60"/>
  <c r="X507" i="60"/>
  <c r="T507" i="60"/>
  <c r="AA507" i="60"/>
  <c r="W507" i="60"/>
  <c r="R416" i="60"/>
  <c r="B520" i="60"/>
  <c r="R412" i="60"/>
  <c r="B516" i="60"/>
  <c r="D533" i="60"/>
  <c r="AC429" i="60"/>
  <c r="Y429" i="60"/>
  <c r="X429" i="60"/>
  <c r="V429" i="60"/>
  <c r="D572" i="60"/>
  <c r="W468" i="60"/>
  <c r="V468" i="60"/>
  <c r="Y468" i="60"/>
  <c r="T468" i="60"/>
  <c r="AB468" i="60"/>
  <c r="S141" i="60"/>
  <c r="C349" i="60"/>
  <c r="C245" i="60"/>
  <c r="S245" i="60" s="1"/>
  <c r="R396" i="60"/>
  <c r="B500" i="60"/>
  <c r="D602" i="60"/>
  <c r="Z551" i="60"/>
  <c r="V551" i="60"/>
  <c r="AC551" i="60"/>
  <c r="U551" i="60"/>
  <c r="X551" i="60"/>
  <c r="T551" i="60"/>
  <c r="AA551" i="60"/>
  <c r="R338" i="60"/>
  <c r="B442" i="60"/>
  <c r="S435" i="60"/>
  <c r="C539" i="60"/>
  <c r="S539" i="60" s="1"/>
  <c r="D536" i="60"/>
  <c r="R345" i="60"/>
  <c r="B449" i="60"/>
  <c r="C528" i="60"/>
  <c r="S528" i="60" s="1"/>
  <c r="S424" i="60"/>
  <c r="Z519" i="60"/>
  <c r="V519" i="60"/>
  <c r="AC519" i="60"/>
  <c r="Y519" i="60"/>
  <c r="U519" i="60"/>
  <c r="D623" i="60"/>
  <c r="AB519" i="60"/>
  <c r="X519" i="60"/>
  <c r="T519" i="60"/>
  <c r="AA519" i="60"/>
  <c r="W519" i="60"/>
  <c r="S78" i="60"/>
  <c r="C104" i="60"/>
  <c r="C182" i="60"/>
  <c r="D588" i="60"/>
  <c r="AB542" i="60"/>
  <c r="X542" i="60"/>
  <c r="T542" i="60"/>
  <c r="AA542" i="60"/>
  <c r="W542" i="60"/>
  <c r="Z542" i="60"/>
  <c r="V542" i="60"/>
  <c r="U542" i="60"/>
  <c r="AC542" i="60"/>
  <c r="Y542" i="60"/>
  <c r="D605" i="60"/>
  <c r="Z501" i="60"/>
  <c r="AC501" i="60"/>
  <c r="AA501" i="60"/>
  <c r="U501" i="60"/>
  <c r="X501" i="60"/>
  <c r="V501" i="60"/>
  <c r="R410" i="60"/>
  <c r="B514" i="60"/>
  <c r="S136" i="60"/>
  <c r="C240" i="60"/>
  <c r="S240" i="60" s="1"/>
  <c r="C344" i="60"/>
  <c r="S148" i="60"/>
  <c r="C252" i="60"/>
  <c r="S252" i="60" s="1"/>
  <c r="C356" i="60"/>
  <c r="R404" i="60"/>
  <c r="B508" i="60"/>
  <c r="S427" i="60"/>
  <c r="C531" i="60"/>
  <c r="S531" i="60" s="1"/>
  <c r="D528" i="60"/>
  <c r="R381" i="60"/>
  <c r="B485" i="60"/>
  <c r="R373" i="60"/>
  <c r="B477" i="60"/>
  <c r="R365" i="60"/>
  <c r="B469" i="60"/>
  <c r="R357" i="60"/>
  <c r="B461" i="60"/>
  <c r="D556" i="60"/>
  <c r="C529" i="60"/>
  <c r="S529" i="60" s="1"/>
  <c r="S425" i="60"/>
  <c r="S149" i="60"/>
  <c r="C357" i="60"/>
  <c r="C253" i="60"/>
  <c r="S253" i="60" s="1"/>
  <c r="R405" i="60"/>
  <c r="B509" i="60"/>
  <c r="AB574" i="60"/>
  <c r="X574" i="60"/>
  <c r="T574" i="60"/>
  <c r="AA574" i="60"/>
  <c r="W574" i="60"/>
  <c r="Z574" i="60"/>
  <c r="V574" i="60"/>
  <c r="U574" i="60"/>
  <c r="AC574" i="60"/>
  <c r="Y574" i="60"/>
  <c r="C537" i="60"/>
  <c r="S537" i="60" s="1"/>
  <c r="S433" i="60"/>
  <c r="D523" i="60"/>
  <c r="AC419" i="60"/>
  <c r="Y419" i="60"/>
  <c r="X419" i="60"/>
  <c r="AA419" i="60"/>
  <c r="Z419" i="60"/>
  <c r="S102" i="60"/>
  <c r="C206" i="60"/>
  <c r="S133" i="60"/>
  <c r="C341" i="60"/>
  <c r="C237" i="60"/>
  <c r="S237" i="60" s="1"/>
  <c r="S157" i="60"/>
  <c r="C365" i="60"/>
  <c r="C261" i="60"/>
  <c r="S261" i="60" s="1"/>
  <c r="S89" i="60"/>
  <c r="C193" i="60"/>
  <c r="S175" i="60"/>
  <c r="C279" i="60"/>
  <c r="S279" i="60" s="1"/>
  <c r="C383" i="60"/>
  <c r="S83" i="60"/>
  <c r="C187" i="60"/>
  <c r="S91" i="60"/>
  <c r="C195" i="60"/>
  <c r="N4" i="57"/>
  <c r="O4" i="57"/>
  <c r="P4" i="57"/>
  <c r="Q4" i="57"/>
  <c r="O3" i="57"/>
  <c r="P3" i="57"/>
  <c r="H4" i="57"/>
  <c r="C4" i="57" s="1"/>
  <c r="I4" i="57"/>
  <c r="D4" i="57" s="1"/>
  <c r="J4" i="57"/>
  <c r="E4" i="57" s="1"/>
  <c r="K4" i="57"/>
  <c r="F4" i="57" s="1"/>
  <c r="I3" i="57"/>
  <c r="D3" i="57" s="1"/>
  <c r="J3" i="57"/>
  <c r="E3" i="57" s="1"/>
  <c r="K3" i="57"/>
  <c r="H3" i="57"/>
  <c r="B6" i="57"/>
  <c r="B5" i="57"/>
  <c r="Q3" i="56"/>
  <c r="R3" i="56"/>
  <c r="S3" i="56"/>
  <c r="T3" i="56"/>
  <c r="U3" i="56"/>
  <c r="V3" i="56"/>
  <c r="Q4" i="56"/>
  <c r="R4" i="56"/>
  <c r="S4" i="56"/>
  <c r="T4" i="56"/>
  <c r="U4" i="56"/>
  <c r="V4" i="56"/>
  <c r="T5" i="56"/>
  <c r="U5" i="56"/>
  <c r="T2" i="56"/>
  <c r="V2" i="56"/>
  <c r="J3" i="56"/>
  <c r="C3" i="56" s="1"/>
  <c r="K3" i="56"/>
  <c r="D3" i="56" s="1"/>
  <c r="L3" i="56"/>
  <c r="E3" i="56" s="1"/>
  <c r="M3" i="56"/>
  <c r="F3" i="56" s="1"/>
  <c r="N3" i="56"/>
  <c r="G3" i="56" s="1"/>
  <c r="O3" i="56"/>
  <c r="H3" i="56" s="1"/>
  <c r="J4" i="56"/>
  <c r="C4" i="56" s="1"/>
  <c r="K4" i="56"/>
  <c r="D4" i="56" s="1"/>
  <c r="L4" i="56"/>
  <c r="E4" i="56" s="1"/>
  <c r="M4" i="56"/>
  <c r="F4" i="56" s="1"/>
  <c r="N4" i="56"/>
  <c r="G4" i="56" s="1"/>
  <c r="O4" i="56"/>
  <c r="H4" i="56" s="1"/>
  <c r="J5" i="56"/>
  <c r="K5" i="56"/>
  <c r="L5" i="56"/>
  <c r="M5" i="56"/>
  <c r="F5" i="56" s="1"/>
  <c r="N5" i="56"/>
  <c r="G5" i="56" s="1"/>
  <c r="O5" i="56"/>
  <c r="K2" i="56"/>
  <c r="L2" i="56"/>
  <c r="M2" i="56"/>
  <c r="F2" i="56" s="1"/>
  <c r="N2" i="56"/>
  <c r="O2" i="56"/>
  <c r="H2" i="56" s="1"/>
  <c r="J2" i="56"/>
  <c r="B9" i="56"/>
  <c r="A9" i="56"/>
  <c r="B8" i="56"/>
  <c r="A8" i="56"/>
  <c r="B7" i="56"/>
  <c r="A7" i="56"/>
  <c r="B6" i="56"/>
  <c r="A6" i="56"/>
  <c r="K523" i="60" l="1"/>
  <c r="G523" i="60"/>
  <c r="N523" i="60"/>
  <c r="J523" i="60"/>
  <c r="F523" i="60"/>
  <c r="M523" i="60"/>
  <c r="I523" i="60"/>
  <c r="E523" i="60"/>
  <c r="H523" i="60"/>
  <c r="L523" i="60"/>
  <c r="K556" i="60"/>
  <c r="Z556" i="60" s="1"/>
  <c r="G556" i="60"/>
  <c r="V556" i="60" s="1"/>
  <c r="N556" i="60"/>
  <c r="AC556" i="60" s="1"/>
  <c r="J556" i="60"/>
  <c r="Y556" i="60" s="1"/>
  <c r="F556" i="60"/>
  <c r="U556" i="60" s="1"/>
  <c r="M556" i="60"/>
  <c r="AB556" i="60" s="1"/>
  <c r="I556" i="60"/>
  <c r="X556" i="60" s="1"/>
  <c r="E556" i="60"/>
  <c r="T556" i="60" s="1"/>
  <c r="L556" i="60"/>
  <c r="AA556" i="60" s="1"/>
  <c r="H556" i="60"/>
  <c r="W556" i="60" s="1"/>
  <c r="N623" i="60"/>
  <c r="J623" i="60"/>
  <c r="F623" i="60"/>
  <c r="M623" i="60"/>
  <c r="I623" i="60"/>
  <c r="E623" i="60"/>
  <c r="L623" i="60"/>
  <c r="H623" i="60"/>
  <c r="G623" i="60"/>
  <c r="K536" i="60"/>
  <c r="Z536" i="60" s="1"/>
  <c r="G536" i="60"/>
  <c r="V536" i="60" s="1"/>
  <c r="N536" i="60"/>
  <c r="AC536" i="60" s="1"/>
  <c r="J536" i="60"/>
  <c r="Y536" i="60" s="1"/>
  <c r="F536" i="60"/>
  <c r="U536" i="60" s="1"/>
  <c r="M536" i="60"/>
  <c r="AB536" i="60" s="1"/>
  <c r="I536" i="60"/>
  <c r="X536" i="60" s="1"/>
  <c r="E536" i="60"/>
  <c r="T536" i="60" s="1"/>
  <c r="L536" i="60"/>
  <c r="AA536" i="60" s="1"/>
  <c r="H536" i="60"/>
  <c r="W536" i="60" s="1"/>
  <c r="M533" i="60"/>
  <c r="I533" i="60"/>
  <c r="L533" i="60"/>
  <c r="H533" i="60"/>
  <c r="K533" i="60"/>
  <c r="G533" i="60"/>
  <c r="N533" i="60"/>
  <c r="J533" i="60"/>
  <c r="F533" i="60"/>
  <c r="K576" i="60"/>
  <c r="Z576" i="60" s="1"/>
  <c r="G576" i="60"/>
  <c r="V576" i="60" s="1"/>
  <c r="N576" i="60"/>
  <c r="AC576" i="60" s="1"/>
  <c r="J576" i="60"/>
  <c r="Y576" i="60" s="1"/>
  <c r="F576" i="60"/>
  <c r="U576" i="60" s="1"/>
  <c r="M576" i="60"/>
  <c r="AB576" i="60" s="1"/>
  <c r="I576" i="60"/>
  <c r="X576" i="60" s="1"/>
  <c r="E576" i="60"/>
  <c r="T576" i="60" s="1"/>
  <c r="L576" i="60"/>
  <c r="AA576" i="60" s="1"/>
  <c r="H576" i="60"/>
  <c r="W576" i="60" s="1"/>
  <c r="N593" i="60"/>
  <c r="J593" i="60"/>
  <c r="F593" i="60"/>
  <c r="M593" i="60"/>
  <c r="I593" i="60"/>
  <c r="E593" i="60"/>
  <c r="L593" i="60"/>
  <c r="H593" i="60"/>
  <c r="K593" i="60"/>
  <c r="G593" i="60"/>
  <c r="L622" i="60"/>
  <c r="H622" i="60"/>
  <c r="K622" i="60"/>
  <c r="G622" i="60"/>
  <c r="N622" i="60"/>
  <c r="AC622" i="60" s="1"/>
  <c r="J622" i="60"/>
  <c r="F622" i="60"/>
  <c r="I622" i="60"/>
  <c r="E622" i="60"/>
  <c r="M622" i="60"/>
  <c r="M587" i="60"/>
  <c r="AB587" i="60" s="1"/>
  <c r="I587" i="60"/>
  <c r="X587" i="60" s="1"/>
  <c r="E587" i="60"/>
  <c r="T587" i="60" s="1"/>
  <c r="L587" i="60"/>
  <c r="AA587" i="60" s="1"/>
  <c r="H587" i="60"/>
  <c r="W587" i="60" s="1"/>
  <c r="K587" i="60"/>
  <c r="Z587" i="60" s="1"/>
  <c r="G587" i="60"/>
  <c r="V587" i="60" s="1"/>
  <c r="F587" i="60"/>
  <c r="U587" i="60" s="1"/>
  <c r="N587" i="60"/>
  <c r="AC587" i="60" s="1"/>
  <c r="J587" i="60"/>
  <c r="Y587" i="60" s="1"/>
  <c r="M559" i="60"/>
  <c r="I559" i="60"/>
  <c r="E559" i="60"/>
  <c r="L559" i="60"/>
  <c r="H559" i="60"/>
  <c r="K559" i="60"/>
  <c r="G559" i="60"/>
  <c r="N559" i="60"/>
  <c r="J559" i="60"/>
  <c r="F559" i="60"/>
  <c r="L610" i="60"/>
  <c r="H610" i="60"/>
  <c r="K610" i="60"/>
  <c r="G610" i="60"/>
  <c r="N610" i="60"/>
  <c r="J610" i="60"/>
  <c r="F610" i="60"/>
  <c r="U610" i="60" s="1"/>
  <c r="M610" i="60"/>
  <c r="I610" i="60"/>
  <c r="E610" i="60"/>
  <c r="M541" i="60"/>
  <c r="E541" i="60"/>
  <c r="L541" i="60"/>
  <c r="H541" i="60"/>
  <c r="W541" i="60" s="1"/>
  <c r="K541" i="60"/>
  <c r="G541" i="60"/>
  <c r="N541" i="60"/>
  <c r="J541" i="60"/>
  <c r="F541" i="60"/>
  <c r="K544" i="60"/>
  <c r="G544" i="60"/>
  <c r="N544" i="60"/>
  <c r="J544" i="60"/>
  <c r="F544" i="60"/>
  <c r="M544" i="60"/>
  <c r="I544" i="60"/>
  <c r="E544" i="60"/>
  <c r="L544" i="60"/>
  <c r="H544" i="60"/>
  <c r="N617" i="60"/>
  <c r="J617" i="60"/>
  <c r="F617" i="60"/>
  <c r="M617" i="60"/>
  <c r="I617" i="60"/>
  <c r="E617" i="60"/>
  <c r="L617" i="60"/>
  <c r="H617" i="60"/>
  <c r="K617" i="60"/>
  <c r="G617" i="60"/>
  <c r="M524" i="60"/>
  <c r="AB524" i="60" s="1"/>
  <c r="I524" i="60"/>
  <c r="X524" i="60" s="1"/>
  <c r="E524" i="60"/>
  <c r="T524" i="60" s="1"/>
  <c r="L524" i="60"/>
  <c r="AA524" i="60" s="1"/>
  <c r="H524" i="60"/>
  <c r="W524" i="60" s="1"/>
  <c r="K524" i="60"/>
  <c r="Z524" i="60" s="1"/>
  <c r="G524" i="60"/>
  <c r="V524" i="60" s="1"/>
  <c r="N524" i="60"/>
  <c r="AC524" i="60" s="1"/>
  <c r="J524" i="60"/>
  <c r="Y524" i="60" s="1"/>
  <c r="F524" i="60"/>
  <c r="U524" i="60" s="1"/>
  <c r="M545" i="60"/>
  <c r="I545" i="60"/>
  <c r="E545" i="60"/>
  <c r="L545" i="60"/>
  <c r="K545" i="60"/>
  <c r="G545" i="60"/>
  <c r="F545" i="60"/>
  <c r="N545" i="60"/>
  <c r="K568" i="60"/>
  <c r="G568" i="60"/>
  <c r="N568" i="60"/>
  <c r="J568" i="60"/>
  <c r="F568" i="60"/>
  <c r="M568" i="60"/>
  <c r="I568" i="60"/>
  <c r="E568" i="60"/>
  <c r="L568" i="60"/>
  <c r="H568" i="60"/>
  <c r="L604" i="60"/>
  <c r="H604" i="60"/>
  <c r="K604" i="60"/>
  <c r="G604" i="60"/>
  <c r="N604" i="60"/>
  <c r="J604" i="60"/>
  <c r="F604" i="60"/>
  <c r="M604" i="60"/>
  <c r="I604" i="60"/>
  <c r="E604" i="60"/>
  <c r="L602" i="60"/>
  <c r="AA602" i="60" s="1"/>
  <c r="H602" i="60"/>
  <c r="W602" i="60" s="1"/>
  <c r="K602" i="60"/>
  <c r="Z602" i="60" s="1"/>
  <c r="G602" i="60"/>
  <c r="V602" i="60" s="1"/>
  <c r="N602" i="60"/>
  <c r="AC602" i="60" s="1"/>
  <c r="J602" i="60"/>
  <c r="Y602" i="60" s="1"/>
  <c r="F602" i="60"/>
  <c r="U602" i="60" s="1"/>
  <c r="M602" i="60"/>
  <c r="AB602" i="60" s="1"/>
  <c r="I602" i="60"/>
  <c r="X602" i="60" s="1"/>
  <c r="E602" i="60"/>
  <c r="T602" i="60" s="1"/>
  <c r="K572" i="60"/>
  <c r="G572" i="60"/>
  <c r="N572" i="60"/>
  <c r="J572" i="60"/>
  <c r="Y572" i="60" s="1"/>
  <c r="F572" i="60"/>
  <c r="M572" i="60"/>
  <c r="I572" i="60"/>
  <c r="E572" i="60"/>
  <c r="L572" i="60"/>
  <c r="H572" i="60"/>
  <c r="L624" i="60"/>
  <c r="H624" i="60"/>
  <c r="W624" i="60" s="1"/>
  <c r="K624" i="60"/>
  <c r="G624" i="60"/>
  <c r="N624" i="60"/>
  <c r="J624" i="60"/>
  <c r="Y624" i="60" s="1"/>
  <c r="F624" i="60"/>
  <c r="E624" i="60"/>
  <c r="M624" i="60"/>
  <c r="I624" i="60"/>
  <c r="M589" i="60"/>
  <c r="AB589" i="60" s="1"/>
  <c r="I589" i="60"/>
  <c r="X589" i="60" s="1"/>
  <c r="E589" i="60"/>
  <c r="T589" i="60" s="1"/>
  <c r="L589" i="60"/>
  <c r="AA589" i="60" s="1"/>
  <c r="H589" i="60"/>
  <c r="W589" i="60" s="1"/>
  <c r="K589" i="60"/>
  <c r="Z589" i="60" s="1"/>
  <c r="G589" i="60"/>
  <c r="V589" i="60" s="1"/>
  <c r="N589" i="60"/>
  <c r="AC589" i="60" s="1"/>
  <c r="J589" i="60"/>
  <c r="Y589" i="60" s="1"/>
  <c r="F589" i="60"/>
  <c r="U589" i="60" s="1"/>
  <c r="N619" i="60"/>
  <c r="J619" i="60"/>
  <c r="Y619" i="60" s="1"/>
  <c r="F619" i="60"/>
  <c r="M619" i="60"/>
  <c r="I619" i="60"/>
  <c r="L619" i="60"/>
  <c r="H619" i="60"/>
  <c r="G619" i="60"/>
  <c r="K619" i="60"/>
  <c r="L614" i="60"/>
  <c r="AA614" i="60" s="1"/>
  <c r="H614" i="60"/>
  <c r="K614" i="60"/>
  <c r="Z614" i="60" s="1"/>
  <c r="G614" i="60"/>
  <c r="V614" i="60" s="1"/>
  <c r="N614" i="60"/>
  <c r="AC614" i="60" s="1"/>
  <c r="J614" i="60"/>
  <c r="Y614" i="60" s="1"/>
  <c r="F614" i="60"/>
  <c r="U614" i="60" s="1"/>
  <c r="I614" i="60"/>
  <c r="X614" i="60" s="1"/>
  <c r="E614" i="60"/>
  <c r="T614" i="60" s="1"/>
  <c r="M614" i="60"/>
  <c r="AB614" i="60" s="1"/>
  <c r="M543" i="60"/>
  <c r="I543" i="60"/>
  <c r="E543" i="60"/>
  <c r="L543" i="60"/>
  <c r="H543" i="60"/>
  <c r="K543" i="60"/>
  <c r="Z543" i="60" s="1"/>
  <c r="G543" i="60"/>
  <c r="N543" i="60"/>
  <c r="J543" i="60"/>
  <c r="M585" i="60"/>
  <c r="I585" i="60"/>
  <c r="E585" i="60"/>
  <c r="L585" i="60"/>
  <c r="AA585" i="60" s="1"/>
  <c r="H585" i="60"/>
  <c r="K585" i="60"/>
  <c r="G585" i="60"/>
  <c r="J585" i="60"/>
  <c r="Y585" i="60" s="1"/>
  <c r="F585" i="60"/>
  <c r="N585" i="60"/>
  <c r="M583" i="60"/>
  <c r="I583" i="60"/>
  <c r="E583" i="60"/>
  <c r="L583" i="60"/>
  <c r="H583" i="60"/>
  <c r="K583" i="60"/>
  <c r="Z583" i="60" s="1"/>
  <c r="G583" i="60"/>
  <c r="N583" i="60"/>
  <c r="J583" i="60"/>
  <c r="F583" i="60"/>
  <c r="U583" i="60" s="1"/>
  <c r="L592" i="60"/>
  <c r="H592" i="60"/>
  <c r="K592" i="60"/>
  <c r="G592" i="60"/>
  <c r="V592" i="60" s="1"/>
  <c r="N592" i="60"/>
  <c r="J592" i="60"/>
  <c r="F592" i="60"/>
  <c r="E592" i="60"/>
  <c r="T592" i="60" s="1"/>
  <c r="M592" i="60"/>
  <c r="I592" i="60"/>
  <c r="L616" i="60"/>
  <c r="H616" i="60"/>
  <c r="W616" i="60" s="1"/>
  <c r="K616" i="60"/>
  <c r="G616" i="60"/>
  <c r="N616" i="60"/>
  <c r="J616" i="60"/>
  <c r="Y616" i="60" s="1"/>
  <c r="F616" i="60"/>
  <c r="E616" i="60"/>
  <c r="M616" i="60"/>
  <c r="I616" i="60"/>
  <c r="L620" i="60"/>
  <c r="H620" i="60"/>
  <c r="K620" i="60"/>
  <c r="G620" i="60"/>
  <c r="V620" i="60" s="1"/>
  <c r="N620" i="60"/>
  <c r="J620" i="60"/>
  <c r="F620" i="60"/>
  <c r="M620" i="60"/>
  <c r="AB620" i="60" s="1"/>
  <c r="I620" i="60"/>
  <c r="E620" i="60"/>
  <c r="L608" i="60"/>
  <c r="AA608" i="60" s="1"/>
  <c r="H608" i="60"/>
  <c r="W608" i="60" s="1"/>
  <c r="K608" i="60"/>
  <c r="Z608" i="60" s="1"/>
  <c r="G608" i="60"/>
  <c r="V608" i="60" s="1"/>
  <c r="N608" i="60"/>
  <c r="AC608" i="60" s="1"/>
  <c r="J608" i="60"/>
  <c r="Y608" i="60" s="1"/>
  <c r="F608" i="60"/>
  <c r="U608" i="60" s="1"/>
  <c r="E608" i="60"/>
  <c r="T608" i="60" s="1"/>
  <c r="M608" i="60"/>
  <c r="AB608" i="60" s="1"/>
  <c r="I608" i="60"/>
  <c r="X608" i="60" s="1"/>
  <c r="M561" i="60"/>
  <c r="AB561" i="60" s="1"/>
  <c r="I561" i="60"/>
  <c r="X561" i="60" s="1"/>
  <c r="E561" i="60"/>
  <c r="T561" i="60" s="1"/>
  <c r="L561" i="60"/>
  <c r="AA561" i="60" s="1"/>
  <c r="H561" i="60"/>
  <c r="W561" i="60" s="1"/>
  <c r="K561" i="60"/>
  <c r="Z561" i="60" s="1"/>
  <c r="G561" i="60"/>
  <c r="V561" i="60" s="1"/>
  <c r="J561" i="60"/>
  <c r="Y561" i="60" s="1"/>
  <c r="F561" i="60"/>
  <c r="U561" i="60" s="1"/>
  <c r="N561" i="60"/>
  <c r="AC561" i="60" s="1"/>
  <c r="M535" i="60"/>
  <c r="AB535" i="60" s="1"/>
  <c r="I535" i="60"/>
  <c r="X535" i="60" s="1"/>
  <c r="E535" i="60"/>
  <c r="T535" i="60" s="1"/>
  <c r="L535" i="60"/>
  <c r="AA535" i="60" s="1"/>
  <c r="H535" i="60"/>
  <c r="W535" i="60" s="1"/>
  <c r="K535" i="60"/>
  <c r="Z535" i="60" s="1"/>
  <c r="G535" i="60"/>
  <c r="V535" i="60" s="1"/>
  <c r="N535" i="60"/>
  <c r="AC535" i="60" s="1"/>
  <c r="J535" i="60"/>
  <c r="Y535" i="60" s="1"/>
  <c r="F535" i="60"/>
  <c r="U535" i="60" s="1"/>
  <c r="M575" i="60"/>
  <c r="I575" i="60"/>
  <c r="E575" i="60"/>
  <c r="L575" i="60"/>
  <c r="AA575" i="60" s="1"/>
  <c r="H575" i="60"/>
  <c r="K575" i="60"/>
  <c r="G575" i="60"/>
  <c r="N575" i="60"/>
  <c r="J575" i="60"/>
  <c r="F575" i="60"/>
  <c r="K527" i="60"/>
  <c r="G527" i="60"/>
  <c r="V527" i="60" s="1"/>
  <c r="N527" i="60"/>
  <c r="J527" i="60"/>
  <c r="F527" i="60"/>
  <c r="M527" i="60"/>
  <c r="AB527" i="60" s="1"/>
  <c r="I527" i="60"/>
  <c r="E527" i="60"/>
  <c r="L527" i="60"/>
  <c r="H527" i="60"/>
  <c r="W527" i="60" s="1"/>
  <c r="K548" i="60"/>
  <c r="G548" i="60"/>
  <c r="N548" i="60"/>
  <c r="J548" i="60"/>
  <c r="Y548" i="60" s="1"/>
  <c r="F548" i="60"/>
  <c r="M548" i="60"/>
  <c r="I548" i="60"/>
  <c r="E548" i="60"/>
  <c r="T548" i="60" s="1"/>
  <c r="L548" i="60"/>
  <c r="H548" i="60"/>
  <c r="K584" i="60"/>
  <c r="G584" i="60"/>
  <c r="V584" i="60" s="1"/>
  <c r="N584" i="60"/>
  <c r="J584" i="60"/>
  <c r="F584" i="60"/>
  <c r="M584" i="60"/>
  <c r="AB584" i="60" s="1"/>
  <c r="I584" i="60"/>
  <c r="E584" i="60"/>
  <c r="L584" i="60"/>
  <c r="H584" i="60"/>
  <c r="W584" i="60" s="1"/>
  <c r="K560" i="60"/>
  <c r="G560" i="60"/>
  <c r="N560" i="60"/>
  <c r="J560" i="60"/>
  <c r="Y560" i="60" s="1"/>
  <c r="F560" i="60"/>
  <c r="U560" i="60" s="1"/>
  <c r="M560" i="60"/>
  <c r="AB560" i="60" s="1"/>
  <c r="I560" i="60"/>
  <c r="E560" i="60"/>
  <c r="T560" i="60" s="1"/>
  <c r="L560" i="60"/>
  <c r="H560" i="60"/>
  <c r="N595" i="60"/>
  <c r="J595" i="60"/>
  <c r="F595" i="60"/>
  <c r="U595" i="60" s="1"/>
  <c r="M595" i="60"/>
  <c r="AB595" i="60" s="1"/>
  <c r="I595" i="60"/>
  <c r="E595" i="60"/>
  <c r="T595" i="60" s="1"/>
  <c r="L595" i="60"/>
  <c r="AA595" i="60" s="1"/>
  <c r="H595" i="60"/>
  <c r="G595" i="60"/>
  <c r="K595" i="60"/>
  <c r="Z595" i="60" s="1"/>
  <c r="L606" i="60"/>
  <c r="AA606" i="60" s="1"/>
  <c r="H606" i="60"/>
  <c r="W606" i="60" s="1"/>
  <c r="K606" i="60"/>
  <c r="Z606" i="60" s="1"/>
  <c r="G606" i="60"/>
  <c r="V606" i="60" s="1"/>
  <c r="N606" i="60"/>
  <c r="AC606" i="60" s="1"/>
  <c r="J606" i="60"/>
  <c r="Y606" i="60" s="1"/>
  <c r="F606" i="60"/>
  <c r="U606" i="60" s="1"/>
  <c r="I606" i="60"/>
  <c r="X606" i="60" s="1"/>
  <c r="E606" i="60"/>
  <c r="T606" i="60" s="1"/>
  <c r="M606" i="60"/>
  <c r="AB606" i="60" s="1"/>
  <c r="L598" i="60"/>
  <c r="H598" i="60"/>
  <c r="W598" i="60" s="1"/>
  <c r="K598" i="60"/>
  <c r="Z598" i="60" s="1"/>
  <c r="G598" i="60"/>
  <c r="N598" i="60"/>
  <c r="J598" i="60"/>
  <c r="Y598" i="60" s="1"/>
  <c r="F598" i="60"/>
  <c r="I598" i="60"/>
  <c r="X598" i="60" s="1"/>
  <c r="E598" i="60"/>
  <c r="M598" i="60"/>
  <c r="AB598" i="60" s="1"/>
  <c r="M526" i="60"/>
  <c r="I526" i="60"/>
  <c r="X526" i="60" s="1"/>
  <c r="E526" i="60"/>
  <c r="L526" i="60"/>
  <c r="AA526" i="60" s="1"/>
  <c r="H526" i="60"/>
  <c r="K526" i="60"/>
  <c r="Z526" i="60" s="1"/>
  <c r="G526" i="60"/>
  <c r="J526" i="60"/>
  <c r="Y526" i="60" s="1"/>
  <c r="F526" i="60"/>
  <c r="U526" i="60" s="1"/>
  <c r="N526" i="60"/>
  <c r="AC526" i="60" s="1"/>
  <c r="K540" i="60"/>
  <c r="G540" i="60"/>
  <c r="V540" i="60" s="1"/>
  <c r="N540" i="60"/>
  <c r="J540" i="60"/>
  <c r="F540" i="60"/>
  <c r="M540" i="60"/>
  <c r="AB540" i="60" s="1"/>
  <c r="I540" i="60"/>
  <c r="E540" i="60"/>
  <c r="T540" i="60" s="1"/>
  <c r="L540" i="60"/>
  <c r="H540" i="60"/>
  <c r="W540" i="60" s="1"/>
  <c r="N605" i="60"/>
  <c r="J605" i="60"/>
  <c r="F605" i="60"/>
  <c r="U605" i="60" s="1"/>
  <c r="M605" i="60"/>
  <c r="AB605" i="60" s="1"/>
  <c r="I605" i="60"/>
  <c r="X605" i="60" s="1"/>
  <c r="E605" i="60"/>
  <c r="L605" i="60"/>
  <c r="AA605" i="60" s="1"/>
  <c r="H605" i="60"/>
  <c r="W605" i="60" s="1"/>
  <c r="K605" i="60"/>
  <c r="G605" i="60"/>
  <c r="N611" i="60"/>
  <c r="AC611" i="60" s="1"/>
  <c r="J611" i="60"/>
  <c r="F611" i="60"/>
  <c r="U611" i="60" s="1"/>
  <c r="M611" i="60"/>
  <c r="AB611" i="60" s="1"/>
  <c r="I611" i="60"/>
  <c r="X611" i="60" s="1"/>
  <c r="E611" i="60"/>
  <c r="L611" i="60"/>
  <c r="H611" i="60"/>
  <c r="G611" i="60"/>
  <c r="K611" i="60"/>
  <c r="M577" i="60"/>
  <c r="I577" i="60"/>
  <c r="X577" i="60" s="1"/>
  <c r="E577" i="60"/>
  <c r="T577" i="60" s="1"/>
  <c r="L577" i="60"/>
  <c r="H577" i="60"/>
  <c r="W577" i="60" s="1"/>
  <c r="K577" i="60"/>
  <c r="G577" i="60"/>
  <c r="V577" i="60" s="1"/>
  <c r="J577" i="60"/>
  <c r="Y577" i="60" s="1"/>
  <c r="F577" i="60"/>
  <c r="U577" i="60" s="1"/>
  <c r="N577" i="60"/>
  <c r="AC577" i="60" s="1"/>
  <c r="M579" i="60"/>
  <c r="AB579" i="60" s="1"/>
  <c r="I579" i="60"/>
  <c r="X579" i="60" s="1"/>
  <c r="E579" i="60"/>
  <c r="L579" i="60"/>
  <c r="AA579" i="60" s="1"/>
  <c r="H579" i="60"/>
  <c r="W579" i="60" s="1"/>
  <c r="K579" i="60"/>
  <c r="Z579" i="60" s="1"/>
  <c r="G579" i="60"/>
  <c r="F579" i="60"/>
  <c r="N579" i="60"/>
  <c r="J579" i="60"/>
  <c r="Y579" i="60" s="1"/>
  <c r="M569" i="60"/>
  <c r="AB569" i="60" s="1"/>
  <c r="I569" i="60"/>
  <c r="E569" i="60"/>
  <c r="T569" i="60" s="1"/>
  <c r="L569" i="60"/>
  <c r="AA569" i="60" s="1"/>
  <c r="H569" i="60"/>
  <c r="K569" i="60"/>
  <c r="Z569" i="60" s="1"/>
  <c r="G569" i="60"/>
  <c r="V569" i="60" s="1"/>
  <c r="J569" i="60"/>
  <c r="Y569" i="60" s="1"/>
  <c r="F569" i="60"/>
  <c r="U569" i="60" s="1"/>
  <c r="N569" i="60"/>
  <c r="N601" i="60"/>
  <c r="AC601" i="60" s="1"/>
  <c r="J601" i="60"/>
  <c r="Y601" i="60" s="1"/>
  <c r="F601" i="60"/>
  <c r="M601" i="60"/>
  <c r="AB601" i="60" s="1"/>
  <c r="I601" i="60"/>
  <c r="X601" i="60" s="1"/>
  <c r="E601" i="60"/>
  <c r="L601" i="60"/>
  <c r="H601" i="60"/>
  <c r="W601" i="60" s="1"/>
  <c r="K601" i="60"/>
  <c r="G601" i="60"/>
  <c r="V601" i="60" s="1"/>
  <c r="K552" i="60"/>
  <c r="G552" i="60"/>
  <c r="V552" i="60" s="1"/>
  <c r="N552" i="60"/>
  <c r="AC552" i="60" s="1"/>
  <c r="J552" i="60"/>
  <c r="F552" i="60"/>
  <c r="M552" i="60"/>
  <c r="AB552" i="60" s="1"/>
  <c r="I552" i="60"/>
  <c r="E552" i="60"/>
  <c r="T552" i="60" s="1"/>
  <c r="L552" i="60"/>
  <c r="AA552" i="60" s="1"/>
  <c r="H552" i="60"/>
  <c r="W552" i="60" s="1"/>
  <c r="N609" i="60"/>
  <c r="AC609" i="60" s="1"/>
  <c r="J609" i="60"/>
  <c r="F609" i="60"/>
  <c r="M609" i="60"/>
  <c r="I609" i="60"/>
  <c r="X609" i="60" s="1"/>
  <c r="E609" i="60"/>
  <c r="T609" i="60" s="1"/>
  <c r="L609" i="60"/>
  <c r="H609" i="60"/>
  <c r="W609" i="60" s="1"/>
  <c r="K609" i="60"/>
  <c r="Z609" i="60" s="1"/>
  <c r="G609" i="60"/>
  <c r="V609" i="60" s="1"/>
  <c r="M549" i="60"/>
  <c r="AB549" i="60" s="1"/>
  <c r="I549" i="60"/>
  <c r="X549" i="60" s="1"/>
  <c r="E549" i="60"/>
  <c r="T549" i="60" s="1"/>
  <c r="L549" i="60"/>
  <c r="H549" i="60"/>
  <c r="K549" i="60"/>
  <c r="Z549" i="60" s="1"/>
  <c r="G549" i="60"/>
  <c r="V549" i="60" s="1"/>
  <c r="N549" i="60"/>
  <c r="J549" i="60"/>
  <c r="F549" i="60"/>
  <c r="N625" i="60"/>
  <c r="AC625" i="60" s="1"/>
  <c r="J625" i="60"/>
  <c r="Y625" i="60" s="1"/>
  <c r="F625" i="60"/>
  <c r="U625" i="60" s="1"/>
  <c r="M625" i="60"/>
  <c r="AB625" i="60" s="1"/>
  <c r="I625" i="60"/>
  <c r="X625" i="60" s="1"/>
  <c r="E625" i="60"/>
  <c r="T625" i="60" s="1"/>
  <c r="L625" i="60"/>
  <c r="AA625" i="60" s="1"/>
  <c r="H625" i="60"/>
  <c r="W625" i="60" s="1"/>
  <c r="K625" i="60"/>
  <c r="Z625" i="60" s="1"/>
  <c r="G625" i="60"/>
  <c r="V625" i="60" s="1"/>
  <c r="M591" i="60"/>
  <c r="AB591" i="60" s="1"/>
  <c r="L591" i="60"/>
  <c r="AA591" i="60" s="1"/>
  <c r="I591" i="60"/>
  <c r="X591" i="60" s="1"/>
  <c r="E591" i="60"/>
  <c r="N591" i="60"/>
  <c r="AC591" i="60" s="1"/>
  <c r="H591" i="60"/>
  <c r="K591" i="60"/>
  <c r="Z591" i="60" s="1"/>
  <c r="G591" i="60"/>
  <c r="V591" i="60" s="1"/>
  <c r="J591" i="60"/>
  <c r="F591" i="60"/>
  <c r="U591" i="60" s="1"/>
  <c r="M581" i="60"/>
  <c r="AB581" i="60" s="1"/>
  <c r="I581" i="60"/>
  <c r="X581" i="60" s="1"/>
  <c r="E581" i="60"/>
  <c r="T581" i="60" s="1"/>
  <c r="L581" i="60"/>
  <c r="H581" i="60"/>
  <c r="W581" i="60" s="1"/>
  <c r="K581" i="60"/>
  <c r="Z581" i="60" s="1"/>
  <c r="G581" i="60"/>
  <c r="V581" i="60" s="1"/>
  <c r="N581" i="60"/>
  <c r="J581" i="60"/>
  <c r="Y581" i="60" s="1"/>
  <c r="F581" i="60"/>
  <c r="U581" i="60" s="1"/>
  <c r="M571" i="60"/>
  <c r="I571" i="60"/>
  <c r="X571" i="60" s="1"/>
  <c r="E571" i="60"/>
  <c r="T571" i="60" s="1"/>
  <c r="L571" i="60"/>
  <c r="H571" i="60"/>
  <c r="K571" i="60"/>
  <c r="Z571" i="60" s="1"/>
  <c r="G571" i="60"/>
  <c r="V571" i="60" s="1"/>
  <c r="F571" i="60"/>
  <c r="U571" i="60" s="1"/>
  <c r="N571" i="60"/>
  <c r="AC571" i="60" s="1"/>
  <c r="J571" i="60"/>
  <c r="M539" i="60"/>
  <c r="AB539" i="60" s="1"/>
  <c r="I539" i="60"/>
  <c r="X539" i="60" s="1"/>
  <c r="E539" i="60"/>
  <c r="L539" i="60"/>
  <c r="AA539" i="60" s="1"/>
  <c r="K539" i="60"/>
  <c r="G539" i="60"/>
  <c r="F539" i="60"/>
  <c r="U539" i="60" s="1"/>
  <c r="N539" i="60"/>
  <c r="AC539" i="60" s="1"/>
  <c r="J539" i="60"/>
  <c r="N603" i="60"/>
  <c r="AC603" i="60" s="1"/>
  <c r="J603" i="60"/>
  <c r="Y603" i="60" s="1"/>
  <c r="F603" i="60"/>
  <c r="M603" i="60"/>
  <c r="I603" i="60"/>
  <c r="E603" i="60"/>
  <c r="T603" i="60" s="1"/>
  <c r="L603" i="60"/>
  <c r="AA603" i="60" s="1"/>
  <c r="H603" i="60"/>
  <c r="G603" i="60"/>
  <c r="K603" i="60"/>
  <c r="Z603" i="60" s="1"/>
  <c r="M565" i="60"/>
  <c r="AB565" i="60" s="1"/>
  <c r="I565" i="60"/>
  <c r="E565" i="60"/>
  <c r="T565" i="60" s="1"/>
  <c r="L565" i="60"/>
  <c r="H565" i="60"/>
  <c r="W565" i="60" s="1"/>
  <c r="K565" i="60"/>
  <c r="G565" i="60"/>
  <c r="N565" i="60"/>
  <c r="J565" i="60"/>
  <c r="Y565" i="60" s="1"/>
  <c r="F565" i="60"/>
  <c r="K529" i="60"/>
  <c r="Z529" i="60" s="1"/>
  <c r="G529" i="60"/>
  <c r="V529" i="60" s="1"/>
  <c r="N529" i="60"/>
  <c r="AC529" i="60" s="1"/>
  <c r="J529" i="60"/>
  <c r="F529" i="60"/>
  <c r="U529" i="60" s="1"/>
  <c r="M529" i="60"/>
  <c r="I529" i="60"/>
  <c r="X529" i="60" s="1"/>
  <c r="L529" i="60"/>
  <c r="H529" i="60"/>
  <c r="W529" i="60" s="1"/>
  <c r="M567" i="60"/>
  <c r="AB567" i="60" s="1"/>
  <c r="I567" i="60"/>
  <c r="X567" i="60" s="1"/>
  <c r="E567" i="60"/>
  <c r="L567" i="60"/>
  <c r="AA567" i="60" s="1"/>
  <c r="H567" i="60"/>
  <c r="W567" i="60" s="1"/>
  <c r="K567" i="60"/>
  <c r="G567" i="60"/>
  <c r="N567" i="60"/>
  <c r="AC567" i="60" s="1"/>
  <c r="J567" i="60"/>
  <c r="Y567" i="60" s="1"/>
  <c r="F567" i="60"/>
  <c r="M528" i="60"/>
  <c r="AB528" i="60" s="1"/>
  <c r="I528" i="60"/>
  <c r="X528" i="60" s="1"/>
  <c r="E528" i="60"/>
  <c r="T528" i="60" s="1"/>
  <c r="L528" i="60"/>
  <c r="AA528" i="60" s="1"/>
  <c r="H528" i="60"/>
  <c r="W528" i="60" s="1"/>
  <c r="K528" i="60"/>
  <c r="Z528" i="60" s="1"/>
  <c r="G528" i="60"/>
  <c r="V528" i="60" s="1"/>
  <c r="F528" i="60"/>
  <c r="U528" i="60" s="1"/>
  <c r="N528" i="60"/>
  <c r="AC528" i="60" s="1"/>
  <c r="J528" i="60"/>
  <c r="Y528" i="60" s="1"/>
  <c r="K588" i="60"/>
  <c r="Z588" i="60" s="1"/>
  <c r="G588" i="60"/>
  <c r="V588" i="60" s="1"/>
  <c r="N588" i="60"/>
  <c r="AC588" i="60" s="1"/>
  <c r="J588" i="60"/>
  <c r="Y588" i="60" s="1"/>
  <c r="F588" i="60"/>
  <c r="U588" i="60" s="1"/>
  <c r="M588" i="60"/>
  <c r="AB588" i="60" s="1"/>
  <c r="I588" i="60"/>
  <c r="X588" i="60" s="1"/>
  <c r="E588" i="60"/>
  <c r="T588" i="60" s="1"/>
  <c r="L588" i="60"/>
  <c r="AA588" i="60" s="1"/>
  <c r="H588" i="60"/>
  <c r="W588" i="60" s="1"/>
  <c r="M573" i="60"/>
  <c r="AB573" i="60" s="1"/>
  <c r="I573" i="60"/>
  <c r="X573" i="60" s="1"/>
  <c r="E573" i="60"/>
  <c r="T573" i="60" s="1"/>
  <c r="L573" i="60"/>
  <c r="AA573" i="60" s="1"/>
  <c r="H573" i="60"/>
  <c r="W573" i="60" s="1"/>
  <c r="K573" i="60"/>
  <c r="Z573" i="60" s="1"/>
  <c r="G573" i="60"/>
  <c r="V573" i="60" s="1"/>
  <c r="N573" i="60"/>
  <c r="AC573" i="60" s="1"/>
  <c r="J573" i="60"/>
  <c r="Y573" i="60" s="1"/>
  <c r="F573" i="60"/>
  <c r="U573" i="60" s="1"/>
  <c r="N615" i="60"/>
  <c r="AC615" i="60" s="1"/>
  <c r="J615" i="60"/>
  <c r="Y615" i="60" s="1"/>
  <c r="F615" i="60"/>
  <c r="U615" i="60" s="1"/>
  <c r="M615" i="60"/>
  <c r="AB615" i="60" s="1"/>
  <c r="I615" i="60"/>
  <c r="X615" i="60" s="1"/>
  <c r="E615" i="60"/>
  <c r="T615" i="60" s="1"/>
  <c r="L615" i="60"/>
  <c r="AA615" i="60" s="1"/>
  <c r="H615" i="60"/>
  <c r="W615" i="60" s="1"/>
  <c r="K615" i="60"/>
  <c r="Z615" i="60" s="1"/>
  <c r="G615" i="60"/>
  <c r="V615" i="60" s="1"/>
  <c r="M555" i="60"/>
  <c r="I555" i="60"/>
  <c r="X555" i="60" s="1"/>
  <c r="E555" i="60"/>
  <c r="L555" i="60"/>
  <c r="AA555" i="60" s="1"/>
  <c r="H555" i="60"/>
  <c r="W555" i="60" s="1"/>
  <c r="K555" i="60"/>
  <c r="Z555" i="60" s="1"/>
  <c r="G555" i="60"/>
  <c r="V555" i="60" s="1"/>
  <c r="F555" i="60"/>
  <c r="U555" i="60" s="1"/>
  <c r="N555" i="60"/>
  <c r="J555" i="60"/>
  <c r="Y555" i="60" s="1"/>
  <c r="M563" i="60"/>
  <c r="AB563" i="60" s="1"/>
  <c r="I563" i="60"/>
  <c r="X563" i="60" s="1"/>
  <c r="E563" i="60"/>
  <c r="T563" i="60" s="1"/>
  <c r="L563" i="60"/>
  <c r="AA563" i="60" s="1"/>
  <c r="H563" i="60"/>
  <c r="W563" i="60" s="1"/>
  <c r="K563" i="60"/>
  <c r="Z563" i="60" s="1"/>
  <c r="G563" i="60"/>
  <c r="V563" i="60" s="1"/>
  <c r="F563" i="60"/>
  <c r="U563" i="60" s="1"/>
  <c r="N563" i="60"/>
  <c r="AC563" i="60" s="1"/>
  <c r="J563" i="60"/>
  <c r="Y563" i="60" s="1"/>
  <c r="N599" i="60"/>
  <c r="AC599" i="60" s="1"/>
  <c r="J599" i="60"/>
  <c r="Y599" i="60" s="1"/>
  <c r="F599" i="60"/>
  <c r="U599" i="60" s="1"/>
  <c r="M599" i="60"/>
  <c r="AB599" i="60" s="1"/>
  <c r="I599" i="60"/>
  <c r="X599" i="60" s="1"/>
  <c r="E599" i="60"/>
  <c r="T599" i="60" s="1"/>
  <c r="L599" i="60"/>
  <c r="AA599" i="60" s="1"/>
  <c r="H599" i="60"/>
  <c r="W599" i="60" s="1"/>
  <c r="K599" i="60"/>
  <c r="Z599" i="60" s="1"/>
  <c r="G599" i="60"/>
  <c r="V599" i="60" s="1"/>
  <c r="M553" i="60"/>
  <c r="AB553" i="60" s="1"/>
  <c r="I553" i="60"/>
  <c r="X553" i="60" s="1"/>
  <c r="E553" i="60"/>
  <c r="T553" i="60" s="1"/>
  <c r="L553" i="60"/>
  <c r="H553" i="60"/>
  <c r="K553" i="60"/>
  <c r="Z553" i="60" s="1"/>
  <c r="G553" i="60"/>
  <c r="J553" i="60"/>
  <c r="F553" i="60"/>
  <c r="U553" i="60" s="1"/>
  <c r="N553" i="60"/>
  <c r="AC553" i="60" s="1"/>
  <c r="M522" i="60"/>
  <c r="I522" i="60"/>
  <c r="E522" i="60"/>
  <c r="T522" i="60" s="1"/>
  <c r="L522" i="60"/>
  <c r="AA522" i="60" s="1"/>
  <c r="H522" i="60"/>
  <c r="K522" i="60"/>
  <c r="G522" i="60"/>
  <c r="V522" i="60" s="1"/>
  <c r="N522" i="60"/>
  <c r="AC522" i="60" s="1"/>
  <c r="J522" i="60"/>
  <c r="F522" i="60"/>
  <c r="N607" i="60"/>
  <c r="J607" i="60"/>
  <c r="Y607" i="60" s="1"/>
  <c r="F607" i="60"/>
  <c r="U607" i="60" s="1"/>
  <c r="M607" i="60"/>
  <c r="I607" i="60"/>
  <c r="X607" i="60" s="1"/>
  <c r="E607" i="60"/>
  <c r="T607" i="60" s="1"/>
  <c r="L607" i="60"/>
  <c r="H607" i="60"/>
  <c r="K607" i="60"/>
  <c r="Z607" i="60" s="1"/>
  <c r="G607" i="60"/>
  <c r="V607" i="60" s="1"/>
  <c r="N597" i="60"/>
  <c r="J597" i="60"/>
  <c r="Y597" i="60" s="1"/>
  <c r="F597" i="60"/>
  <c r="M597" i="60"/>
  <c r="AB597" i="60" s="1"/>
  <c r="I597" i="60"/>
  <c r="X597" i="60" s="1"/>
  <c r="E597" i="60"/>
  <c r="T597" i="60" s="1"/>
  <c r="L597" i="60"/>
  <c r="AA597" i="60" s="1"/>
  <c r="H597" i="60"/>
  <c r="W597" i="60" s="1"/>
  <c r="K597" i="60"/>
  <c r="G597" i="60"/>
  <c r="V597" i="60" s="1"/>
  <c r="N621" i="60"/>
  <c r="AC621" i="60" s="1"/>
  <c r="J621" i="60"/>
  <c r="Y621" i="60" s="1"/>
  <c r="F621" i="60"/>
  <c r="M621" i="60"/>
  <c r="I621" i="60"/>
  <c r="L621" i="60"/>
  <c r="H621" i="60"/>
  <c r="K621" i="60"/>
  <c r="G621" i="60"/>
  <c r="V621" i="60" s="1"/>
  <c r="L618" i="60"/>
  <c r="AA618" i="60" s="1"/>
  <c r="H618" i="60"/>
  <c r="W618" i="60" s="1"/>
  <c r="K618" i="60"/>
  <c r="N618" i="60"/>
  <c r="AC618" i="60" s="1"/>
  <c r="J618" i="60"/>
  <c r="Y618" i="60" s="1"/>
  <c r="F618" i="60"/>
  <c r="U618" i="60" s="1"/>
  <c r="M618" i="60"/>
  <c r="AB618" i="60" s="1"/>
  <c r="I618" i="60"/>
  <c r="X618" i="60" s="1"/>
  <c r="M537" i="60"/>
  <c r="AB537" i="60" s="1"/>
  <c r="I537" i="60"/>
  <c r="X537" i="60" s="1"/>
  <c r="E537" i="60"/>
  <c r="T537" i="60" s="1"/>
  <c r="L537" i="60"/>
  <c r="AA537" i="60" s="1"/>
  <c r="H537" i="60"/>
  <c r="W537" i="60" s="1"/>
  <c r="K537" i="60"/>
  <c r="Z537" i="60" s="1"/>
  <c r="G537" i="60"/>
  <c r="V537" i="60" s="1"/>
  <c r="J537" i="60"/>
  <c r="Y537" i="60" s="1"/>
  <c r="F537" i="60"/>
  <c r="U537" i="60" s="1"/>
  <c r="N537" i="60"/>
  <c r="AC537" i="60" s="1"/>
  <c r="K531" i="60"/>
  <c r="G531" i="60"/>
  <c r="V531" i="60" s="1"/>
  <c r="N531" i="60"/>
  <c r="AC531" i="60" s="1"/>
  <c r="J531" i="60"/>
  <c r="Y531" i="60" s="1"/>
  <c r="F531" i="60"/>
  <c r="U531" i="60" s="1"/>
  <c r="M531" i="60"/>
  <c r="AB531" i="60" s="1"/>
  <c r="I531" i="60"/>
  <c r="E531" i="60"/>
  <c r="T531" i="60" s="1"/>
  <c r="H531" i="60"/>
  <c r="W531" i="60" s="1"/>
  <c r="L531" i="60"/>
  <c r="AA531" i="60" s="1"/>
  <c r="N613" i="60"/>
  <c r="AC613" i="60" s="1"/>
  <c r="J613" i="60"/>
  <c r="Y613" i="60" s="1"/>
  <c r="F613" i="60"/>
  <c r="U613" i="60" s="1"/>
  <c r="M613" i="60"/>
  <c r="AB613" i="60" s="1"/>
  <c r="I613" i="60"/>
  <c r="X613" i="60" s="1"/>
  <c r="E613" i="60"/>
  <c r="T613" i="60" s="1"/>
  <c r="L613" i="60"/>
  <c r="AA613" i="60" s="1"/>
  <c r="H613" i="60"/>
  <c r="W613" i="60" s="1"/>
  <c r="K613" i="60"/>
  <c r="Z613" i="60" s="1"/>
  <c r="G613" i="60"/>
  <c r="V613" i="60" s="1"/>
  <c r="M547" i="60"/>
  <c r="AB547" i="60" s="1"/>
  <c r="I547" i="60"/>
  <c r="X547" i="60" s="1"/>
  <c r="E547" i="60"/>
  <c r="T547" i="60" s="1"/>
  <c r="L547" i="60"/>
  <c r="AA547" i="60" s="1"/>
  <c r="H547" i="60"/>
  <c r="W547" i="60" s="1"/>
  <c r="K547" i="60"/>
  <c r="Z547" i="60" s="1"/>
  <c r="G547" i="60"/>
  <c r="V547" i="60" s="1"/>
  <c r="F547" i="60"/>
  <c r="U547" i="60" s="1"/>
  <c r="N547" i="60"/>
  <c r="AC547" i="60" s="1"/>
  <c r="J547" i="60"/>
  <c r="Y547" i="60" s="1"/>
  <c r="M557" i="60"/>
  <c r="AB557" i="60" s="1"/>
  <c r="I557" i="60"/>
  <c r="X557" i="60" s="1"/>
  <c r="E557" i="60"/>
  <c r="L557" i="60"/>
  <c r="AA557" i="60" s="1"/>
  <c r="H557" i="60"/>
  <c r="W557" i="60" s="1"/>
  <c r="K557" i="60"/>
  <c r="Z557" i="60" s="1"/>
  <c r="G557" i="60"/>
  <c r="N557" i="60"/>
  <c r="AC557" i="60" s="1"/>
  <c r="J557" i="60"/>
  <c r="Y557" i="60" s="1"/>
  <c r="F557" i="60"/>
  <c r="U557" i="60" s="1"/>
  <c r="K532" i="60"/>
  <c r="Z532" i="60" s="1"/>
  <c r="N532" i="60"/>
  <c r="AC532" i="60" s="1"/>
  <c r="J532" i="60"/>
  <c r="Y532" i="60" s="1"/>
  <c r="M532" i="60"/>
  <c r="AB532" i="60" s="1"/>
  <c r="I532" i="60"/>
  <c r="L532" i="60"/>
  <c r="AA532" i="60" s="1"/>
  <c r="E532" i="60"/>
  <c r="T532" i="60" s="1"/>
  <c r="H532" i="60"/>
  <c r="W532" i="60" s="1"/>
  <c r="G532" i="60"/>
  <c r="V532" i="60" s="1"/>
  <c r="F532" i="60"/>
  <c r="U532" i="60" s="1"/>
  <c r="K580" i="60"/>
  <c r="Z580" i="60" s="1"/>
  <c r="G580" i="60"/>
  <c r="V580" i="60" s="1"/>
  <c r="N580" i="60"/>
  <c r="AC580" i="60" s="1"/>
  <c r="J580" i="60"/>
  <c r="Y580" i="60" s="1"/>
  <c r="F580" i="60"/>
  <c r="U580" i="60" s="1"/>
  <c r="M580" i="60"/>
  <c r="AB580" i="60" s="1"/>
  <c r="I580" i="60"/>
  <c r="X580" i="60" s="1"/>
  <c r="E580" i="60"/>
  <c r="T580" i="60" s="1"/>
  <c r="L580" i="60"/>
  <c r="AA580" i="60" s="1"/>
  <c r="H580" i="60"/>
  <c r="W580" i="60" s="1"/>
  <c r="T6" i="56"/>
  <c r="M6" i="56"/>
  <c r="S6" i="56"/>
  <c r="L6" i="56"/>
  <c r="V6" i="56"/>
  <c r="R6" i="56"/>
  <c r="O6" i="56"/>
  <c r="K6" i="56"/>
  <c r="U6" i="56"/>
  <c r="Q6" i="56"/>
  <c r="N6" i="56"/>
  <c r="J6" i="56"/>
  <c r="Q6" i="57"/>
  <c r="K6" i="57"/>
  <c r="F6" i="57" s="1"/>
  <c r="P6" i="57"/>
  <c r="J6" i="57"/>
  <c r="O6" i="57"/>
  <c r="I6" i="57"/>
  <c r="N6" i="57"/>
  <c r="H6" i="57"/>
  <c r="C6" i="57" s="1"/>
  <c r="V7" i="56"/>
  <c r="R7" i="56"/>
  <c r="O7" i="56"/>
  <c r="K7" i="56"/>
  <c r="U7" i="56"/>
  <c r="Q7" i="56"/>
  <c r="N7" i="56"/>
  <c r="J7" i="56"/>
  <c r="C7" i="56" s="1"/>
  <c r="T7" i="56"/>
  <c r="M7" i="56"/>
  <c r="S7" i="56"/>
  <c r="L7" i="56"/>
  <c r="T8" i="56"/>
  <c r="M8" i="56"/>
  <c r="S8" i="56"/>
  <c r="L8" i="56"/>
  <c r="V8" i="56"/>
  <c r="R8" i="56"/>
  <c r="O8" i="56"/>
  <c r="K8" i="56"/>
  <c r="U8" i="56"/>
  <c r="Q8" i="56"/>
  <c r="N8" i="56"/>
  <c r="J8" i="56"/>
  <c r="V9" i="56"/>
  <c r="R9" i="56"/>
  <c r="O9" i="56"/>
  <c r="K9" i="56"/>
  <c r="U9" i="56"/>
  <c r="Q9" i="56"/>
  <c r="N9" i="56"/>
  <c r="J9" i="56"/>
  <c r="T9" i="56"/>
  <c r="M9" i="56"/>
  <c r="S9" i="56"/>
  <c r="L9" i="56"/>
  <c r="Q5" i="57"/>
  <c r="K5" i="57"/>
  <c r="P5" i="57"/>
  <c r="J5" i="57"/>
  <c r="O5" i="57"/>
  <c r="I5" i="57"/>
  <c r="N5" i="57"/>
  <c r="H5" i="57"/>
  <c r="S357" i="60"/>
  <c r="C461" i="60"/>
  <c r="R516" i="60"/>
  <c r="B620" i="60"/>
  <c r="R620" i="60" s="1"/>
  <c r="B619" i="60"/>
  <c r="R619" i="60" s="1"/>
  <c r="R515" i="60"/>
  <c r="B583" i="60"/>
  <c r="R583" i="60" s="1"/>
  <c r="R479" i="60"/>
  <c r="B576" i="60"/>
  <c r="R576" i="60" s="1"/>
  <c r="R472" i="60"/>
  <c r="AB622" i="60"/>
  <c r="X622" i="60"/>
  <c r="T622" i="60"/>
  <c r="AA622" i="60"/>
  <c r="W622" i="60"/>
  <c r="Z622" i="60"/>
  <c r="V622" i="60"/>
  <c r="U622" i="60"/>
  <c r="Y622" i="60"/>
  <c r="R458" i="60"/>
  <c r="B562" i="60"/>
  <c r="R562" i="60" s="1"/>
  <c r="R486" i="60"/>
  <c r="B590" i="60"/>
  <c r="R590" i="60" s="1"/>
  <c r="B568" i="60"/>
  <c r="R568" i="60" s="1"/>
  <c r="R464" i="60"/>
  <c r="R494" i="60"/>
  <c r="B598" i="60"/>
  <c r="R598" i="60" s="1"/>
  <c r="Y609" i="60"/>
  <c r="U609" i="60"/>
  <c r="AB609" i="60"/>
  <c r="AA609" i="60"/>
  <c r="S165" i="60"/>
  <c r="C373" i="60"/>
  <c r="C269" i="60"/>
  <c r="S269" i="60" s="1"/>
  <c r="S103" i="60"/>
  <c r="C207" i="60"/>
  <c r="B544" i="60"/>
  <c r="R544" i="60" s="1"/>
  <c r="R440" i="60"/>
  <c r="S364" i="60"/>
  <c r="C468" i="60"/>
  <c r="B571" i="60"/>
  <c r="R571" i="60" s="1"/>
  <c r="R467" i="60"/>
  <c r="B555" i="60"/>
  <c r="R555" i="60" s="1"/>
  <c r="R451" i="60"/>
  <c r="S187" i="60"/>
  <c r="C291" i="60"/>
  <c r="S291" i="60" s="1"/>
  <c r="C395" i="60"/>
  <c r="S365" i="60"/>
  <c r="C469" i="60"/>
  <c r="R508" i="60"/>
  <c r="B612" i="60"/>
  <c r="R612" i="60" s="1"/>
  <c r="R514" i="60"/>
  <c r="B618" i="60"/>
  <c r="R618" i="60" s="1"/>
  <c r="Z605" i="60"/>
  <c r="V605" i="60"/>
  <c r="AC605" i="60"/>
  <c r="Y605" i="60"/>
  <c r="T605" i="60"/>
  <c r="R500" i="60"/>
  <c r="B604" i="60"/>
  <c r="R604" i="60" s="1"/>
  <c r="Z611" i="60"/>
  <c r="V611" i="60"/>
  <c r="Y611" i="60"/>
  <c r="T611" i="60"/>
  <c r="AA611" i="60"/>
  <c r="W611" i="60"/>
  <c r="C456" i="60"/>
  <c r="S352" i="60"/>
  <c r="S170" i="60"/>
  <c r="C378" i="60"/>
  <c r="C274" i="60"/>
  <c r="S274" i="60" s="1"/>
  <c r="B547" i="60"/>
  <c r="R547" i="60" s="1"/>
  <c r="R443" i="60"/>
  <c r="S95" i="60"/>
  <c r="C199" i="60"/>
  <c r="Z577" i="60"/>
  <c r="AB577" i="60"/>
  <c r="AA577" i="60"/>
  <c r="Z619" i="60"/>
  <c r="V619" i="60"/>
  <c r="AC619" i="60"/>
  <c r="U619" i="60"/>
  <c r="AB619" i="60"/>
  <c r="X619" i="60"/>
  <c r="AA619" i="60"/>
  <c r="W619" i="60"/>
  <c r="R513" i="60"/>
  <c r="B617" i="60"/>
  <c r="R617" i="60" s="1"/>
  <c r="W614" i="60"/>
  <c r="R453" i="60"/>
  <c r="B557" i="60"/>
  <c r="R557" i="60" s="1"/>
  <c r="B543" i="60"/>
  <c r="R543" i="60" s="1"/>
  <c r="R439" i="60"/>
  <c r="B559" i="60"/>
  <c r="R559" i="60" s="1"/>
  <c r="R455" i="60"/>
  <c r="R510" i="60"/>
  <c r="B614" i="60"/>
  <c r="R614" i="60" s="1"/>
  <c r="S164" i="60"/>
  <c r="C268" i="60"/>
  <c r="S268" i="60" s="1"/>
  <c r="C372" i="60"/>
  <c r="AC569" i="60"/>
  <c r="X569" i="60"/>
  <c r="W569" i="60"/>
  <c r="S159" i="60"/>
  <c r="C263" i="60"/>
  <c r="S263" i="60" s="1"/>
  <c r="C367" i="60"/>
  <c r="AB592" i="60"/>
  <c r="X592" i="60"/>
  <c r="AA592" i="60"/>
  <c r="W592" i="60"/>
  <c r="Z592" i="60"/>
  <c r="AC592" i="60"/>
  <c r="Y592" i="60"/>
  <c r="U592" i="60"/>
  <c r="AB616" i="60"/>
  <c r="X616" i="60"/>
  <c r="T616" i="60"/>
  <c r="AA616" i="60"/>
  <c r="Z616" i="60"/>
  <c r="V616" i="60"/>
  <c r="AC616" i="60"/>
  <c r="U616" i="60"/>
  <c r="B592" i="60"/>
  <c r="R592" i="60" s="1"/>
  <c r="R488" i="60"/>
  <c r="X552" i="60"/>
  <c r="Z552" i="60"/>
  <c r="Y552" i="60"/>
  <c r="U552" i="60"/>
  <c r="B563" i="60"/>
  <c r="R563" i="60" s="1"/>
  <c r="R459" i="60"/>
  <c r="R446" i="60"/>
  <c r="B550" i="60"/>
  <c r="R550" i="60" s="1"/>
  <c r="R466" i="60"/>
  <c r="B570" i="60"/>
  <c r="R570" i="60" s="1"/>
  <c r="B529" i="60"/>
  <c r="R529" i="60" s="1"/>
  <c r="R425" i="60"/>
  <c r="S93" i="60"/>
  <c r="C197" i="60"/>
  <c r="S105" i="60"/>
  <c r="C209" i="60"/>
  <c r="Z597" i="60"/>
  <c r="AC597" i="60"/>
  <c r="U597" i="60"/>
  <c r="B532" i="60"/>
  <c r="R532" i="60" s="1"/>
  <c r="R428" i="60"/>
  <c r="S351" i="60"/>
  <c r="C455" i="60"/>
  <c r="S87" i="60"/>
  <c r="C191" i="60"/>
  <c r="S346" i="60"/>
  <c r="C450" i="60"/>
  <c r="S172" i="60"/>
  <c r="C276" i="60"/>
  <c r="S276" i="60" s="1"/>
  <c r="C380" i="60"/>
  <c r="B536" i="60"/>
  <c r="R536" i="60" s="1"/>
  <c r="R432" i="60"/>
  <c r="AC549" i="60"/>
  <c r="Y549" i="60"/>
  <c r="U549" i="60"/>
  <c r="AA549" i="60"/>
  <c r="W549" i="60"/>
  <c r="R498" i="60"/>
  <c r="B602" i="60"/>
  <c r="R602" i="60" s="1"/>
  <c r="Z531" i="60"/>
  <c r="X531" i="60"/>
  <c r="R478" i="60"/>
  <c r="B582" i="60"/>
  <c r="R582" i="60" s="1"/>
  <c r="R474" i="60"/>
  <c r="B578" i="60"/>
  <c r="R578" i="60" s="1"/>
  <c r="S342" i="60"/>
  <c r="C446" i="60"/>
  <c r="S205" i="60"/>
  <c r="C413" i="60"/>
  <c r="C309" i="60"/>
  <c r="S309" i="60" s="1"/>
  <c r="S353" i="60"/>
  <c r="C457" i="60"/>
  <c r="S345" i="60"/>
  <c r="C449" i="60"/>
  <c r="R457" i="60"/>
  <c r="B561" i="60"/>
  <c r="R561" i="60" s="1"/>
  <c r="R473" i="60"/>
  <c r="B577" i="60"/>
  <c r="R577" i="60" s="1"/>
  <c r="R489" i="60"/>
  <c r="B593" i="60"/>
  <c r="R593" i="60" s="1"/>
  <c r="T598" i="60"/>
  <c r="AA598" i="60"/>
  <c r="V598" i="60"/>
  <c r="U598" i="60"/>
  <c r="AC598" i="60"/>
  <c r="S360" i="60"/>
  <c r="C464" i="60"/>
  <c r="B575" i="60"/>
  <c r="R575" i="60" s="1"/>
  <c r="R471" i="60"/>
  <c r="S90" i="60"/>
  <c r="C194" i="60"/>
  <c r="B603" i="60"/>
  <c r="R603" i="60" s="1"/>
  <c r="R499" i="60"/>
  <c r="B580" i="60"/>
  <c r="R580" i="60" s="1"/>
  <c r="R476" i="60"/>
  <c r="B560" i="60"/>
  <c r="R560" i="60" s="1"/>
  <c r="R456" i="60"/>
  <c r="S347" i="60"/>
  <c r="C451" i="60"/>
  <c r="R518" i="60"/>
  <c r="B622" i="60"/>
  <c r="R622" i="60" s="1"/>
  <c r="B564" i="60"/>
  <c r="R564" i="60" s="1"/>
  <c r="R460" i="60"/>
  <c r="R477" i="60"/>
  <c r="B581" i="60"/>
  <c r="R581" i="60" s="1"/>
  <c r="S104" i="60"/>
  <c r="C208" i="60"/>
  <c r="S349" i="60"/>
  <c r="C453" i="60"/>
  <c r="AB572" i="60"/>
  <c r="X572" i="60"/>
  <c r="T572" i="60"/>
  <c r="AA572" i="60"/>
  <c r="W572" i="60"/>
  <c r="Z572" i="60"/>
  <c r="V572" i="60"/>
  <c r="U572" i="60"/>
  <c r="AC572" i="60"/>
  <c r="S176" i="60"/>
  <c r="C280" i="60"/>
  <c r="S280" i="60" s="1"/>
  <c r="C384" i="60"/>
  <c r="B525" i="60"/>
  <c r="R525" i="60" s="1"/>
  <c r="R421" i="60"/>
  <c r="B556" i="60"/>
  <c r="R556" i="60" s="1"/>
  <c r="R452" i="60"/>
  <c r="S189" i="60"/>
  <c r="C397" i="60"/>
  <c r="C293" i="60"/>
  <c r="S293" i="60" s="1"/>
  <c r="B552" i="60"/>
  <c r="R552" i="60" s="1"/>
  <c r="R448" i="60"/>
  <c r="R426" i="60"/>
  <c r="B530" i="60"/>
  <c r="R530" i="60" s="1"/>
  <c r="V583" i="60"/>
  <c r="AC583" i="60"/>
  <c r="Y583" i="60"/>
  <c r="AB583" i="60"/>
  <c r="X583" i="60"/>
  <c r="T583" i="60"/>
  <c r="AA583" i="60"/>
  <c r="W583" i="60"/>
  <c r="R501" i="60"/>
  <c r="B605" i="60"/>
  <c r="R605" i="60" s="1"/>
  <c r="S387" i="60"/>
  <c r="C491" i="60"/>
  <c r="S81" i="60"/>
  <c r="C185" i="60"/>
  <c r="R497" i="60"/>
  <c r="B601" i="60"/>
  <c r="R601" i="60" s="1"/>
  <c r="B584" i="60"/>
  <c r="R584" i="60" s="1"/>
  <c r="R480" i="60"/>
  <c r="S362" i="60"/>
  <c r="C466" i="60"/>
  <c r="S94" i="60"/>
  <c r="C198" i="60"/>
  <c r="AC581" i="60"/>
  <c r="AA581" i="60"/>
  <c r="Y571" i="60"/>
  <c r="AB571" i="60"/>
  <c r="AA571" i="60"/>
  <c r="W571" i="60"/>
  <c r="B623" i="60"/>
  <c r="R623" i="60" s="1"/>
  <c r="R519" i="60"/>
  <c r="S375" i="60"/>
  <c r="C479" i="60"/>
  <c r="S84" i="60"/>
  <c r="C188" i="60"/>
  <c r="B611" i="60"/>
  <c r="R611" i="60" s="1"/>
  <c r="R507" i="60"/>
  <c r="R441" i="60"/>
  <c r="B545" i="60"/>
  <c r="R545" i="60" s="1"/>
  <c r="V603" i="60"/>
  <c r="U603" i="60"/>
  <c r="AB603" i="60"/>
  <c r="X603" i="60"/>
  <c r="W603" i="60"/>
  <c r="R504" i="60"/>
  <c r="B608" i="60"/>
  <c r="R608" i="60" s="1"/>
  <c r="S184" i="60"/>
  <c r="C392" i="60"/>
  <c r="C288" i="60"/>
  <c r="S288" i="60" s="1"/>
  <c r="V557" i="60"/>
  <c r="T557" i="60"/>
  <c r="Y529" i="60"/>
  <c r="AB529" i="60"/>
  <c r="AA529" i="60"/>
  <c r="Z567" i="60"/>
  <c r="V567" i="60"/>
  <c r="U567" i="60"/>
  <c r="T567" i="60"/>
  <c r="S193" i="60"/>
  <c r="C401" i="60"/>
  <c r="C297" i="60"/>
  <c r="S297" i="60" s="1"/>
  <c r="S206" i="60"/>
  <c r="C310" i="60"/>
  <c r="S310" i="60" s="1"/>
  <c r="C414" i="60"/>
  <c r="Z523" i="60"/>
  <c r="V523" i="60"/>
  <c r="AC523" i="60"/>
  <c r="Y523" i="60"/>
  <c r="AB523" i="60"/>
  <c r="X523" i="60"/>
  <c r="AA523" i="60"/>
  <c r="W523" i="60"/>
  <c r="R469" i="60"/>
  <c r="B573" i="60"/>
  <c r="R573" i="60" s="1"/>
  <c r="R485" i="60"/>
  <c r="B589" i="60"/>
  <c r="R589" i="60" s="1"/>
  <c r="C448" i="60"/>
  <c r="S344" i="60"/>
  <c r="R442" i="60"/>
  <c r="B546" i="60"/>
  <c r="R546" i="60" s="1"/>
  <c r="R520" i="60"/>
  <c r="B624" i="60"/>
  <c r="R624" i="60" s="1"/>
  <c r="B567" i="60"/>
  <c r="R567" i="60" s="1"/>
  <c r="R463" i="60"/>
  <c r="S82" i="60"/>
  <c r="C186" i="60"/>
  <c r="V579" i="60"/>
  <c r="AC579" i="60"/>
  <c r="U579" i="60"/>
  <c r="T579" i="60"/>
  <c r="S369" i="60"/>
  <c r="C473" i="60"/>
  <c r="Z559" i="60"/>
  <c r="V559" i="60"/>
  <c r="AC559" i="60"/>
  <c r="Y559" i="60"/>
  <c r="U559" i="60"/>
  <c r="AB559" i="60"/>
  <c r="X559" i="60"/>
  <c r="T559" i="60"/>
  <c r="AA559" i="60"/>
  <c r="W559" i="60"/>
  <c r="R450" i="60"/>
  <c r="B554" i="60"/>
  <c r="R554" i="60" s="1"/>
  <c r="R490" i="60"/>
  <c r="B594" i="60"/>
  <c r="R594" i="60" s="1"/>
  <c r="B533" i="60"/>
  <c r="R533" i="60" s="1"/>
  <c r="R429" i="60"/>
  <c r="S340" i="60"/>
  <c r="C444" i="60"/>
  <c r="S358" i="60"/>
  <c r="C462" i="60"/>
  <c r="Y553" i="60"/>
  <c r="W553" i="60"/>
  <c r="AA553" i="60"/>
  <c r="S377" i="60"/>
  <c r="C481" i="60"/>
  <c r="S386" i="60"/>
  <c r="C490" i="60"/>
  <c r="R506" i="60"/>
  <c r="B610" i="60"/>
  <c r="R610" i="60" s="1"/>
  <c r="AB522" i="60"/>
  <c r="X522" i="60"/>
  <c r="W522" i="60"/>
  <c r="Z522" i="60"/>
  <c r="Y522" i="60"/>
  <c r="U522" i="60"/>
  <c r="AC607" i="60"/>
  <c r="AB607" i="60"/>
  <c r="AA607" i="60"/>
  <c r="W607" i="60"/>
  <c r="R470" i="60"/>
  <c r="B574" i="60"/>
  <c r="R574" i="60" s="1"/>
  <c r="S96" i="60"/>
  <c r="C200" i="60"/>
  <c r="X620" i="60"/>
  <c r="T620" i="60"/>
  <c r="AA620" i="60"/>
  <c r="W620" i="60"/>
  <c r="Z620" i="60"/>
  <c r="Y620" i="60"/>
  <c r="U620" i="60"/>
  <c r="AC620" i="60"/>
  <c r="B551" i="60"/>
  <c r="R551" i="60" s="1"/>
  <c r="R447" i="60"/>
  <c r="S355" i="60"/>
  <c r="C459" i="60"/>
  <c r="B599" i="60"/>
  <c r="R599" i="60" s="1"/>
  <c r="R495" i="60"/>
  <c r="B535" i="60"/>
  <c r="R535" i="60" s="1"/>
  <c r="R431" i="60"/>
  <c r="Z541" i="60"/>
  <c r="V541" i="60"/>
  <c r="AC541" i="60"/>
  <c r="Y541" i="60"/>
  <c r="U541" i="60"/>
  <c r="AB541" i="60"/>
  <c r="T541" i="60"/>
  <c r="AA541" i="60"/>
  <c r="S171" i="60"/>
  <c r="C275" i="60"/>
  <c r="S275" i="60" s="1"/>
  <c r="C379" i="60"/>
  <c r="B527" i="60"/>
  <c r="R527" i="60" s="1"/>
  <c r="R423" i="60"/>
  <c r="AB544" i="60"/>
  <c r="X544" i="60"/>
  <c r="T544" i="60"/>
  <c r="AA544" i="60"/>
  <c r="W544" i="60"/>
  <c r="Z544" i="60"/>
  <c r="V544" i="60"/>
  <c r="AC544" i="60"/>
  <c r="Y544" i="60"/>
  <c r="U544" i="60"/>
  <c r="S183" i="60"/>
  <c r="C287" i="60"/>
  <c r="S287" i="60" s="1"/>
  <c r="C391" i="60"/>
  <c r="S354" i="60"/>
  <c r="C458" i="60"/>
  <c r="Z575" i="60"/>
  <c r="V575" i="60"/>
  <c r="AC575" i="60"/>
  <c r="Y575" i="60"/>
  <c r="U575" i="60"/>
  <c r="AB575" i="60"/>
  <c r="X575" i="60"/>
  <c r="T575" i="60"/>
  <c r="W575" i="60"/>
  <c r="R422" i="60"/>
  <c r="B526" i="60"/>
  <c r="R526" i="60" s="1"/>
  <c r="B588" i="60"/>
  <c r="R588" i="60" s="1"/>
  <c r="R484" i="60"/>
  <c r="B537" i="60"/>
  <c r="R537" i="60" s="1"/>
  <c r="R433" i="60"/>
  <c r="R517" i="60"/>
  <c r="B621" i="60"/>
  <c r="R621" i="60" s="1"/>
  <c r="AB548" i="60"/>
  <c r="X548" i="60"/>
  <c r="AA548" i="60"/>
  <c r="W548" i="60"/>
  <c r="Z548" i="60"/>
  <c r="V548" i="60"/>
  <c r="U548" i="60"/>
  <c r="AC548" i="60"/>
  <c r="S204" i="60"/>
  <c r="C412" i="60"/>
  <c r="C308" i="60"/>
  <c r="S308" i="60" s="1"/>
  <c r="R430" i="60"/>
  <c r="B534" i="60"/>
  <c r="R534" i="60" s="1"/>
  <c r="R437" i="60"/>
  <c r="B541" i="60"/>
  <c r="R541" i="60" s="1"/>
  <c r="AB568" i="60"/>
  <c r="X568" i="60"/>
  <c r="T568" i="60"/>
  <c r="AA568" i="60"/>
  <c r="W568" i="60"/>
  <c r="Z568" i="60"/>
  <c r="V568" i="60"/>
  <c r="AC568" i="60"/>
  <c r="Y568" i="60"/>
  <c r="U568" i="60"/>
  <c r="R434" i="60"/>
  <c r="B538" i="60"/>
  <c r="R538" i="60" s="1"/>
  <c r="S166" i="60"/>
  <c r="C374" i="60"/>
  <c r="C270" i="60"/>
  <c r="S270" i="60" s="1"/>
  <c r="B587" i="60"/>
  <c r="R587" i="60" s="1"/>
  <c r="R483" i="60"/>
  <c r="S361" i="60"/>
  <c r="C465" i="60"/>
  <c r="R512" i="60"/>
  <c r="B616" i="60"/>
  <c r="R616" i="60" s="1"/>
  <c r="S168" i="60"/>
  <c r="C272" i="60"/>
  <c r="S272" i="60" s="1"/>
  <c r="C376" i="60"/>
  <c r="AB526" i="60"/>
  <c r="T526" i="60"/>
  <c r="W526" i="60"/>
  <c r="V526" i="60"/>
  <c r="S363" i="60"/>
  <c r="C467" i="60"/>
  <c r="AB604" i="60"/>
  <c r="X604" i="60"/>
  <c r="T604" i="60"/>
  <c r="AA604" i="60"/>
  <c r="W604" i="60"/>
  <c r="Z604" i="60"/>
  <c r="V604" i="60"/>
  <c r="Y604" i="60"/>
  <c r="U604" i="60"/>
  <c r="AC604" i="60"/>
  <c r="S350" i="60"/>
  <c r="C454" i="60"/>
  <c r="S341" i="60"/>
  <c r="C445" i="60"/>
  <c r="R461" i="60"/>
  <c r="B565" i="60"/>
  <c r="R565" i="60" s="1"/>
  <c r="S92" i="60"/>
  <c r="C196" i="60"/>
  <c r="AB624" i="60"/>
  <c r="X624" i="60"/>
  <c r="T624" i="60"/>
  <c r="AA624" i="60"/>
  <c r="Z624" i="60"/>
  <c r="V624" i="60"/>
  <c r="AC624" i="60"/>
  <c r="U624" i="60"/>
  <c r="S173" i="60"/>
  <c r="C381" i="60"/>
  <c r="C277" i="60"/>
  <c r="S277" i="60" s="1"/>
  <c r="R502" i="60"/>
  <c r="B606" i="60"/>
  <c r="R606" i="60" s="1"/>
  <c r="B524" i="60"/>
  <c r="R524" i="60" s="1"/>
  <c r="R420" i="60"/>
  <c r="S86" i="60"/>
  <c r="C190" i="60"/>
  <c r="Z585" i="60"/>
  <c r="V585" i="60"/>
  <c r="AC585" i="60"/>
  <c r="U585" i="60"/>
  <c r="AB585" i="60"/>
  <c r="X585" i="60"/>
  <c r="T585" i="60"/>
  <c r="W585" i="60"/>
  <c r="S195" i="60"/>
  <c r="C299" i="60"/>
  <c r="S299" i="60" s="1"/>
  <c r="C403" i="60"/>
  <c r="S383" i="60"/>
  <c r="C487" i="60"/>
  <c r="R509" i="60"/>
  <c r="B613" i="60"/>
  <c r="R613" i="60" s="1"/>
  <c r="S356" i="60"/>
  <c r="C460" i="60"/>
  <c r="S182" i="60"/>
  <c r="C390" i="60"/>
  <c r="C286" i="60"/>
  <c r="S286" i="60" s="1"/>
  <c r="V623" i="60"/>
  <c r="AC623" i="60"/>
  <c r="Y623" i="60"/>
  <c r="U623" i="60"/>
  <c r="AB623" i="60"/>
  <c r="X623" i="60"/>
  <c r="T623" i="60"/>
  <c r="AA623" i="60"/>
  <c r="W623" i="60"/>
  <c r="R449" i="60"/>
  <c r="B553" i="60"/>
  <c r="R553" i="60" s="1"/>
  <c r="Z533" i="60"/>
  <c r="V533" i="60"/>
  <c r="AC533" i="60"/>
  <c r="Y533" i="60"/>
  <c r="U533" i="60"/>
  <c r="AB533" i="60"/>
  <c r="X533" i="60"/>
  <c r="AA533" i="60"/>
  <c r="W533" i="60"/>
  <c r="B595" i="60"/>
  <c r="R595" i="60" s="1"/>
  <c r="R491" i="60"/>
  <c r="S98" i="60"/>
  <c r="C202" i="60"/>
  <c r="S160" i="60"/>
  <c r="C264" i="60"/>
  <c r="S264" i="60" s="1"/>
  <c r="C368" i="60"/>
  <c r="Z593" i="60"/>
  <c r="V593" i="60"/>
  <c r="AC593" i="60"/>
  <c r="Y593" i="60"/>
  <c r="U593" i="60"/>
  <c r="AB593" i="60"/>
  <c r="X593" i="60"/>
  <c r="T593" i="60"/>
  <c r="W593" i="60"/>
  <c r="AA593" i="60"/>
  <c r="B548" i="60"/>
  <c r="R548" i="60" s="1"/>
  <c r="R444" i="60"/>
  <c r="B531" i="60"/>
  <c r="R531" i="60" s="1"/>
  <c r="R427" i="60"/>
  <c r="AC555" i="60"/>
  <c r="AB555" i="60"/>
  <c r="T555" i="60"/>
  <c r="S388" i="60"/>
  <c r="C492" i="60"/>
  <c r="B572" i="60"/>
  <c r="R572" i="60" s="1"/>
  <c r="R468" i="60"/>
  <c r="R418" i="60"/>
  <c r="B522" i="60"/>
  <c r="R522" i="60" s="1"/>
  <c r="V543" i="60"/>
  <c r="AC543" i="60"/>
  <c r="Y543" i="60"/>
  <c r="AB543" i="60"/>
  <c r="X543" i="60"/>
  <c r="T543" i="60"/>
  <c r="AA543" i="60"/>
  <c r="W543" i="60"/>
  <c r="S359" i="60"/>
  <c r="C463" i="60"/>
  <c r="S203" i="60"/>
  <c r="C307" i="60"/>
  <c r="S307" i="60" s="1"/>
  <c r="C411" i="60"/>
  <c r="S201" i="60"/>
  <c r="C409" i="60"/>
  <c r="C305" i="60"/>
  <c r="S305" i="60" s="1"/>
  <c r="Z601" i="60"/>
  <c r="U601" i="60"/>
  <c r="T601" i="60"/>
  <c r="AA601" i="60"/>
  <c r="B528" i="60"/>
  <c r="R528" i="60" s="1"/>
  <c r="R424" i="60"/>
  <c r="R493" i="60"/>
  <c r="B597" i="60"/>
  <c r="R597" i="60" s="1"/>
  <c r="AB610" i="60"/>
  <c r="X610" i="60"/>
  <c r="T610" i="60"/>
  <c r="AA610" i="60"/>
  <c r="W610" i="60"/>
  <c r="Z610" i="60"/>
  <c r="V610" i="60"/>
  <c r="AC610" i="60"/>
  <c r="Y610" i="60"/>
  <c r="S174" i="60"/>
  <c r="C382" i="60"/>
  <c r="C278" i="60"/>
  <c r="S278" i="60" s="1"/>
  <c r="B579" i="60"/>
  <c r="R579" i="60" s="1"/>
  <c r="R475" i="60"/>
  <c r="R454" i="60"/>
  <c r="B558" i="60"/>
  <c r="R558" i="60" s="1"/>
  <c r="R482" i="60"/>
  <c r="B586" i="60"/>
  <c r="R586" i="60" s="1"/>
  <c r="R505" i="60"/>
  <c r="B609" i="60"/>
  <c r="R609" i="60" s="1"/>
  <c r="B523" i="60"/>
  <c r="R523" i="60" s="1"/>
  <c r="R419" i="60"/>
  <c r="S181" i="60"/>
  <c r="C389" i="60"/>
  <c r="C285" i="60"/>
  <c r="S285" i="60" s="1"/>
  <c r="Z617" i="60"/>
  <c r="V617" i="60"/>
  <c r="AC617" i="60"/>
  <c r="Y617" i="60"/>
  <c r="U617" i="60"/>
  <c r="AB617" i="60"/>
  <c r="X617" i="60"/>
  <c r="T617" i="60"/>
  <c r="W617" i="60"/>
  <c r="AA617" i="60"/>
  <c r="Z621" i="60"/>
  <c r="U621" i="60"/>
  <c r="AB621" i="60"/>
  <c r="X621" i="60"/>
  <c r="AA621" i="60"/>
  <c r="W621" i="60"/>
  <c r="Z618" i="60"/>
  <c r="Y591" i="60"/>
  <c r="T591" i="60"/>
  <c r="W591" i="60"/>
  <c r="R438" i="60"/>
  <c r="B542" i="60"/>
  <c r="R542" i="60" s="1"/>
  <c r="Z527" i="60"/>
  <c r="AC527" i="60"/>
  <c r="Y527" i="60"/>
  <c r="U527" i="60"/>
  <c r="X527" i="60"/>
  <c r="T527" i="60"/>
  <c r="AA527" i="60"/>
  <c r="R462" i="60"/>
  <c r="B566" i="60"/>
  <c r="R566" i="60" s="1"/>
  <c r="S162" i="60"/>
  <c r="C370" i="60"/>
  <c r="C266" i="60"/>
  <c r="S266" i="60" s="1"/>
  <c r="R496" i="60"/>
  <c r="B600" i="60"/>
  <c r="R600" i="60" s="1"/>
  <c r="Z539" i="60"/>
  <c r="V539" i="60"/>
  <c r="Y539" i="60"/>
  <c r="T539" i="60"/>
  <c r="S366" i="60"/>
  <c r="C470" i="60"/>
  <c r="S385" i="60"/>
  <c r="C489" i="60"/>
  <c r="S371" i="60"/>
  <c r="C475" i="60"/>
  <c r="B596" i="60"/>
  <c r="R596" i="60" s="1"/>
  <c r="R492" i="60"/>
  <c r="B539" i="60"/>
  <c r="R539" i="60" s="1"/>
  <c r="R435" i="60"/>
  <c r="Z545" i="60"/>
  <c r="V545" i="60"/>
  <c r="AC545" i="60"/>
  <c r="U545" i="60"/>
  <c r="AB545" i="60"/>
  <c r="X545" i="60"/>
  <c r="T545" i="60"/>
  <c r="AA545" i="60"/>
  <c r="X584" i="60"/>
  <c r="T584" i="60"/>
  <c r="AA584" i="60"/>
  <c r="Z584" i="60"/>
  <c r="AC584" i="60"/>
  <c r="Y584" i="60"/>
  <c r="U584" i="60"/>
  <c r="X560" i="60"/>
  <c r="AA560" i="60"/>
  <c r="W560" i="60"/>
  <c r="Z560" i="60"/>
  <c r="V560" i="60"/>
  <c r="AC560" i="60"/>
  <c r="R465" i="60"/>
  <c r="B569" i="60"/>
  <c r="R569" i="60" s="1"/>
  <c r="R481" i="60"/>
  <c r="B585" i="60"/>
  <c r="R585" i="60" s="1"/>
  <c r="V595" i="60"/>
  <c r="AC595" i="60"/>
  <c r="Y595" i="60"/>
  <c r="X595" i="60"/>
  <c r="W595" i="60"/>
  <c r="S348" i="60"/>
  <c r="C452" i="60"/>
  <c r="S88" i="60"/>
  <c r="C192" i="60"/>
  <c r="B591" i="60"/>
  <c r="R591" i="60" s="1"/>
  <c r="R487" i="60"/>
  <c r="Z565" i="60"/>
  <c r="V565" i="60"/>
  <c r="AC565" i="60"/>
  <c r="U565" i="60"/>
  <c r="X565" i="60"/>
  <c r="AA565" i="60"/>
  <c r="B615" i="60"/>
  <c r="R615" i="60" s="1"/>
  <c r="R511" i="60"/>
  <c r="R521" i="60"/>
  <c r="B625" i="60"/>
  <c r="R625" i="60" s="1"/>
  <c r="R445" i="60"/>
  <c r="B549" i="60"/>
  <c r="R549" i="60" s="1"/>
  <c r="X540" i="60"/>
  <c r="AA540" i="60"/>
  <c r="Z540" i="60"/>
  <c r="Y540" i="60"/>
  <c r="U540" i="60"/>
  <c r="AC540" i="60"/>
  <c r="S343" i="60"/>
  <c r="C447" i="60"/>
  <c r="D6" i="57"/>
  <c r="D5" i="57"/>
  <c r="E6" i="57"/>
  <c r="A12" i="56"/>
  <c r="E9" i="56"/>
  <c r="H9" i="56"/>
  <c r="F9" i="56"/>
  <c r="A11" i="56"/>
  <c r="H8" i="56"/>
  <c r="F8" i="56"/>
  <c r="E8" i="56"/>
  <c r="A13" i="56"/>
  <c r="A10" i="56"/>
  <c r="G7" i="56"/>
  <c r="E7" i="56"/>
  <c r="F7" i="56"/>
  <c r="H7" i="56"/>
  <c r="D7" i="56"/>
  <c r="B8" i="57"/>
  <c r="B7" i="57"/>
  <c r="B11" i="56"/>
  <c r="B13" i="56"/>
  <c r="B10" i="56"/>
  <c r="B12" i="56"/>
  <c r="Y632" i="60" l="1"/>
  <c r="Y631" i="60"/>
  <c r="Y630" i="60"/>
  <c r="H114" i="56" s="1"/>
  <c r="Y642" i="60"/>
  <c r="Y641" i="60"/>
  <c r="Y635" i="60"/>
  <c r="Y636" i="60"/>
  <c r="S202" i="60"/>
  <c r="C306" i="60"/>
  <c r="S306" i="60" s="1"/>
  <c r="C410" i="60"/>
  <c r="S374" i="60"/>
  <c r="C478" i="60"/>
  <c r="S412" i="60"/>
  <c r="C516" i="60"/>
  <c r="S491" i="60"/>
  <c r="C595" i="60"/>
  <c r="S595" i="60" s="1"/>
  <c r="C568" i="60"/>
  <c r="S568" i="60" s="1"/>
  <c r="S464" i="60"/>
  <c r="S380" i="60"/>
  <c r="C484" i="60"/>
  <c r="S395" i="60"/>
  <c r="C499" i="60"/>
  <c r="S447" i="60"/>
  <c r="C551" i="60"/>
  <c r="S551" i="60" s="1"/>
  <c r="S475" i="60"/>
  <c r="C579" i="60"/>
  <c r="S579" i="60" s="1"/>
  <c r="S470" i="60"/>
  <c r="C574" i="60"/>
  <c r="S574" i="60" s="1"/>
  <c r="S463" i="60"/>
  <c r="C567" i="60"/>
  <c r="S567" i="60" s="1"/>
  <c r="C472" i="60"/>
  <c r="S368" i="60"/>
  <c r="S390" i="60"/>
  <c r="C494" i="60"/>
  <c r="S487" i="60"/>
  <c r="C591" i="60"/>
  <c r="S591" i="60" s="1"/>
  <c r="S381" i="60"/>
  <c r="C485" i="60"/>
  <c r="S196" i="60"/>
  <c r="C404" i="60"/>
  <c r="C300" i="60"/>
  <c r="S300" i="60" s="1"/>
  <c r="S458" i="60"/>
  <c r="C562" i="60"/>
  <c r="S562" i="60" s="1"/>
  <c r="S200" i="60"/>
  <c r="C408" i="60"/>
  <c r="C304" i="60"/>
  <c r="S304" i="60" s="1"/>
  <c r="C585" i="60"/>
  <c r="S585" i="60" s="1"/>
  <c r="S481" i="60"/>
  <c r="C548" i="60"/>
  <c r="S548" i="60" s="1"/>
  <c r="S444" i="60"/>
  <c r="C577" i="60"/>
  <c r="S577" i="60" s="1"/>
  <c r="S473" i="60"/>
  <c r="C488" i="60"/>
  <c r="S384" i="60"/>
  <c r="C561" i="60"/>
  <c r="S561" i="60" s="1"/>
  <c r="S457" i="60"/>
  <c r="S191" i="60"/>
  <c r="C295" i="60"/>
  <c r="S295" i="60" s="1"/>
  <c r="C399" i="60"/>
  <c r="S209" i="60"/>
  <c r="C417" i="60"/>
  <c r="C313" i="60"/>
  <c r="S313" i="60" s="1"/>
  <c r="S373" i="60"/>
  <c r="C477" i="60"/>
  <c r="Y634" i="60"/>
  <c r="Y633" i="60"/>
  <c r="S370" i="60"/>
  <c r="C474" i="60"/>
  <c r="S411" i="60"/>
  <c r="C515" i="60"/>
  <c r="S392" i="60"/>
  <c r="C496" i="60"/>
  <c r="S198" i="60"/>
  <c r="C302" i="60"/>
  <c r="S302" i="60" s="1"/>
  <c r="C406" i="60"/>
  <c r="S194" i="60"/>
  <c r="C402" i="60"/>
  <c r="C298" i="60"/>
  <c r="S298" i="60" s="1"/>
  <c r="S413" i="60"/>
  <c r="C517" i="60"/>
  <c r="S446" i="60"/>
  <c r="C550" i="60"/>
  <c r="S550" i="60" s="1"/>
  <c r="S372" i="60"/>
  <c r="C476" i="60"/>
  <c r="S378" i="60"/>
  <c r="C482" i="60"/>
  <c r="S192" i="60"/>
  <c r="C400" i="60"/>
  <c r="C296" i="60"/>
  <c r="S296" i="60" s="1"/>
  <c r="S389" i="60"/>
  <c r="C493" i="60"/>
  <c r="S409" i="60"/>
  <c r="C513" i="60"/>
  <c r="S190" i="60"/>
  <c r="C398" i="60"/>
  <c r="C294" i="60"/>
  <c r="S294" i="60" s="1"/>
  <c r="S454" i="60"/>
  <c r="C558" i="60"/>
  <c r="S558" i="60" s="1"/>
  <c r="S467" i="60"/>
  <c r="C571" i="60"/>
  <c r="S571" i="60" s="1"/>
  <c r="S376" i="60"/>
  <c r="C480" i="60"/>
  <c r="S379" i="60"/>
  <c r="C483" i="60"/>
  <c r="C552" i="60"/>
  <c r="S552" i="60" s="1"/>
  <c r="S448" i="60"/>
  <c r="S188" i="60"/>
  <c r="C396" i="60"/>
  <c r="C292" i="60"/>
  <c r="S292" i="60" s="1"/>
  <c r="S466" i="60"/>
  <c r="C570" i="60"/>
  <c r="S570" i="60" s="1"/>
  <c r="S185" i="60"/>
  <c r="C393" i="60"/>
  <c r="C289" i="60"/>
  <c r="S289" i="60" s="1"/>
  <c r="C557" i="60"/>
  <c r="S557" i="60" s="1"/>
  <c r="S453" i="60"/>
  <c r="S208" i="60"/>
  <c r="C416" i="60"/>
  <c r="C312" i="60"/>
  <c r="S312" i="60" s="1"/>
  <c r="S451" i="60"/>
  <c r="C555" i="60"/>
  <c r="S555" i="60" s="1"/>
  <c r="C553" i="60"/>
  <c r="S553" i="60" s="1"/>
  <c r="S449" i="60"/>
  <c r="S367" i="60"/>
  <c r="C471" i="60"/>
  <c r="C573" i="60"/>
  <c r="S573" i="60" s="1"/>
  <c r="S469" i="60"/>
  <c r="S207" i="60"/>
  <c r="C311" i="60"/>
  <c r="S311" i="60" s="1"/>
  <c r="C415" i="60"/>
  <c r="S479" i="60"/>
  <c r="C583" i="60"/>
  <c r="S583" i="60" s="1"/>
  <c r="C556" i="60"/>
  <c r="S556" i="60" s="1"/>
  <c r="S452" i="60"/>
  <c r="C593" i="60"/>
  <c r="S593" i="60" s="1"/>
  <c r="S489" i="60"/>
  <c r="S382" i="60"/>
  <c r="C486" i="60"/>
  <c r="C596" i="60"/>
  <c r="S596" i="60" s="1"/>
  <c r="S492" i="60"/>
  <c r="C564" i="60"/>
  <c r="S564" i="60" s="1"/>
  <c r="S460" i="60"/>
  <c r="S403" i="60"/>
  <c r="C507" i="60"/>
  <c r="C549" i="60"/>
  <c r="S549" i="60" s="1"/>
  <c r="S445" i="60"/>
  <c r="C569" i="60"/>
  <c r="S569" i="60" s="1"/>
  <c r="S465" i="60"/>
  <c r="S391" i="60"/>
  <c r="C495" i="60"/>
  <c r="S459" i="60"/>
  <c r="C563" i="60"/>
  <c r="S563" i="60" s="1"/>
  <c r="S490" i="60"/>
  <c r="C594" i="60"/>
  <c r="S594" i="60" s="1"/>
  <c r="S462" i="60"/>
  <c r="C566" i="60"/>
  <c r="S566" i="60" s="1"/>
  <c r="S186" i="60"/>
  <c r="C394" i="60"/>
  <c r="C290" i="60"/>
  <c r="S290" i="60" s="1"/>
  <c r="S414" i="60"/>
  <c r="C518" i="60"/>
  <c r="S401" i="60"/>
  <c r="C505" i="60"/>
  <c r="S397" i="60"/>
  <c r="C501" i="60"/>
  <c r="S450" i="60"/>
  <c r="C554" i="60"/>
  <c r="S554" i="60" s="1"/>
  <c r="S455" i="60"/>
  <c r="C559" i="60"/>
  <c r="S559" i="60" s="1"/>
  <c r="S197" i="60"/>
  <c r="C405" i="60"/>
  <c r="C301" i="60"/>
  <c r="S301" i="60" s="1"/>
  <c r="S199" i="60"/>
  <c r="C303" i="60"/>
  <c r="S303" i="60" s="1"/>
  <c r="C407" i="60"/>
  <c r="C560" i="60"/>
  <c r="S560" i="60" s="1"/>
  <c r="S456" i="60"/>
  <c r="C572" i="60"/>
  <c r="S572" i="60" s="1"/>
  <c r="S468" i="60"/>
  <c r="C565" i="60"/>
  <c r="S565" i="60" s="1"/>
  <c r="S461" i="60"/>
  <c r="Q7" i="57"/>
  <c r="O7" i="57"/>
  <c r="K7" i="57"/>
  <c r="F7" i="57" s="1"/>
  <c r="J7" i="57"/>
  <c r="E7" i="57" s="1"/>
  <c r="H7" i="57"/>
  <c r="C7" i="57" s="1"/>
  <c r="N7" i="57"/>
  <c r="P7" i="57"/>
  <c r="I7" i="57"/>
  <c r="D7" i="57" s="1"/>
  <c r="N8" i="57"/>
  <c r="O8" i="57"/>
  <c r="P8" i="57"/>
  <c r="J8" i="57"/>
  <c r="E8" i="57" s="1"/>
  <c r="Q8" i="57"/>
  <c r="K8" i="57"/>
  <c r="F8" i="57" s="1"/>
  <c r="H8" i="57"/>
  <c r="C8" i="57" s="1"/>
  <c r="I8" i="57"/>
  <c r="D8" i="57" s="1"/>
  <c r="A17" i="56"/>
  <c r="A15" i="56"/>
  <c r="K12" i="56"/>
  <c r="D12" i="56" s="1"/>
  <c r="O12" i="56"/>
  <c r="H12" i="56" s="1"/>
  <c r="J12" i="56"/>
  <c r="C12" i="56" s="1"/>
  <c r="M12" i="56"/>
  <c r="F12" i="56" s="1"/>
  <c r="L12" i="56"/>
  <c r="E12" i="56" s="1"/>
  <c r="N12" i="56"/>
  <c r="G12" i="56" s="1"/>
  <c r="A16" i="56"/>
  <c r="N11" i="56"/>
  <c r="G11" i="56" s="1"/>
  <c r="L11" i="56"/>
  <c r="E11" i="56" s="1"/>
  <c r="J11" i="56"/>
  <c r="C11" i="56" s="1"/>
  <c r="K11" i="56"/>
  <c r="D11" i="56" s="1"/>
  <c r="M11" i="56"/>
  <c r="F11" i="56" s="1"/>
  <c r="O11" i="56"/>
  <c r="H11" i="56" s="1"/>
  <c r="L13" i="56"/>
  <c r="E13" i="56" s="1"/>
  <c r="N13" i="56"/>
  <c r="G13" i="56" s="1"/>
  <c r="K13" i="56"/>
  <c r="D13" i="56" s="1"/>
  <c r="M13" i="56"/>
  <c r="F13" i="56" s="1"/>
  <c r="O13" i="56"/>
  <c r="H13" i="56" s="1"/>
  <c r="J13" i="56"/>
  <c r="C13" i="56" s="1"/>
  <c r="A14" i="56"/>
  <c r="N10" i="56"/>
  <c r="G10" i="56" s="1"/>
  <c r="L10" i="56"/>
  <c r="E10" i="56" s="1"/>
  <c r="J10" i="56"/>
  <c r="C10" i="56" s="1"/>
  <c r="M10" i="56"/>
  <c r="F10" i="56" s="1"/>
  <c r="O10" i="56"/>
  <c r="H10" i="56" s="1"/>
  <c r="K10" i="56"/>
  <c r="D10" i="56" s="1"/>
  <c r="B10" i="57"/>
  <c r="B9" i="57"/>
  <c r="Q12" i="56"/>
  <c r="T12" i="56"/>
  <c r="U12" i="56"/>
  <c r="V12" i="56"/>
  <c r="R12" i="56"/>
  <c r="S12" i="56"/>
  <c r="U13" i="56"/>
  <c r="S13" i="56"/>
  <c r="T13" i="56"/>
  <c r="Q13" i="56"/>
  <c r="V13" i="56"/>
  <c r="R13" i="56"/>
  <c r="S10" i="56"/>
  <c r="Q10" i="56"/>
  <c r="R10" i="56"/>
  <c r="T10" i="56"/>
  <c r="U10" i="56"/>
  <c r="V10" i="56"/>
  <c r="S11" i="56"/>
  <c r="V11" i="56"/>
  <c r="R11" i="56"/>
  <c r="T11" i="56"/>
  <c r="Q11" i="56"/>
  <c r="U11" i="56"/>
  <c r="B16" i="56"/>
  <c r="B14" i="56"/>
  <c r="B17" i="56"/>
  <c r="B15" i="56"/>
  <c r="Z64" i="60"/>
  <c r="Z168" i="60"/>
  <c r="Z272" i="60" l="1"/>
  <c r="Z220" i="60"/>
  <c r="Z298" i="60"/>
  <c r="Y640" i="60"/>
  <c r="Y644" i="60"/>
  <c r="Y643" i="60"/>
  <c r="Y638" i="60"/>
  <c r="Y637" i="60"/>
  <c r="S486" i="60"/>
  <c r="C590" i="60"/>
  <c r="S590" i="60" s="1"/>
  <c r="S398" i="60"/>
  <c r="C502" i="60"/>
  <c r="C597" i="60"/>
  <c r="S597" i="60" s="1"/>
  <c r="S493" i="60"/>
  <c r="S499" i="60"/>
  <c r="C603" i="60"/>
  <c r="S603" i="60" s="1"/>
  <c r="S410" i="60"/>
  <c r="C514" i="60"/>
  <c r="S501" i="60"/>
  <c r="C605" i="60"/>
  <c r="S605" i="60" s="1"/>
  <c r="S518" i="60"/>
  <c r="C622" i="60"/>
  <c r="S622" i="60" s="1"/>
  <c r="S483" i="60"/>
  <c r="C587" i="60"/>
  <c r="S587" i="60" s="1"/>
  <c r="C584" i="60"/>
  <c r="S584" i="60" s="1"/>
  <c r="S480" i="60"/>
  <c r="S406" i="60"/>
  <c r="C510" i="60"/>
  <c r="S399" i="60"/>
  <c r="C503" i="60"/>
  <c r="S404" i="60"/>
  <c r="C508" i="60"/>
  <c r="S394" i="60"/>
  <c r="C498" i="60"/>
  <c r="S495" i="60"/>
  <c r="C599" i="60"/>
  <c r="S599" i="60" s="1"/>
  <c r="C504" i="60"/>
  <c r="S400" i="60"/>
  <c r="C580" i="60"/>
  <c r="S580" i="60" s="1"/>
  <c r="S476" i="60"/>
  <c r="S517" i="60"/>
  <c r="C621" i="60"/>
  <c r="S621" i="60" s="1"/>
  <c r="C600" i="60"/>
  <c r="S600" i="60" s="1"/>
  <c r="S496" i="60"/>
  <c r="S474" i="60"/>
  <c r="C578" i="60"/>
  <c r="S578" i="60" s="1"/>
  <c r="C581" i="60"/>
  <c r="S581" i="60" s="1"/>
  <c r="S477" i="60"/>
  <c r="C620" i="60"/>
  <c r="S620" i="60" s="1"/>
  <c r="S516" i="60"/>
  <c r="S507" i="60"/>
  <c r="C611" i="60"/>
  <c r="S611" i="60" s="1"/>
  <c r="S415" i="60"/>
  <c r="C519" i="60"/>
  <c r="C520" i="60"/>
  <c r="S416" i="60"/>
  <c r="S513" i="60"/>
  <c r="C617" i="60"/>
  <c r="S617" i="60" s="1"/>
  <c r="S482" i="60"/>
  <c r="C586" i="60"/>
  <c r="S586" i="60" s="1"/>
  <c r="S515" i="60"/>
  <c r="C619" i="60"/>
  <c r="S619" i="60" s="1"/>
  <c r="C576" i="60"/>
  <c r="S576" i="60" s="1"/>
  <c r="S472" i="60"/>
  <c r="C588" i="60"/>
  <c r="S588" i="60" s="1"/>
  <c r="S484" i="60"/>
  <c r="S478" i="60"/>
  <c r="C582" i="60"/>
  <c r="S582" i="60" s="1"/>
  <c r="S396" i="60"/>
  <c r="C500" i="60"/>
  <c r="S407" i="60"/>
  <c r="C511" i="60"/>
  <c r="S405" i="60"/>
  <c r="C509" i="60"/>
  <c r="S505" i="60"/>
  <c r="C609" i="60"/>
  <c r="S609" i="60" s="1"/>
  <c r="S471" i="60"/>
  <c r="C575" i="60"/>
  <c r="S575" i="60" s="1"/>
  <c r="S393" i="60"/>
  <c r="C497" i="60"/>
  <c r="S402" i="60"/>
  <c r="C506" i="60"/>
  <c r="S417" i="60"/>
  <c r="C521" i="60"/>
  <c r="C592" i="60"/>
  <c r="S592" i="60" s="1"/>
  <c r="S488" i="60"/>
  <c r="S408" i="60"/>
  <c r="C512" i="60"/>
  <c r="C589" i="60"/>
  <c r="S589" i="60" s="1"/>
  <c r="S485" i="60"/>
  <c r="S494" i="60"/>
  <c r="C598" i="60"/>
  <c r="S598" i="60" s="1"/>
  <c r="O10" i="57"/>
  <c r="N10" i="57"/>
  <c r="Q10" i="57"/>
  <c r="J10" i="57"/>
  <c r="E10" i="57" s="1"/>
  <c r="K10" i="57"/>
  <c r="F10" i="57" s="1"/>
  <c r="P10" i="57"/>
  <c r="H10" i="57"/>
  <c r="C10" i="57" s="1"/>
  <c r="I10" i="57"/>
  <c r="D10" i="57" s="1"/>
  <c r="Q9" i="57"/>
  <c r="P9" i="57"/>
  <c r="O9" i="57"/>
  <c r="N9" i="57"/>
  <c r="K9" i="57"/>
  <c r="F9" i="57" s="1"/>
  <c r="J9" i="57"/>
  <c r="E9" i="57" s="1"/>
  <c r="H9" i="57"/>
  <c r="C9" i="57" s="1"/>
  <c r="I9" i="57"/>
  <c r="D9" i="57" s="1"/>
  <c r="B12" i="57"/>
  <c r="B14" i="57" s="1"/>
  <c r="A18" i="56"/>
  <c r="A20" i="56"/>
  <c r="A19" i="56"/>
  <c r="A21" i="56"/>
  <c r="B11" i="57"/>
  <c r="R14" i="56"/>
  <c r="V14" i="56"/>
  <c r="K14" i="56"/>
  <c r="O14" i="56"/>
  <c r="H14" i="56" s="1"/>
  <c r="S14" i="56"/>
  <c r="Q14" i="56"/>
  <c r="L14" i="56"/>
  <c r="J14" i="56"/>
  <c r="T14" i="56"/>
  <c r="M14" i="56"/>
  <c r="F14" i="56" s="1"/>
  <c r="N14" i="56"/>
  <c r="G14" i="56" s="1"/>
  <c r="U14" i="56"/>
  <c r="R15" i="56"/>
  <c r="V15" i="56"/>
  <c r="K15" i="56"/>
  <c r="O15" i="56"/>
  <c r="H15" i="56" s="1"/>
  <c r="S15" i="56"/>
  <c r="L15" i="56"/>
  <c r="Q15" i="56"/>
  <c r="T15" i="56"/>
  <c r="J15" i="56"/>
  <c r="M15" i="56"/>
  <c r="F15" i="56" s="1"/>
  <c r="N15" i="56"/>
  <c r="G15" i="56" s="1"/>
  <c r="U15" i="56"/>
  <c r="Q17" i="56"/>
  <c r="T17" i="56"/>
  <c r="J17" i="56"/>
  <c r="C17" i="56" s="1"/>
  <c r="M17" i="56"/>
  <c r="F17" i="56" s="1"/>
  <c r="U17" i="56"/>
  <c r="N17" i="56"/>
  <c r="G17" i="56" s="1"/>
  <c r="R17" i="56"/>
  <c r="V17" i="56"/>
  <c r="K17" i="56"/>
  <c r="D17" i="56" s="1"/>
  <c r="O17" i="56"/>
  <c r="H17" i="56" s="1"/>
  <c r="S17" i="56"/>
  <c r="L17" i="56"/>
  <c r="E17" i="56" s="1"/>
  <c r="S16" i="56"/>
  <c r="L16" i="56"/>
  <c r="E16" i="56" s="1"/>
  <c r="Q16" i="56"/>
  <c r="T16" i="56"/>
  <c r="J16" i="56"/>
  <c r="C16" i="56" s="1"/>
  <c r="M16" i="56"/>
  <c r="F16" i="56" s="1"/>
  <c r="U16" i="56"/>
  <c r="N16" i="56"/>
  <c r="G16" i="56" s="1"/>
  <c r="V16" i="56"/>
  <c r="K16" i="56"/>
  <c r="D16" i="56" s="1"/>
  <c r="O16" i="56"/>
  <c r="H16" i="56" s="1"/>
  <c r="R16" i="56"/>
  <c r="B21" i="56"/>
  <c r="B18" i="56"/>
  <c r="B20" i="56"/>
  <c r="B19" i="56"/>
  <c r="U25" i="52"/>
  <c r="D15" i="56" l="1"/>
  <c r="E15" i="56"/>
  <c r="C15" i="56"/>
  <c r="Q14" i="57"/>
  <c r="K14" i="57"/>
  <c r="P14" i="57"/>
  <c r="J14" i="57"/>
  <c r="O14" i="57"/>
  <c r="I14" i="57"/>
  <c r="N14" i="57"/>
  <c r="H14" i="57"/>
  <c r="E14" i="56"/>
  <c r="D14" i="56"/>
  <c r="C14" i="56"/>
  <c r="C616" i="60"/>
  <c r="S616" i="60" s="1"/>
  <c r="S512" i="60"/>
  <c r="S511" i="60"/>
  <c r="C615" i="60"/>
  <c r="S615" i="60" s="1"/>
  <c r="S498" i="60"/>
  <c r="C602" i="60"/>
  <c r="S602" i="60" s="1"/>
  <c r="S510" i="60"/>
  <c r="C614" i="60"/>
  <c r="S614" i="60" s="1"/>
  <c r="C624" i="60"/>
  <c r="S624" i="60" s="1"/>
  <c r="S520" i="60"/>
  <c r="S521" i="60"/>
  <c r="C625" i="60"/>
  <c r="S625" i="60" s="1"/>
  <c r="S514" i="60"/>
  <c r="C618" i="60"/>
  <c r="S618" i="60" s="1"/>
  <c r="S506" i="60"/>
  <c r="C610" i="60"/>
  <c r="S610" i="60" s="1"/>
  <c r="S509" i="60"/>
  <c r="C613" i="60"/>
  <c r="S613" i="60" s="1"/>
  <c r="C604" i="60"/>
  <c r="S604" i="60" s="1"/>
  <c r="S500" i="60"/>
  <c r="S519" i="60"/>
  <c r="C623" i="60"/>
  <c r="S623" i="60" s="1"/>
  <c r="S503" i="60"/>
  <c r="C607" i="60"/>
  <c r="S607" i="60" s="1"/>
  <c r="S497" i="60"/>
  <c r="C601" i="60"/>
  <c r="S601" i="60" s="1"/>
  <c r="C612" i="60"/>
  <c r="S612" i="60" s="1"/>
  <c r="S508" i="60"/>
  <c r="S502" i="60"/>
  <c r="C606" i="60"/>
  <c r="S606" i="60" s="1"/>
  <c r="C608" i="60"/>
  <c r="S608" i="60" s="1"/>
  <c r="S504" i="60"/>
  <c r="E14" i="57"/>
  <c r="D14" i="57"/>
  <c r="F14" i="57"/>
  <c r="C14" i="57"/>
  <c r="N12" i="57"/>
  <c r="O12" i="57"/>
  <c r="P12" i="57"/>
  <c r="J12" i="57"/>
  <c r="E12" i="57" s="1"/>
  <c r="I12" i="57"/>
  <c r="D12" i="57" s="1"/>
  <c r="Q12" i="57"/>
  <c r="K12" i="57"/>
  <c r="F12" i="57" s="1"/>
  <c r="H12" i="57"/>
  <c r="C12" i="57" s="1"/>
  <c r="O11" i="57"/>
  <c r="K11" i="57"/>
  <c r="H11" i="57"/>
  <c r="J11" i="57"/>
  <c r="E11" i="57" s="1"/>
  <c r="P11" i="57"/>
  <c r="I11" i="57"/>
  <c r="D11" i="57" s="1"/>
  <c r="A25" i="56"/>
  <c r="A24" i="56"/>
  <c r="A23" i="56"/>
  <c r="A22" i="56"/>
  <c r="B13" i="57"/>
  <c r="B16" i="57"/>
  <c r="U19" i="56"/>
  <c r="N19" i="56"/>
  <c r="G19" i="56" s="1"/>
  <c r="R19" i="56"/>
  <c r="V19" i="56"/>
  <c r="K19" i="56"/>
  <c r="D19" i="56" s="1"/>
  <c r="O19" i="56"/>
  <c r="H19" i="56" s="1"/>
  <c r="L19" i="56"/>
  <c r="E19" i="56" s="1"/>
  <c r="Q19" i="56"/>
  <c r="M19" i="56"/>
  <c r="F19" i="56" s="1"/>
  <c r="S19" i="56"/>
  <c r="J19" i="56"/>
  <c r="C19" i="56" s="1"/>
  <c r="T19" i="56"/>
  <c r="U18" i="56"/>
  <c r="V18" i="56"/>
  <c r="S18" i="56"/>
  <c r="K18" i="56"/>
  <c r="O18" i="56"/>
  <c r="T18" i="56"/>
  <c r="L18" i="56"/>
  <c r="E18" i="56" s="1"/>
  <c r="J18" i="56"/>
  <c r="C18" i="56" s="1"/>
  <c r="Q18" i="56"/>
  <c r="M18" i="56"/>
  <c r="F18" i="56" s="1"/>
  <c r="N18" i="56"/>
  <c r="G18" i="56" s="1"/>
  <c r="R20" i="56"/>
  <c r="V20" i="56"/>
  <c r="K20" i="56"/>
  <c r="D20" i="56" s="1"/>
  <c r="O20" i="56"/>
  <c r="H20" i="56" s="1"/>
  <c r="S20" i="56"/>
  <c r="L20" i="56"/>
  <c r="E20" i="56" s="1"/>
  <c r="Q20" i="56"/>
  <c r="M20" i="56"/>
  <c r="F20" i="56" s="1"/>
  <c r="N20" i="56"/>
  <c r="G20" i="56" s="1"/>
  <c r="T20" i="56"/>
  <c r="J20" i="56"/>
  <c r="C20" i="56" s="1"/>
  <c r="U20" i="56"/>
  <c r="S21" i="56"/>
  <c r="L21" i="56"/>
  <c r="Q21" i="56"/>
  <c r="T21" i="56"/>
  <c r="J21" i="56"/>
  <c r="C21" i="56" s="1"/>
  <c r="M21" i="56"/>
  <c r="F21" i="56" s="1"/>
  <c r="N21" i="56"/>
  <c r="G21" i="56" s="1"/>
  <c r="U21" i="56"/>
  <c r="O21" i="56"/>
  <c r="V21" i="56"/>
  <c r="K21" i="56"/>
  <c r="B24" i="56"/>
  <c r="B25" i="56"/>
  <c r="B23" i="56"/>
  <c r="B22" i="56"/>
  <c r="T22" i="56" l="1"/>
  <c r="M22" i="56"/>
  <c r="S22" i="56"/>
  <c r="L22" i="56"/>
  <c r="V22" i="56"/>
  <c r="R22" i="56"/>
  <c r="O22" i="56"/>
  <c r="K22" i="56"/>
  <c r="U22" i="56"/>
  <c r="Q22" i="56"/>
  <c r="N22" i="56"/>
  <c r="J22" i="56"/>
  <c r="V23" i="56"/>
  <c r="R23" i="56"/>
  <c r="O23" i="56"/>
  <c r="K23" i="56"/>
  <c r="U23" i="56"/>
  <c r="Q23" i="56"/>
  <c r="N23" i="56"/>
  <c r="J23" i="56"/>
  <c r="T23" i="56"/>
  <c r="M23" i="56"/>
  <c r="S23" i="56"/>
  <c r="L23" i="56"/>
  <c r="V25" i="56"/>
  <c r="R25" i="56"/>
  <c r="O25" i="56"/>
  <c r="H25" i="56" s="1"/>
  <c r="K25" i="56"/>
  <c r="D25" i="56" s="1"/>
  <c r="U25" i="56"/>
  <c r="Q25" i="56"/>
  <c r="N25" i="56"/>
  <c r="G25" i="56" s="1"/>
  <c r="J25" i="56"/>
  <c r="T25" i="56"/>
  <c r="M25" i="56"/>
  <c r="S25" i="56"/>
  <c r="L25" i="56"/>
  <c r="E25" i="56" s="1"/>
  <c r="T24" i="56"/>
  <c r="M24" i="56"/>
  <c r="S24" i="56"/>
  <c r="L24" i="56"/>
  <c r="V24" i="56"/>
  <c r="R24" i="56"/>
  <c r="O24" i="56"/>
  <c r="K24" i="56"/>
  <c r="U24" i="56"/>
  <c r="Q24" i="56"/>
  <c r="N24" i="56"/>
  <c r="J24" i="56"/>
  <c r="Q13" i="57"/>
  <c r="K13" i="57"/>
  <c r="F13" i="57" s="1"/>
  <c r="P13" i="57"/>
  <c r="J13" i="57"/>
  <c r="O13" i="57"/>
  <c r="I13" i="57"/>
  <c r="N13" i="57"/>
  <c r="H13" i="57"/>
  <c r="H18" i="56"/>
  <c r="H21" i="56"/>
  <c r="E21" i="56"/>
  <c r="O16" i="57"/>
  <c r="N16" i="57"/>
  <c r="Q16" i="57"/>
  <c r="J16" i="57"/>
  <c r="E16" i="57" s="1"/>
  <c r="K16" i="57"/>
  <c r="F16" i="57" s="1"/>
  <c r="P16" i="57"/>
  <c r="H16" i="57"/>
  <c r="C16" i="57" s="1"/>
  <c r="I16" i="57"/>
  <c r="D16" i="57" s="1"/>
  <c r="A26" i="56"/>
  <c r="A28" i="56"/>
  <c r="A27" i="56"/>
  <c r="A29" i="56"/>
  <c r="B15" i="57"/>
  <c r="B18" i="57"/>
  <c r="F22" i="56"/>
  <c r="G22" i="56"/>
  <c r="F23" i="56"/>
  <c r="G23" i="56"/>
  <c r="F25" i="56"/>
  <c r="C25" i="56"/>
  <c r="F24" i="56"/>
  <c r="G24" i="56"/>
  <c r="B28" i="56"/>
  <c r="B26" i="56"/>
  <c r="B29" i="56"/>
  <c r="B27" i="56"/>
  <c r="R42" i="52"/>
  <c r="W42" i="52"/>
  <c r="Y42" i="52"/>
  <c r="R49" i="52"/>
  <c r="W49" i="52"/>
  <c r="Y49" i="52"/>
  <c r="H22" i="56" l="1"/>
  <c r="H24" i="56"/>
  <c r="E13" i="57"/>
  <c r="E24" i="56"/>
  <c r="O18" i="57"/>
  <c r="N18" i="57"/>
  <c r="Q18" i="57"/>
  <c r="P18" i="57"/>
  <c r="J18" i="57"/>
  <c r="E18" i="57" s="1"/>
  <c r="K18" i="57"/>
  <c r="F18" i="57" s="1"/>
  <c r="I18" i="57"/>
  <c r="D18" i="57" s="1"/>
  <c r="H18" i="57"/>
  <c r="C18" i="57" s="1"/>
  <c r="Q15" i="57"/>
  <c r="P15" i="57"/>
  <c r="O15" i="57"/>
  <c r="K15" i="57"/>
  <c r="F15" i="57" s="1"/>
  <c r="N15" i="57"/>
  <c r="H15" i="57"/>
  <c r="C15" i="57" s="1"/>
  <c r="J15" i="57"/>
  <c r="E15" i="57" s="1"/>
  <c r="I15" i="57"/>
  <c r="D15" i="57" s="1"/>
  <c r="A32" i="56"/>
  <c r="A33" i="56"/>
  <c r="A31" i="56"/>
  <c r="A30" i="56"/>
  <c r="B20" i="57"/>
  <c r="B17" i="57"/>
  <c r="Q28" i="56"/>
  <c r="T28" i="56"/>
  <c r="J28" i="56"/>
  <c r="C28" i="56" s="1"/>
  <c r="M28" i="56"/>
  <c r="F28" i="56" s="1"/>
  <c r="R28" i="56"/>
  <c r="O28" i="56"/>
  <c r="H28" i="56" s="1"/>
  <c r="S28" i="56"/>
  <c r="K28" i="56"/>
  <c r="D28" i="56" s="1"/>
  <c r="U28" i="56"/>
  <c r="L28" i="56"/>
  <c r="E28" i="56" s="1"/>
  <c r="V28" i="56"/>
  <c r="N28" i="56"/>
  <c r="G28" i="56" s="1"/>
  <c r="S27" i="56"/>
  <c r="L27" i="56"/>
  <c r="E27" i="56" s="1"/>
  <c r="T27" i="56"/>
  <c r="K27" i="56"/>
  <c r="D27" i="56" s="1"/>
  <c r="Q27" i="56"/>
  <c r="U27" i="56"/>
  <c r="M27" i="56"/>
  <c r="F27" i="56" s="1"/>
  <c r="V27" i="56"/>
  <c r="J27" i="56"/>
  <c r="C27" i="56" s="1"/>
  <c r="N27" i="56"/>
  <c r="G27" i="56" s="1"/>
  <c r="O27" i="56"/>
  <c r="H27" i="56" s="1"/>
  <c r="R27" i="56"/>
  <c r="S26" i="56"/>
  <c r="Q26" i="56"/>
  <c r="L26" i="56"/>
  <c r="E26" i="56" s="1"/>
  <c r="J26" i="56"/>
  <c r="C26" i="56" s="1"/>
  <c r="U26" i="56"/>
  <c r="M26" i="56"/>
  <c r="F26" i="56" s="1"/>
  <c r="V26" i="56"/>
  <c r="N26" i="56"/>
  <c r="G26" i="56" s="1"/>
  <c r="R26" i="56"/>
  <c r="O26" i="56"/>
  <c r="H26" i="56" s="1"/>
  <c r="K26" i="56"/>
  <c r="D26" i="56" s="1"/>
  <c r="T26" i="56"/>
  <c r="U29" i="56"/>
  <c r="N29" i="56"/>
  <c r="G29" i="56" s="1"/>
  <c r="Q29" i="56"/>
  <c r="V29" i="56"/>
  <c r="M29" i="56"/>
  <c r="F29" i="56" s="1"/>
  <c r="R29" i="56"/>
  <c r="J29" i="56"/>
  <c r="C29" i="56" s="1"/>
  <c r="O29" i="56"/>
  <c r="H29" i="56" s="1"/>
  <c r="S29" i="56"/>
  <c r="K29" i="56"/>
  <c r="D29" i="56" s="1"/>
  <c r="T29" i="56"/>
  <c r="L29" i="56"/>
  <c r="E29" i="56" s="1"/>
  <c r="B33" i="56"/>
  <c r="B31" i="56"/>
  <c r="B30" i="56"/>
  <c r="B32" i="56"/>
  <c r="O20" i="57" l="1"/>
  <c r="N20" i="57"/>
  <c r="Q20" i="57"/>
  <c r="J20" i="57"/>
  <c r="E20" i="57" s="1"/>
  <c r="I20" i="57"/>
  <c r="D20" i="57" s="1"/>
  <c r="P20" i="57"/>
  <c r="K20" i="57"/>
  <c r="F20" i="57" s="1"/>
  <c r="H20" i="57"/>
  <c r="C20" i="57" s="1"/>
  <c r="Q17" i="57"/>
  <c r="O17" i="57"/>
  <c r="K17" i="57"/>
  <c r="F17" i="57" s="1"/>
  <c r="J17" i="57"/>
  <c r="H17" i="57"/>
  <c r="I17" i="57"/>
  <c r="D17" i="57" s="1"/>
  <c r="A35" i="56"/>
  <c r="A34" i="56"/>
  <c r="A37" i="56"/>
  <c r="A36" i="56"/>
  <c r="B19" i="57"/>
  <c r="B22" i="57"/>
  <c r="R33" i="56"/>
  <c r="V33" i="56"/>
  <c r="K33" i="56"/>
  <c r="D33" i="56" s="1"/>
  <c r="O33" i="56"/>
  <c r="H33" i="56" s="1"/>
  <c r="S33" i="56"/>
  <c r="L33" i="56"/>
  <c r="E33" i="56" s="1"/>
  <c r="Q33" i="56"/>
  <c r="T33" i="56"/>
  <c r="J33" i="56"/>
  <c r="C33" i="56" s="1"/>
  <c r="M33" i="56"/>
  <c r="F33" i="56" s="1"/>
  <c r="U33" i="56"/>
  <c r="N33" i="56"/>
  <c r="G33" i="56" s="1"/>
  <c r="U32" i="56"/>
  <c r="N32" i="56"/>
  <c r="G32" i="56" s="1"/>
  <c r="R32" i="56"/>
  <c r="V32" i="56"/>
  <c r="K32" i="56"/>
  <c r="D32" i="56" s="1"/>
  <c r="O32" i="56"/>
  <c r="H32" i="56" s="1"/>
  <c r="L32" i="56"/>
  <c r="T32" i="56"/>
  <c r="J32" i="56"/>
  <c r="M32" i="56"/>
  <c r="F32" i="56" s="1"/>
  <c r="T30" i="56"/>
  <c r="M30" i="56"/>
  <c r="F30" i="56" s="1"/>
  <c r="N30" i="56"/>
  <c r="K30" i="56"/>
  <c r="O30" i="56"/>
  <c r="L30" i="56"/>
  <c r="J30" i="56"/>
  <c r="Q31" i="56"/>
  <c r="T31" i="56"/>
  <c r="J31" i="56"/>
  <c r="C31" i="56" s="1"/>
  <c r="M31" i="56"/>
  <c r="F31" i="56" s="1"/>
  <c r="U31" i="56"/>
  <c r="N31" i="56"/>
  <c r="G31" i="56" s="1"/>
  <c r="R31" i="56"/>
  <c r="V31" i="56"/>
  <c r="K31" i="56"/>
  <c r="D31" i="56" s="1"/>
  <c r="O31" i="56"/>
  <c r="H31" i="56" s="1"/>
  <c r="L31" i="56"/>
  <c r="E31" i="56" s="1"/>
  <c r="S31" i="56"/>
  <c r="B34" i="56"/>
  <c r="B37" i="56"/>
  <c r="B36" i="56"/>
  <c r="B35" i="56"/>
  <c r="U16" i="10"/>
  <c r="W16" i="10" s="1"/>
  <c r="U15" i="10"/>
  <c r="W15" i="10" s="1"/>
  <c r="U14" i="10"/>
  <c r="W14" i="10" s="1"/>
  <c r="N15" i="10"/>
  <c r="O15" i="10" s="1"/>
  <c r="R15" i="10" s="1"/>
  <c r="N16" i="10"/>
  <c r="O16" i="10" s="1"/>
  <c r="R13" i="10"/>
  <c r="N14" i="10"/>
  <c r="O14" i="10" s="1"/>
  <c r="R14" i="10" s="1"/>
  <c r="U13" i="10"/>
  <c r="W13" i="10" s="1"/>
  <c r="U12" i="10"/>
  <c r="W12" i="10" s="1"/>
  <c r="R12" i="10"/>
  <c r="R11" i="10"/>
  <c r="U11" i="10"/>
  <c r="Y11" i="10" s="1"/>
  <c r="U10" i="10"/>
  <c r="W10" i="10" s="1"/>
  <c r="R10" i="10"/>
  <c r="U6" i="10"/>
  <c r="U4" i="10"/>
  <c r="U7" i="10"/>
  <c r="U5" i="10"/>
  <c r="U3" i="51"/>
  <c r="R4" i="44"/>
  <c r="G418" i="60" l="1"/>
  <c r="V418" i="60" s="1"/>
  <c r="G210" i="60"/>
  <c r="V210" i="60" s="1"/>
  <c r="G2" i="60"/>
  <c r="V2" i="60" s="1"/>
  <c r="N22" i="57"/>
  <c r="O22" i="57"/>
  <c r="P22" i="57"/>
  <c r="J22" i="57"/>
  <c r="E22" i="57" s="1"/>
  <c r="I22" i="57"/>
  <c r="D22" i="57" s="1"/>
  <c r="K22" i="57"/>
  <c r="F22" i="57" s="1"/>
  <c r="Q22" i="57"/>
  <c r="H22" i="57"/>
  <c r="C22" i="57" s="1"/>
  <c r="Q19" i="57"/>
  <c r="P19" i="57"/>
  <c r="O19" i="57"/>
  <c r="K19" i="57"/>
  <c r="F19" i="57" s="1"/>
  <c r="N19" i="57"/>
  <c r="H19" i="57"/>
  <c r="C19" i="57" s="1"/>
  <c r="I19" i="57"/>
  <c r="D19" i="57" s="1"/>
  <c r="J19" i="57"/>
  <c r="E19" i="57" s="1"/>
  <c r="A40" i="56"/>
  <c r="A38" i="56"/>
  <c r="A41" i="56"/>
  <c r="A39" i="56"/>
  <c r="B24" i="57"/>
  <c r="B21" i="57"/>
  <c r="R37" i="56"/>
  <c r="V37" i="56"/>
  <c r="K37" i="56"/>
  <c r="D37" i="56" s="1"/>
  <c r="O37" i="56"/>
  <c r="H37" i="56" s="1"/>
  <c r="S37" i="56"/>
  <c r="L37" i="56"/>
  <c r="E37" i="56" s="1"/>
  <c r="Q37" i="56"/>
  <c r="T37" i="56"/>
  <c r="J37" i="56"/>
  <c r="C37" i="56" s="1"/>
  <c r="M37" i="56"/>
  <c r="F37" i="56" s="1"/>
  <c r="U37" i="56"/>
  <c r="N37" i="56"/>
  <c r="G37" i="56" s="1"/>
  <c r="U36" i="56"/>
  <c r="N36" i="56"/>
  <c r="G36" i="56" s="1"/>
  <c r="R36" i="56"/>
  <c r="V36" i="56"/>
  <c r="K36" i="56"/>
  <c r="D36" i="56" s="1"/>
  <c r="O36" i="56"/>
  <c r="H36" i="56" s="1"/>
  <c r="S36" i="56"/>
  <c r="L36" i="56"/>
  <c r="E36" i="56" s="1"/>
  <c r="T36" i="56"/>
  <c r="J36" i="56"/>
  <c r="C36" i="56" s="1"/>
  <c r="M36" i="56"/>
  <c r="F36" i="56" s="1"/>
  <c r="Q36" i="56"/>
  <c r="Q35" i="56"/>
  <c r="T35" i="56"/>
  <c r="J35" i="56"/>
  <c r="C35" i="56" s="1"/>
  <c r="M35" i="56"/>
  <c r="F35" i="56" s="1"/>
  <c r="U35" i="56"/>
  <c r="N35" i="56"/>
  <c r="G35" i="56" s="1"/>
  <c r="R35" i="56"/>
  <c r="V35" i="56"/>
  <c r="K35" i="56"/>
  <c r="D35" i="56" s="1"/>
  <c r="O35" i="56"/>
  <c r="H35" i="56" s="1"/>
  <c r="S35" i="56"/>
  <c r="L35" i="56"/>
  <c r="E35" i="56" s="1"/>
  <c r="T34" i="56"/>
  <c r="M34" i="56"/>
  <c r="F34" i="56" s="1"/>
  <c r="U34" i="56"/>
  <c r="N34" i="56"/>
  <c r="G34" i="56" s="1"/>
  <c r="R34" i="56"/>
  <c r="V34" i="56"/>
  <c r="K34" i="56"/>
  <c r="D34" i="56" s="1"/>
  <c r="O34" i="56"/>
  <c r="H34" i="56" s="1"/>
  <c r="Q34" i="56"/>
  <c r="J34" i="56"/>
  <c r="C34" i="56" s="1"/>
  <c r="S34" i="56"/>
  <c r="L34" i="56"/>
  <c r="E34" i="56" s="1"/>
  <c r="B39" i="56"/>
  <c r="B40" i="56"/>
  <c r="B38" i="56"/>
  <c r="B41" i="56"/>
  <c r="Y13" i="10"/>
  <c r="Y10" i="10"/>
  <c r="Y16" i="10"/>
  <c r="R16" i="10"/>
  <c r="Y14" i="10"/>
  <c r="Y15" i="10"/>
  <c r="W11" i="10"/>
  <c r="Y12" i="10"/>
  <c r="G106" i="60" l="1"/>
  <c r="V106" i="60" s="1"/>
  <c r="O24" i="57"/>
  <c r="I24" i="57"/>
  <c r="Q24" i="57"/>
  <c r="K24" i="57"/>
  <c r="P24" i="57"/>
  <c r="J24" i="57"/>
  <c r="N24" i="57"/>
  <c r="H24" i="57"/>
  <c r="E24" i="57"/>
  <c r="F24" i="57"/>
  <c r="Q21" i="57"/>
  <c r="O21" i="57"/>
  <c r="K21" i="57"/>
  <c r="F21" i="57" s="1"/>
  <c r="H21" i="57"/>
  <c r="J21" i="57"/>
  <c r="I21" i="57"/>
  <c r="D21" i="57" s="1"/>
  <c r="A45" i="56"/>
  <c r="A42" i="56"/>
  <c r="A43" i="56"/>
  <c r="A44" i="56"/>
  <c r="B26" i="57"/>
  <c r="B23" i="57"/>
  <c r="R41" i="56"/>
  <c r="V41" i="56"/>
  <c r="K41" i="56"/>
  <c r="D41" i="56" s="1"/>
  <c r="O41" i="56"/>
  <c r="H41" i="56" s="1"/>
  <c r="S41" i="56"/>
  <c r="L41" i="56"/>
  <c r="E41" i="56" s="1"/>
  <c r="Q41" i="56"/>
  <c r="T41" i="56"/>
  <c r="J41" i="56"/>
  <c r="C41" i="56" s="1"/>
  <c r="M41" i="56"/>
  <c r="F41" i="56" s="1"/>
  <c r="N41" i="56"/>
  <c r="G41" i="56" s="1"/>
  <c r="U41" i="56"/>
  <c r="U40" i="56"/>
  <c r="N40" i="56"/>
  <c r="G40" i="56" s="1"/>
  <c r="R40" i="56"/>
  <c r="V40" i="56"/>
  <c r="K40" i="56"/>
  <c r="D40" i="56" s="1"/>
  <c r="O40" i="56"/>
  <c r="H40" i="56" s="1"/>
  <c r="S40" i="56"/>
  <c r="L40" i="56"/>
  <c r="E40" i="56" s="1"/>
  <c r="J40" i="56"/>
  <c r="C40" i="56" s="1"/>
  <c r="Q40" i="56"/>
  <c r="M40" i="56"/>
  <c r="Q39" i="56"/>
  <c r="T39" i="56"/>
  <c r="J39" i="56"/>
  <c r="C39" i="56" s="1"/>
  <c r="M39" i="56"/>
  <c r="F39" i="56" s="1"/>
  <c r="U39" i="56"/>
  <c r="N39" i="56"/>
  <c r="G39" i="56" s="1"/>
  <c r="R39" i="56"/>
  <c r="V39" i="56"/>
  <c r="K39" i="56"/>
  <c r="D39" i="56" s="1"/>
  <c r="O39" i="56"/>
  <c r="H39" i="56" s="1"/>
  <c r="L39" i="56"/>
  <c r="E39" i="56" s="1"/>
  <c r="S39" i="56"/>
  <c r="M38" i="56"/>
  <c r="U38" i="56"/>
  <c r="N38" i="56"/>
  <c r="G38" i="56" s="1"/>
  <c r="R38" i="56"/>
  <c r="V38" i="56"/>
  <c r="K38" i="56"/>
  <c r="D38" i="56" s="1"/>
  <c r="O38" i="56"/>
  <c r="H38" i="56" s="1"/>
  <c r="Q38" i="56"/>
  <c r="L38" i="56"/>
  <c r="E38" i="56" s="1"/>
  <c r="S38" i="56"/>
  <c r="J38" i="56"/>
  <c r="C38" i="56" s="1"/>
  <c r="B45" i="56"/>
  <c r="B42" i="56"/>
  <c r="B44" i="56"/>
  <c r="B43" i="56"/>
  <c r="W23" i="49"/>
  <c r="F206" i="60" s="1"/>
  <c r="W20" i="49"/>
  <c r="F102" i="60" s="1"/>
  <c r="W15" i="49"/>
  <c r="W13" i="49"/>
  <c r="F128" i="60" s="1"/>
  <c r="T43" i="56" l="1"/>
  <c r="M43" i="56"/>
  <c r="V43" i="56"/>
  <c r="R43" i="56"/>
  <c r="O43" i="56"/>
  <c r="K43" i="56"/>
  <c r="S43" i="56"/>
  <c r="L43" i="56"/>
  <c r="Q43" i="56"/>
  <c r="J43" i="56"/>
  <c r="U43" i="56"/>
  <c r="N43" i="56"/>
  <c r="V44" i="56"/>
  <c r="R44" i="56"/>
  <c r="O44" i="56"/>
  <c r="K44" i="56"/>
  <c r="T44" i="56"/>
  <c r="M44" i="56"/>
  <c r="U44" i="56"/>
  <c r="N44" i="56"/>
  <c r="S44" i="56"/>
  <c r="L44" i="56"/>
  <c r="Q44" i="56"/>
  <c r="J44" i="56"/>
  <c r="V42" i="56"/>
  <c r="R42" i="56"/>
  <c r="O42" i="56"/>
  <c r="K42" i="56"/>
  <c r="T42" i="56"/>
  <c r="M42" i="56"/>
  <c r="Q42" i="56"/>
  <c r="J42" i="56"/>
  <c r="S42" i="56"/>
  <c r="L42" i="56"/>
  <c r="U42" i="56"/>
  <c r="N42" i="56"/>
  <c r="O23" i="57"/>
  <c r="I23" i="57"/>
  <c r="Q23" i="57"/>
  <c r="K23" i="57"/>
  <c r="N23" i="57"/>
  <c r="H23" i="57"/>
  <c r="P23" i="57"/>
  <c r="J23" i="57"/>
  <c r="T45" i="56"/>
  <c r="M45" i="56"/>
  <c r="V45" i="56"/>
  <c r="R45" i="56"/>
  <c r="O45" i="56"/>
  <c r="K45" i="56"/>
  <c r="U45" i="56"/>
  <c r="N45" i="56"/>
  <c r="Q45" i="56"/>
  <c r="J45" i="56"/>
  <c r="S45" i="56"/>
  <c r="L45" i="56"/>
  <c r="V128" i="60"/>
  <c r="U128" i="60"/>
  <c r="V102" i="60"/>
  <c r="U102" i="60"/>
  <c r="V206" i="60"/>
  <c r="U206" i="60"/>
  <c r="G24" i="60"/>
  <c r="V24" i="60" s="1"/>
  <c r="F24" i="60"/>
  <c r="U24" i="60" s="1"/>
  <c r="N26" i="57"/>
  <c r="O26" i="57"/>
  <c r="P26" i="57"/>
  <c r="J26" i="57"/>
  <c r="E26" i="57" s="1"/>
  <c r="Q26" i="57"/>
  <c r="K26" i="57"/>
  <c r="F26" i="57" s="1"/>
  <c r="H26" i="57"/>
  <c r="C26" i="57" s="1"/>
  <c r="I26" i="57"/>
  <c r="D26" i="57" s="1"/>
  <c r="A48" i="56"/>
  <c r="A46" i="56"/>
  <c r="A47" i="56"/>
  <c r="A49" i="56"/>
  <c r="B25" i="57"/>
  <c r="B28" i="57"/>
  <c r="B47" i="56"/>
  <c r="B48" i="56"/>
  <c r="B49" i="56"/>
  <c r="B46" i="56"/>
  <c r="Y96" i="21"/>
  <c r="Q96" i="21"/>
  <c r="W96" i="21" s="1"/>
  <c r="P96" i="21"/>
  <c r="U95" i="21"/>
  <c r="Y95" i="21" s="1"/>
  <c r="Q95" i="21"/>
  <c r="R95" i="21" s="1"/>
  <c r="P95" i="21"/>
  <c r="Y94" i="21"/>
  <c r="Q94" i="21"/>
  <c r="W94" i="21" s="1"/>
  <c r="P94" i="21"/>
  <c r="U93" i="21"/>
  <c r="Y93" i="21" s="1"/>
  <c r="Q93" i="21"/>
  <c r="R93" i="21" s="1"/>
  <c r="P93" i="21"/>
  <c r="U92" i="21"/>
  <c r="Q92" i="21"/>
  <c r="R92" i="21" s="1"/>
  <c r="P92" i="21"/>
  <c r="U91" i="21"/>
  <c r="Y91" i="21" s="1"/>
  <c r="Q91" i="21"/>
  <c r="R91" i="21" s="1"/>
  <c r="P91" i="21"/>
  <c r="U90" i="21"/>
  <c r="Y90" i="21" s="1"/>
  <c r="Q90" i="21"/>
  <c r="R90" i="21" s="1"/>
  <c r="P90" i="21"/>
  <c r="U89" i="21"/>
  <c r="Q89" i="21"/>
  <c r="R89" i="21" s="1"/>
  <c r="P89" i="21"/>
  <c r="U88" i="21"/>
  <c r="Q88" i="21"/>
  <c r="R88" i="21" s="1"/>
  <c r="P88" i="21"/>
  <c r="U87" i="21"/>
  <c r="Y87" i="21" s="1"/>
  <c r="Q87" i="21"/>
  <c r="R87" i="21" s="1"/>
  <c r="P87" i="21"/>
  <c r="U86" i="21"/>
  <c r="Q86" i="21"/>
  <c r="R86" i="21" s="1"/>
  <c r="P86" i="21"/>
  <c r="U85" i="21"/>
  <c r="Q85" i="21"/>
  <c r="R85" i="21" s="1"/>
  <c r="P85" i="21"/>
  <c r="U84" i="21"/>
  <c r="Q84" i="21"/>
  <c r="R84" i="21" s="1"/>
  <c r="P84" i="21"/>
  <c r="U83" i="21"/>
  <c r="Y83" i="21" s="1"/>
  <c r="Q83" i="21"/>
  <c r="R83" i="21" s="1"/>
  <c r="P83" i="21"/>
  <c r="Y82" i="21"/>
  <c r="Q82" i="21"/>
  <c r="W82" i="21" s="1"/>
  <c r="P82" i="21"/>
  <c r="U81" i="21"/>
  <c r="Y81" i="21" s="1"/>
  <c r="Q81" i="21"/>
  <c r="R81" i="21" s="1"/>
  <c r="P81" i="21"/>
  <c r="U80" i="21"/>
  <c r="Y80" i="21" s="1"/>
  <c r="Q80" i="21"/>
  <c r="R80" i="21" s="1"/>
  <c r="P80" i="21"/>
  <c r="U79" i="21"/>
  <c r="Y79" i="21" s="1"/>
  <c r="Q79" i="21"/>
  <c r="R79" i="21" s="1"/>
  <c r="P79" i="21"/>
  <c r="U78" i="21"/>
  <c r="Q78" i="21"/>
  <c r="R78" i="21" s="1"/>
  <c r="P78" i="21"/>
  <c r="U77" i="21"/>
  <c r="Y77" i="21" s="1"/>
  <c r="Q77" i="21"/>
  <c r="R77" i="21" s="1"/>
  <c r="P77" i="21"/>
  <c r="U76" i="21"/>
  <c r="Q76" i="21"/>
  <c r="R76" i="21" s="1"/>
  <c r="P76" i="21"/>
  <c r="U75" i="21"/>
  <c r="Y75" i="21" s="1"/>
  <c r="Q75" i="21"/>
  <c r="R75" i="21" s="1"/>
  <c r="P75" i="21"/>
  <c r="Y74" i="21"/>
  <c r="Q74" i="21"/>
  <c r="W74" i="21" s="1"/>
  <c r="P74" i="21"/>
  <c r="U73" i="21"/>
  <c r="Y73" i="21" s="1"/>
  <c r="Q73" i="21"/>
  <c r="R73" i="21" s="1"/>
  <c r="P73" i="21"/>
  <c r="U72" i="21"/>
  <c r="Q72" i="21"/>
  <c r="R72" i="21" s="1"/>
  <c r="P72" i="21"/>
  <c r="U71" i="21"/>
  <c r="Y71" i="21" s="1"/>
  <c r="Q71" i="21"/>
  <c r="R71" i="21" s="1"/>
  <c r="P71" i="21"/>
  <c r="U70" i="21"/>
  <c r="Y70" i="21" s="1"/>
  <c r="Q70" i="21"/>
  <c r="R70" i="21" s="1"/>
  <c r="P70" i="21"/>
  <c r="U69" i="21"/>
  <c r="Y69" i="21" s="1"/>
  <c r="Q69" i="21"/>
  <c r="P69" i="21"/>
  <c r="U68" i="21"/>
  <c r="Y68" i="21" s="1"/>
  <c r="Q68" i="21"/>
  <c r="R68" i="21" s="1"/>
  <c r="P68" i="21"/>
  <c r="U67" i="21"/>
  <c r="Q67" i="21"/>
  <c r="R67" i="21" s="1"/>
  <c r="P67" i="21"/>
  <c r="U66" i="21"/>
  <c r="Y66" i="21" s="1"/>
  <c r="Q66" i="21"/>
  <c r="P66" i="21"/>
  <c r="U65" i="21"/>
  <c r="Y65" i="21" s="1"/>
  <c r="Q65" i="21"/>
  <c r="R65" i="21" s="1"/>
  <c r="P65" i="21"/>
  <c r="U64" i="21"/>
  <c r="Q64" i="21"/>
  <c r="R64" i="21" s="1"/>
  <c r="P64" i="21"/>
  <c r="U63" i="21"/>
  <c r="Y63" i="21" s="1"/>
  <c r="Q63" i="21"/>
  <c r="R63" i="21" s="1"/>
  <c r="P63" i="21"/>
  <c r="U62" i="21"/>
  <c r="Y62" i="21" s="1"/>
  <c r="Q62" i="21"/>
  <c r="R62" i="21" s="1"/>
  <c r="P62" i="21"/>
  <c r="U61" i="21"/>
  <c r="Q61" i="21"/>
  <c r="R61" i="21" s="1"/>
  <c r="P61" i="21"/>
  <c r="U60" i="21"/>
  <c r="Y60" i="21" s="1"/>
  <c r="Q60" i="21"/>
  <c r="P60" i="21"/>
  <c r="U59" i="21"/>
  <c r="Y59" i="21" s="1"/>
  <c r="Q59" i="21"/>
  <c r="R59" i="21" s="1"/>
  <c r="P59" i="21"/>
  <c r="U58" i="21"/>
  <c r="Y58" i="21" s="1"/>
  <c r="Q58" i="21"/>
  <c r="P58" i="21"/>
  <c r="U57" i="21"/>
  <c r="Y57" i="21" s="1"/>
  <c r="Q57" i="21"/>
  <c r="R57" i="21" s="1"/>
  <c r="P57" i="21"/>
  <c r="Y56" i="21"/>
  <c r="Q56" i="21"/>
  <c r="W56" i="21" s="1"/>
  <c r="P56" i="21"/>
  <c r="U55" i="21"/>
  <c r="Y55" i="21" s="1"/>
  <c r="Q55" i="21"/>
  <c r="R55" i="21" s="1"/>
  <c r="P55" i="21"/>
  <c r="Y54" i="21"/>
  <c r="Q54" i="21"/>
  <c r="W54" i="21" s="1"/>
  <c r="F299" i="60" s="1"/>
  <c r="P54" i="21"/>
  <c r="U53" i="21"/>
  <c r="Y53" i="21" s="1"/>
  <c r="Q53" i="21"/>
  <c r="R53" i="21" s="1"/>
  <c r="P53" i="21"/>
  <c r="U52" i="21"/>
  <c r="Y52" i="21" s="1"/>
  <c r="Q52" i="21"/>
  <c r="R52" i="21" s="1"/>
  <c r="P52" i="21"/>
  <c r="U51" i="21"/>
  <c r="Q51" i="21"/>
  <c r="R51" i="21" s="1"/>
  <c r="P51" i="21"/>
  <c r="Y50" i="21"/>
  <c r="Q50" i="21"/>
  <c r="P50" i="21"/>
  <c r="U49" i="21"/>
  <c r="Q49" i="21"/>
  <c r="R49" i="21" s="1"/>
  <c r="P49" i="21"/>
  <c r="Y48" i="21"/>
  <c r="Q48" i="21"/>
  <c r="P48" i="21"/>
  <c r="U47" i="21"/>
  <c r="Q47" i="21"/>
  <c r="R47" i="21" s="1"/>
  <c r="P47" i="21"/>
  <c r="U46" i="21"/>
  <c r="Y46" i="21" s="1"/>
  <c r="Q46" i="21"/>
  <c r="P46" i="21"/>
  <c r="U45" i="21"/>
  <c r="Y45" i="21" s="1"/>
  <c r="Q45" i="21"/>
  <c r="R45" i="21" s="1"/>
  <c r="P45" i="21"/>
  <c r="U44" i="21"/>
  <c r="Q44" i="21"/>
  <c r="R44" i="21" s="1"/>
  <c r="P44" i="21"/>
  <c r="U43" i="21"/>
  <c r="Y43" i="21" s="1"/>
  <c r="Q43" i="21"/>
  <c r="R43" i="21" s="1"/>
  <c r="P43" i="21"/>
  <c r="U42" i="21"/>
  <c r="Y42" i="21" s="1"/>
  <c r="Q42" i="21"/>
  <c r="R42" i="21" s="1"/>
  <c r="P42" i="21"/>
  <c r="U41" i="21"/>
  <c r="Y41" i="21" s="1"/>
  <c r="Q41" i="21"/>
  <c r="P41" i="21"/>
  <c r="U40" i="21"/>
  <c r="Y40" i="21" s="1"/>
  <c r="Q40" i="21"/>
  <c r="R40" i="21" s="1"/>
  <c r="P40" i="21"/>
  <c r="U39" i="21"/>
  <c r="Q39" i="21"/>
  <c r="R39" i="21" s="1"/>
  <c r="P39" i="21"/>
  <c r="U38" i="21"/>
  <c r="Y38" i="21" s="1"/>
  <c r="Q38" i="21"/>
  <c r="P38" i="21"/>
  <c r="U37" i="21"/>
  <c r="Y37" i="21" s="1"/>
  <c r="Q37" i="21"/>
  <c r="R37" i="21" s="1"/>
  <c r="P37" i="21"/>
  <c r="U36" i="21"/>
  <c r="Q36" i="21"/>
  <c r="R36" i="21" s="1"/>
  <c r="P36" i="21"/>
  <c r="U35" i="21"/>
  <c r="Y35" i="21" s="1"/>
  <c r="Q35" i="21"/>
  <c r="R35" i="21" s="1"/>
  <c r="P35" i="21"/>
  <c r="U34" i="21"/>
  <c r="Y34" i="21" s="1"/>
  <c r="Q34" i="21"/>
  <c r="R34" i="21" s="1"/>
  <c r="P34" i="21"/>
  <c r="U33" i="21"/>
  <c r="Q33" i="21"/>
  <c r="R33" i="21" s="1"/>
  <c r="P33" i="21"/>
  <c r="U32" i="21"/>
  <c r="Y32" i="21" s="1"/>
  <c r="Q32" i="21"/>
  <c r="P32" i="21"/>
  <c r="U31" i="21"/>
  <c r="Y31" i="21" s="1"/>
  <c r="Q31" i="21"/>
  <c r="R31" i="21" s="1"/>
  <c r="P31" i="21"/>
  <c r="U30" i="21"/>
  <c r="Q30" i="21"/>
  <c r="R30" i="21" s="1"/>
  <c r="P30" i="21"/>
  <c r="U29" i="21"/>
  <c r="Y29" i="21" s="1"/>
  <c r="Q29" i="21"/>
  <c r="R29" i="21" s="1"/>
  <c r="P29" i="21"/>
  <c r="U28" i="21"/>
  <c r="Y28" i="21" s="1"/>
  <c r="Q28" i="21"/>
  <c r="P28" i="21"/>
  <c r="U27" i="21"/>
  <c r="Y27" i="21" s="1"/>
  <c r="Q27" i="21"/>
  <c r="R27" i="21" s="1"/>
  <c r="P27" i="21"/>
  <c r="U26" i="21"/>
  <c r="Y26" i="21" s="1"/>
  <c r="Q26" i="21"/>
  <c r="R26" i="21" s="1"/>
  <c r="P26" i="21"/>
  <c r="U25" i="21"/>
  <c r="Q25" i="21"/>
  <c r="R25" i="21" s="1"/>
  <c r="P25" i="21"/>
  <c r="U24" i="21"/>
  <c r="Y24" i="21" s="1"/>
  <c r="Q24" i="21"/>
  <c r="R24" i="21" s="1"/>
  <c r="P24" i="21"/>
  <c r="U23" i="21"/>
  <c r="Y23" i="21" s="1"/>
  <c r="Q23" i="21"/>
  <c r="R23" i="21" s="1"/>
  <c r="P23" i="21"/>
  <c r="U22" i="21"/>
  <c r="Q22" i="21"/>
  <c r="R22" i="21" s="1"/>
  <c r="P22" i="21"/>
  <c r="U21" i="21"/>
  <c r="Y21" i="21" s="1"/>
  <c r="Q21" i="21"/>
  <c r="R21" i="21" s="1"/>
  <c r="P21" i="21"/>
  <c r="U20" i="21"/>
  <c r="Y20" i="21" s="1"/>
  <c r="Q20" i="21"/>
  <c r="R20" i="21" s="1"/>
  <c r="P20" i="21"/>
  <c r="U19" i="21"/>
  <c r="Y19" i="21" s="1"/>
  <c r="Q19" i="21"/>
  <c r="R19" i="21" s="1"/>
  <c r="P19" i="21"/>
  <c r="U18" i="21"/>
  <c r="Y18" i="21" s="1"/>
  <c r="Q18" i="21"/>
  <c r="R18" i="21" s="1"/>
  <c r="P18" i="21"/>
  <c r="U17" i="21"/>
  <c r="Q17" i="21"/>
  <c r="R17" i="21" s="1"/>
  <c r="P17" i="21"/>
  <c r="U16" i="21"/>
  <c r="Y16" i="21" s="1"/>
  <c r="Q16" i="21"/>
  <c r="R16" i="21" s="1"/>
  <c r="P16" i="21"/>
  <c r="U15" i="21"/>
  <c r="Y15" i="21" s="1"/>
  <c r="Q15" i="21"/>
  <c r="R15" i="21" s="1"/>
  <c r="P15" i="21"/>
  <c r="U14" i="21"/>
  <c r="Q14" i="21"/>
  <c r="R14" i="21" s="1"/>
  <c r="P14" i="21"/>
  <c r="U299" i="60" l="1"/>
  <c r="G45" i="56"/>
  <c r="G44" i="56"/>
  <c r="F44" i="56"/>
  <c r="F43" i="56"/>
  <c r="H43" i="56"/>
  <c r="H45" i="56"/>
  <c r="C44" i="56"/>
  <c r="H44" i="56"/>
  <c r="O28" i="57"/>
  <c r="N28" i="57"/>
  <c r="Q28" i="57"/>
  <c r="H28" i="57"/>
  <c r="C28" i="57" s="1"/>
  <c r="I28" i="57"/>
  <c r="D28" i="57" s="1"/>
  <c r="K28" i="57"/>
  <c r="F28" i="57" s="1"/>
  <c r="J28" i="57"/>
  <c r="O25" i="57"/>
  <c r="K25" i="57"/>
  <c r="H25" i="57"/>
  <c r="J25" i="57"/>
  <c r="I25" i="57"/>
  <c r="D25" i="57" s="1"/>
  <c r="V48" i="56"/>
  <c r="K48" i="56"/>
  <c r="O48" i="56"/>
  <c r="H48" i="56" s="1"/>
  <c r="L48" i="56"/>
  <c r="U48" i="56"/>
  <c r="N48" i="56"/>
  <c r="G48" i="56" s="1"/>
  <c r="Q48" i="56"/>
  <c r="T48" i="56"/>
  <c r="J48" i="56"/>
  <c r="C48" i="56" s="1"/>
  <c r="M48" i="56"/>
  <c r="F48" i="56" s="1"/>
  <c r="A53" i="56"/>
  <c r="A50" i="56"/>
  <c r="O46" i="56"/>
  <c r="U46" i="56"/>
  <c r="N46" i="56"/>
  <c r="G46" i="56" s="1"/>
  <c r="K46" i="56"/>
  <c r="J46" i="56"/>
  <c r="C46" i="56" s="1"/>
  <c r="T46" i="56"/>
  <c r="M46" i="56"/>
  <c r="F46" i="56" s="1"/>
  <c r="Q46" i="56"/>
  <c r="L46" i="56"/>
  <c r="S49" i="56"/>
  <c r="L49" i="56"/>
  <c r="O49" i="56"/>
  <c r="H49" i="56" s="1"/>
  <c r="Q49" i="56"/>
  <c r="T49" i="56"/>
  <c r="J49" i="56"/>
  <c r="C49" i="56" s="1"/>
  <c r="M49" i="56"/>
  <c r="F49" i="56" s="1"/>
  <c r="U49" i="56"/>
  <c r="N49" i="56"/>
  <c r="G49" i="56" s="1"/>
  <c r="V49" i="56"/>
  <c r="K49" i="56"/>
  <c r="U47" i="56"/>
  <c r="N47" i="56"/>
  <c r="G47" i="56" s="1"/>
  <c r="T47" i="56"/>
  <c r="J47" i="56"/>
  <c r="C47" i="56" s="1"/>
  <c r="R47" i="56"/>
  <c r="V47" i="56"/>
  <c r="K47" i="56"/>
  <c r="D47" i="56" s="1"/>
  <c r="O47" i="56"/>
  <c r="H47" i="56" s="1"/>
  <c r="Q47" i="56"/>
  <c r="S47" i="56"/>
  <c r="L47" i="56"/>
  <c r="E47" i="56" s="1"/>
  <c r="M47" i="56"/>
  <c r="F47" i="56" s="1"/>
  <c r="A51" i="56"/>
  <c r="A52" i="56"/>
  <c r="B30" i="57"/>
  <c r="B27" i="57"/>
  <c r="B52" i="56"/>
  <c r="B50" i="56"/>
  <c r="B53" i="56"/>
  <c r="B51" i="56"/>
  <c r="W85" i="21"/>
  <c r="W32" i="21"/>
  <c r="W60" i="21"/>
  <c r="W28" i="21"/>
  <c r="W88" i="21"/>
  <c r="W58" i="21"/>
  <c r="W40" i="21"/>
  <c r="W38" i="21"/>
  <c r="W52" i="21"/>
  <c r="W66" i="21"/>
  <c r="W14" i="21"/>
  <c r="W26" i="21"/>
  <c r="W43" i="21"/>
  <c r="W53" i="21"/>
  <c r="R54" i="21"/>
  <c r="R56" i="21"/>
  <c r="W59" i="21"/>
  <c r="W68" i="21"/>
  <c r="W69" i="21"/>
  <c r="Y85" i="21"/>
  <c r="Y14" i="21"/>
  <c r="R28" i="21"/>
  <c r="W37" i="21"/>
  <c r="W57" i="21"/>
  <c r="W18" i="21"/>
  <c r="W29" i="21"/>
  <c r="W31" i="21"/>
  <c r="W41" i="21"/>
  <c r="W46" i="21"/>
  <c r="W71" i="21"/>
  <c r="W83" i="21"/>
  <c r="W81" i="21"/>
  <c r="Y88" i="21"/>
  <c r="W91" i="21"/>
  <c r="W93" i="21"/>
  <c r="W19" i="21"/>
  <c r="W27" i="21"/>
  <c r="Y33" i="21"/>
  <c r="W33" i="21"/>
  <c r="W34" i="21"/>
  <c r="W35" i="21"/>
  <c r="F65" i="60" s="1"/>
  <c r="R38" i="21"/>
  <c r="R41" i="21"/>
  <c r="Y44" i="21"/>
  <c r="W44" i="21"/>
  <c r="W45" i="21"/>
  <c r="W48" i="21"/>
  <c r="R48" i="21"/>
  <c r="W50" i="21"/>
  <c r="R50" i="21"/>
  <c r="W55" i="21"/>
  <c r="Y61" i="21"/>
  <c r="W61" i="21"/>
  <c r="W62" i="21"/>
  <c r="R66" i="21"/>
  <c r="R69" i="21"/>
  <c r="Y72" i="21"/>
  <c r="W72" i="21"/>
  <c r="W73" i="21"/>
  <c r="W75" i="21"/>
  <c r="Y86" i="21"/>
  <c r="W86" i="21"/>
  <c r="Y89" i="21"/>
  <c r="W89" i="21"/>
  <c r="W90" i="21"/>
  <c r="R96" i="21"/>
  <c r="Y17" i="21"/>
  <c r="W17" i="21"/>
  <c r="Y22" i="21"/>
  <c r="W22" i="21"/>
  <c r="Y25" i="21"/>
  <c r="W25" i="21"/>
  <c r="Y47" i="21"/>
  <c r="W47" i="21"/>
  <c r="Y49" i="21"/>
  <c r="W49" i="21"/>
  <c r="Y51" i="21"/>
  <c r="W51" i="21"/>
  <c r="Y64" i="21"/>
  <c r="W64" i="21"/>
  <c r="Y78" i="21"/>
  <c r="W78" i="21"/>
  <c r="W16" i="21"/>
  <c r="Y30" i="21"/>
  <c r="W30" i="21"/>
  <c r="Y39" i="21"/>
  <c r="W39" i="21"/>
  <c r="W42" i="21"/>
  <c r="R46" i="21"/>
  <c r="R58" i="21"/>
  <c r="Y67" i="21"/>
  <c r="W67" i="21"/>
  <c r="W70" i="21"/>
  <c r="R74" i="21"/>
  <c r="Y84" i="21"/>
  <c r="W84" i="21"/>
  <c r="W87" i="21"/>
  <c r="Y92" i="21"/>
  <c r="W92" i="21"/>
  <c r="W15" i="21"/>
  <c r="W20" i="21"/>
  <c r="W21" i="21"/>
  <c r="W23" i="21"/>
  <c r="W24" i="21"/>
  <c r="R32" i="21"/>
  <c r="Y36" i="21"/>
  <c r="W36" i="21"/>
  <c r="R60" i="21"/>
  <c r="W63" i="21"/>
  <c r="W65" i="21"/>
  <c r="Y76" i="21"/>
  <c r="W76" i="21"/>
  <c r="W77" i="21"/>
  <c r="W79" i="21"/>
  <c r="W80" i="21"/>
  <c r="R82" i="21"/>
  <c r="R94" i="21"/>
  <c r="W95" i="21"/>
  <c r="F221" i="60" l="1"/>
  <c r="F273" i="60"/>
  <c r="U273" i="60" s="1"/>
  <c r="F91" i="60"/>
  <c r="U91" i="60" s="1"/>
  <c r="F13" i="60"/>
  <c r="U13" i="60" s="1"/>
  <c r="R49" i="56"/>
  <c r="D49" i="56" s="1"/>
  <c r="R48" i="56"/>
  <c r="D48" i="56" s="1"/>
  <c r="P25" i="57"/>
  <c r="E25" i="57" s="1"/>
  <c r="Q25" i="57"/>
  <c r="F25" i="57" s="1"/>
  <c r="U221" i="60"/>
  <c r="U65" i="60"/>
  <c r="S48" i="56"/>
  <c r="E48" i="56" s="1"/>
  <c r="E49" i="56"/>
  <c r="P27" i="57"/>
  <c r="O27" i="57"/>
  <c r="N27" i="57"/>
  <c r="K27" i="57"/>
  <c r="H27" i="57"/>
  <c r="C27" i="57" s="1"/>
  <c r="I27" i="57"/>
  <c r="D27" i="57" s="1"/>
  <c r="J27" i="57"/>
  <c r="E27" i="57" s="1"/>
  <c r="O30" i="57"/>
  <c r="N30" i="57"/>
  <c r="Q30" i="57"/>
  <c r="J30" i="57"/>
  <c r="E30" i="57" s="1"/>
  <c r="K30" i="57"/>
  <c r="F30" i="57" s="1"/>
  <c r="H30" i="57"/>
  <c r="C30" i="57" s="1"/>
  <c r="P30" i="57"/>
  <c r="I30" i="57"/>
  <c r="D30" i="57" s="1"/>
  <c r="A55" i="56"/>
  <c r="S51" i="56"/>
  <c r="R51" i="56"/>
  <c r="J51" i="56"/>
  <c r="C51" i="56" s="1"/>
  <c r="M51" i="56"/>
  <c r="F51" i="56" s="1"/>
  <c r="V51" i="56"/>
  <c r="T51" i="56"/>
  <c r="N51" i="56"/>
  <c r="G51" i="56" s="1"/>
  <c r="Q51" i="56"/>
  <c r="U51" i="56"/>
  <c r="K51" i="56"/>
  <c r="D51" i="56" s="1"/>
  <c r="O51" i="56"/>
  <c r="H51" i="56" s="1"/>
  <c r="L51" i="56"/>
  <c r="E51" i="56" s="1"/>
  <c r="U53" i="56"/>
  <c r="T53" i="56"/>
  <c r="K53" i="56"/>
  <c r="O53" i="56"/>
  <c r="H53" i="56" s="1"/>
  <c r="V53" i="56"/>
  <c r="L53" i="56"/>
  <c r="J53" i="56"/>
  <c r="M53" i="56"/>
  <c r="F53" i="56" s="1"/>
  <c r="N53" i="56"/>
  <c r="G53" i="56" s="1"/>
  <c r="S50" i="56"/>
  <c r="T50" i="56"/>
  <c r="M50" i="56"/>
  <c r="F50" i="56" s="1"/>
  <c r="R50" i="56"/>
  <c r="J50" i="56"/>
  <c r="C50" i="56" s="1"/>
  <c r="U50" i="56"/>
  <c r="N50" i="56"/>
  <c r="G50" i="56" s="1"/>
  <c r="Q50" i="56"/>
  <c r="L50" i="56"/>
  <c r="E50" i="56" s="1"/>
  <c r="V50" i="56"/>
  <c r="K50" i="56"/>
  <c r="D50" i="56" s="1"/>
  <c r="O50" i="56"/>
  <c r="H50" i="56" s="1"/>
  <c r="A54" i="56"/>
  <c r="A56" i="56"/>
  <c r="T52" i="56"/>
  <c r="V52" i="56"/>
  <c r="N52" i="56"/>
  <c r="G52" i="56" s="1"/>
  <c r="J52" i="56"/>
  <c r="K52" i="56"/>
  <c r="O52" i="56"/>
  <c r="H52" i="56" s="1"/>
  <c r="M52" i="56"/>
  <c r="F52" i="56" s="1"/>
  <c r="L52" i="56"/>
  <c r="U52" i="56"/>
  <c r="A57" i="56"/>
  <c r="B32" i="57"/>
  <c r="B29" i="57"/>
  <c r="B54" i="56"/>
  <c r="B57" i="56"/>
  <c r="B55" i="56"/>
  <c r="B56" i="56"/>
  <c r="U2" i="34"/>
  <c r="Y2" i="34" s="1"/>
  <c r="Y45" i="48"/>
  <c r="Y44" i="48"/>
  <c r="U41" i="48"/>
  <c r="U43" i="48"/>
  <c r="Y43" i="48" s="1"/>
  <c r="U42" i="48"/>
  <c r="Y42" i="48" s="1"/>
  <c r="Q45" i="48"/>
  <c r="W45" i="48" s="1"/>
  <c r="Q44" i="48"/>
  <c r="R44" i="48" s="1"/>
  <c r="Q43" i="48"/>
  <c r="R43" i="48" s="1"/>
  <c r="Q42" i="48"/>
  <c r="R42" i="48" s="1"/>
  <c r="Q41" i="48"/>
  <c r="R41" i="48" s="1"/>
  <c r="U40" i="48"/>
  <c r="U39" i="48"/>
  <c r="U38" i="48"/>
  <c r="U36" i="48"/>
  <c r="U37" i="48"/>
  <c r="U35" i="48"/>
  <c r="Q39" i="48"/>
  <c r="Q40" i="48"/>
  <c r="O40" i="48" s="1"/>
  <c r="Q37" i="48"/>
  <c r="O37" i="48" s="1"/>
  <c r="Q38" i="48"/>
  <c r="O38" i="48" s="1"/>
  <c r="Q36" i="48"/>
  <c r="O36" i="48" s="1"/>
  <c r="Q35" i="48"/>
  <c r="O35" i="48" s="1"/>
  <c r="I541" i="60" l="1"/>
  <c r="X541" i="60" s="1"/>
  <c r="Q29" i="57"/>
  <c r="P29" i="57"/>
  <c r="O29" i="57"/>
  <c r="I29" i="57"/>
  <c r="D29" i="57" s="1"/>
  <c r="H29" i="57"/>
  <c r="C29" i="57" s="1"/>
  <c r="N29" i="57"/>
  <c r="J29" i="57"/>
  <c r="E29" i="57" s="1"/>
  <c r="K29" i="57"/>
  <c r="F29" i="57" s="1"/>
  <c r="O32" i="57"/>
  <c r="N32" i="57"/>
  <c r="Q32" i="57"/>
  <c r="P32" i="57"/>
  <c r="J34" i="57"/>
  <c r="E34" i="57" s="1"/>
  <c r="H32" i="57"/>
  <c r="C32" i="57" s="1"/>
  <c r="I34" i="57"/>
  <c r="D34" i="57" s="1"/>
  <c r="I32" i="57"/>
  <c r="D32" i="57" s="1"/>
  <c r="K34" i="57"/>
  <c r="F34" i="57" s="1"/>
  <c r="J32" i="57"/>
  <c r="E32" i="57" s="1"/>
  <c r="H34" i="57"/>
  <c r="C34" i="57" s="1"/>
  <c r="K32" i="57"/>
  <c r="F32" i="57" s="1"/>
  <c r="A61" i="56"/>
  <c r="Q56" i="56"/>
  <c r="T56" i="56"/>
  <c r="J56" i="56"/>
  <c r="C56" i="56" s="1"/>
  <c r="M56" i="56"/>
  <c r="F56" i="56" s="1"/>
  <c r="U56" i="56"/>
  <c r="N56" i="56"/>
  <c r="G56" i="56" s="1"/>
  <c r="R56" i="56"/>
  <c r="V56" i="56"/>
  <c r="O56" i="56"/>
  <c r="H56" i="56" s="1"/>
  <c r="L56" i="56"/>
  <c r="E56" i="56" s="1"/>
  <c r="S56" i="56"/>
  <c r="K56" i="56"/>
  <c r="D56" i="56" s="1"/>
  <c r="S55" i="56"/>
  <c r="L55" i="56"/>
  <c r="E55" i="56" s="1"/>
  <c r="Q55" i="56"/>
  <c r="T55" i="56"/>
  <c r="J55" i="56"/>
  <c r="C55" i="56" s="1"/>
  <c r="M55" i="56"/>
  <c r="F55" i="56" s="1"/>
  <c r="U55" i="56"/>
  <c r="R55" i="56"/>
  <c r="N55" i="56"/>
  <c r="G55" i="56" s="1"/>
  <c r="V55" i="56"/>
  <c r="O55" i="56"/>
  <c r="H55" i="56" s="1"/>
  <c r="K55" i="56"/>
  <c r="D55" i="56" s="1"/>
  <c r="U57" i="56"/>
  <c r="N57" i="56"/>
  <c r="G57" i="56" s="1"/>
  <c r="R57" i="56"/>
  <c r="V57" i="56"/>
  <c r="K57" i="56"/>
  <c r="D57" i="56" s="1"/>
  <c r="O57" i="56"/>
  <c r="H57" i="56" s="1"/>
  <c r="S57" i="56"/>
  <c r="Q57" i="56"/>
  <c r="T57" i="56"/>
  <c r="J57" i="56"/>
  <c r="C57" i="56" s="1"/>
  <c r="M57" i="56"/>
  <c r="F57" i="56" s="1"/>
  <c r="L57" i="56"/>
  <c r="E57" i="56" s="1"/>
  <c r="S54" i="56"/>
  <c r="Q54" i="56"/>
  <c r="L54" i="56"/>
  <c r="E54" i="56" s="1"/>
  <c r="J54" i="56"/>
  <c r="C54" i="56" s="1"/>
  <c r="T54" i="56"/>
  <c r="M54" i="56"/>
  <c r="F54" i="56" s="1"/>
  <c r="U54" i="56"/>
  <c r="O54" i="56"/>
  <c r="H54" i="56" s="1"/>
  <c r="V54" i="56"/>
  <c r="K54" i="56"/>
  <c r="D54" i="56" s="1"/>
  <c r="R54" i="56"/>
  <c r="N54" i="56"/>
  <c r="G54" i="56" s="1"/>
  <c r="A60" i="56"/>
  <c r="A58" i="56"/>
  <c r="A59" i="56"/>
  <c r="B31" i="57"/>
  <c r="B34" i="57"/>
  <c r="B59" i="56"/>
  <c r="B61" i="56"/>
  <c r="B58" i="56"/>
  <c r="B60" i="56"/>
  <c r="Y36" i="48"/>
  <c r="Y35" i="48"/>
  <c r="W39" i="48"/>
  <c r="W38" i="48"/>
  <c r="W42" i="48"/>
  <c r="W36" i="48"/>
  <c r="W35" i="48"/>
  <c r="R45" i="48"/>
  <c r="W41" i="48"/>
  <c r="Y37" i="48"/>
  <c r="Y40" i="48"/>
  <c r="W40" i="48"/>
  <c r="W37" i="48"/>
  <c r="W44" i="48"/>
  <c r="O39" i="48"/>
  <c r="Y39" i="48" s="1"/>
  <c r="Y38" i="48"/>
  <c r="W43" i="48"/>
  <c r="I21" i="60" s="1"/>
  <c r="X21" i="60" s="1"/>
  <c r="Y41" i="48"/>
  <c r="U3" i="34"/>
  <c r="Y3" i="34" s="1"/>
  <c r="R3" i="34"/>
  <c r="R2" i="34"/>
  <c r="I229" i="60" l="1"/>
  <c r="X229" i="60" s="1"/>
  <c r="I437" i="60"/>
  <c r="X437" i="60" s="1"/>
  <c r="H99" i="60"/>
  <c r="W99" i="60" s="1"/>
  <c r="I125" i="60"/>
  <c r="X125" i="60" s="1"/>
  <c r="H203" i="60"/>
  <c r="W203" i="60" s="1"/>
  <c r="O34" i="57"/>
  <c r="N34" i="57"/>
  <c r="Q34" i="57"/>
  <c r="H36" i="57"/>
  <c r="C36" i="57" s="1"/>
  <c r="K36" i="57"/>
  <c r="F36" i="57" s="1"/>
  <c r="P34" i="57"/>
  <c r="I36" i="57"/>
  <c r="D36" i="57" s="1"/>
  <c r="J36" i="57"/>
  <c r="E36" i="57" s="1"/>
  <c r="Q31" i="57"/>
  <c r="P31" i="57"/>
  <c r="O31" i="57"/>
  <c r="K31" i="57"/>
  <c r="F31" i="57" s="1"/>
  <c r="I33" i="57"/>
  <c r="D33" i="57" s="1"/>
  <c r="J31" i="57"/>
  <c r="E31" i="57" s="1"/>
  <c r="J33" i="57"/>
  <c r="E33" i="57" s="1"/>
  <c r="H31" i="57"/>
  <c r="C31" i="57" s="1"/>
  <c r="N31" i="57"/>
  <c r="I31" i="57"/>
  <c r="D31" i="57" s="1"/>
  <c r="K33" i="57"/>
  <c r="F33" i="57" s="1"/>
  <c r="H33" i="57"/>
  <c r="C33" i="57" s="1"/>
  <c r="S58" i="56"/>
  <c r="Q58" i="56"/>
  <c r="L58" i="56"/>
  <c r="E58" i="56" s="1"/>
  <c r="J58" i="56"/>
  <c r="C58" i="56" s="1"/>
  <c r="T58" i="56"/>
  <c r="M58" i="56"/>
  <c r="F58" i="56" s="1"/>
  <c r="U58" i="56"/>
  <c r="N58" i="56"/>
  <c r="G58" i="56" s="1"/>
  <c r="K58" i="56"/>
  <c r="D58" i="56" s="1"/>
  <c r="R58" i="56"/>
  <c r="O58" i="56"/>
  <c r="H58" i="56" s="1"/>
  <c r="V58" i="56"/>
  <c r="A63" i="56"/>
  <c r="A64" i="56"/>
  <c r="S59" i="56"/>
  <c r="L59" i="56"/>
  <c r="E59" i="56" s="1"/>
  <c r="Q59" i="56"/>
  <c r="T59" i="56"/>
  <c r="J59" i="56"/>
  <c r="C59" i="56" s="1"/>
  <c r="M59" i="56"/>
  <c r="F59" i="56" s="1"/>
  <c r="U59" i="56"/>
  <c r="N59" i="56"/>
  <c r="G59" i="56" s="1"/>
  <c r="R59" i="56"/>
  <c r="O59" i="56"/>
  <c r="H59" i="56" s="1"/>
  <c r="K59" i="56"/>
  <c r="D59" i="56" s="1"/>
  <c r="V59" i="56"/>
  <c r="Q60" i="56"/>
  <c r="T60" i="56"/>
  <c r="J60" i="56"/>
  <c r="C60" i="56" s="1"/>
  <c r="M60" i="56"/>
  <c r="F60" i="56" s="1"/>
  <c r="U60" i="56"/>
  <c r="N60" i="56"/>
  <c r="G60" i="56" s="1"/>
  <c r="R60" i="56"/>
  <c r="V60" i="56"/>
  <c r="K60" i="56"/>
  <c r="D60" i="56" s="1"/>
  <c r="O60" i="56"/>
  <c r="H60" i="56" s="1"/>
  <c r="L60" i="56"/>
  <c r="E60" i="56" s="1"/>
  <c r="S60" i="56"/>
  <c r="U61" i="56"/>
  <c r="N61" i="56"/>
  <c r="G61" i="56" s="1"/>
  <c r="R61" i="56"/>
  <c r="V61" i="56"/>
  <c r="K61" i="56"/>
  <c r="D61" i="56" s="1"/>
  <c r="O61" i="56"/>
  <c r="H61" i="56" s="1"/>
  <c r="S61" i="56"/>
  <c r="L61" i="56"/>
  <c r="E61" i="56" s="1"/>
  <c r="T61" i="56"/>
  <c r="Q61" i="56"/>
  <c r="M61" i="56"/>
  <c r="F61" i="56" s="1"/>
  <c r="J61" i="56"/>
  <c r="C61" i="56" s="1"/>
  <c r="A62" i="56"/>
  <c r="A65" i="56"/>
  <c r="B36" i="57"/>
  <c r="B33" i="57"/>
  <c r="B65" i="56"/>
  <c r="B64" i="56"/>
  <c r="B63" i="56"/>
  <c r="B62" i="56"/>
  <c r="U22" i="52"/>
  <c r="Y22" i="52" s="1"/>
  <c r="Q68" i="52"/>
  <c r="W68" i="52" s="1"/>
  <c r="O68" i="52"/>
  <c r="Y68" i="52" s="1"/>
  <c r="O69" i="52"/>
  <c r="Y69" i="52" s="1"/>
  <c r="Q69" i="52"/>
  <c r="U67" i="52"/>
  <c r="U62" i="52"/>
  <c r="Q67" i="52"/>
  <c r="Q62" i="52"/>
  <c r="O62" i="52"/>
  <c r="Q63" i="52"/>
  <c r="W63" i="52" s="1"/>
  <c r="Q64" i="52"/>
  <c r="W64" i="52" s="1"/>
  <c r="Q65" i="52"/>
  <c r="W65" i="52" s="1"/>
  <c r="Q66" i="52"/>
  <c r="W66" i="52" s="1"/>
  <c r="O63" i="52"/>
  <c r="Y63" i="52" s="1"/>
  <c r="O64" i="52"/>
  <c r="Y64" i="52" s="1"/>
  <c r="O65" i="52"/>
  <c r="O66" i="52"/>
  <c r="Y66" i="52" s="1"/>
  <c r="O67" i="52"/>
  <c r="U3" i="52"/>
  <c r="Y3" i="52" s="1"/>
  <c r="U11" i="52"/>
  <c r="Y11" i="52" s="1"/>
  <c r="U9" i="52"/>
  <c r="Y9" i="52" s="1"/>
  <c r="U13" i="52"/>
  <c r="Y13" i="52" s="1"/>
  <c r="Q14" i="52"/>
  <c r="R14" i="52" s="1"/>
  <c r="U14" i="52"/>
  <c r="Y14" i="52" s="1"/>
  <c r="U16" i="52"/>
  <c r="Y16" i="52" s="1"/>
  <c r="U18" i="52"/>
  <c r="Y18" i="52" s="1"/>
  <c r="U20" i="52"/>
  <c r="Y20" i="52" s="1"/>
  <c r="U26" i="52"/>
  <c r="Y26" i="52" s="1"/>
  <c r="U30" i="52"/>
  <c r="W30" i="52" s="1"/>
  <c r="U31" i="52"/>
  <c r="U34" i="52"/>
  <c r="Y34" i="52" s="1"/>
  <c r="U35" i="52"/>
  <c r="Y35" i="52" s="1"/>
  <c r="U38" i="52"/>
  <c r="W38" i="52" s="1"/>
  <c r="U37" i="52"/>
  <c r="W37" i="52" s="1"/>
  <c r="U43" i="52"/>
  <c r="Y43" i="52" s="1"/>
  <c r="U45" i="52"/>
  <c r="W45" i="52" s="1"/>
  <c r="U52" i="52"/>
  <c r="W52" i="52" s="1"/>
  <c r="Y61" i="52"/>
  <c r="R61" i="52"/>
  <c r="W61" i="52"/>
  <c r="U60" i="52"/>
  <c r="Y60" i="52" s="1"/>
  <c r="U59" i="52"/>
  <c r="W59" i="52" s="1"/>
  <c r="R59" i="52"/>
  <c r="R60" i="52"/>
  <c r="U57" i="52"/>
  <c r="Y57" i="52" s="1"/>
  <c r="U58" i="52"/>
  <c r="Y58" i="52" s="1"/>
  <c r="R58" i="52"/>
  <c r="R57" i="52"/>
  <c r="U56" i="52"/>
  <c r="U54" i="52"/>
  <c r="U55" i="52"/>
  <c r="Q55" i="52"/>
  <c r="Q56" i="52"/>
  <c r="O55" i="52"/>
  <c r="O56" i="52"/>
  <c r="Q54" i="52"/>
  <c r="O54" i="52"/>
  <c r="U34" i="48"/>
  <c r="Y34" i="48" s="1"/>
  <c r="Q33" i="48"/>
  <c r="R33" i="48" s="1"/>
  <c r="Q34" i="48"/>
  <c r="R34" i="48" s="1"/>
  <c r="U33" i="48"/>
  <c r="Y33" i="48" s="1"/>
  <c r="U32" i="48"/>
  <c r="Y32" i="48" s="1"/>
  <c r="Q32" i="48"/>
  <c r="R32" i="48" s="1"/>
  <c r="J545" i="60" l="1"/>
  <c r="Y545" i="60" s="1"/>
  <c r="K207" i="60"/>
  <c r="Z207" i="60" s="1"/>
  <c r="J129" i="60"/>
  <c r="Y129" i="60" s="1"/>
  <c r="G233" i="60"/>
  <c r="V233" i="60" s="1"/>
  <c r="K311" i="60"/>
  <c r="Z311" i="60" s="1"/>
  <c r="K38" i="57"/>
  <c r="F38" i="57" s="1"/>
  <c r="H38" i="57"/>
  <c r="J38" i="57"/>
  <c r="E38" i="57" s="1"/>
  <c r="I38" i="57"/>
  <c r="H25" i="60"/>
  <c r="W25" i="60" s="1"/>
  <c r="N36" i="57"/>
  <c r="O36" i="57"/>
  <c r="P36" i="57"/>
  <c r="D38" i="57"/>
  <c r="Q36" i="57"/>
  <c r="Q33" i="57"/>
  <c r="P33" i="57"/>
  <c r="O33" i="57"/>
  <c r="K35" i="57"/>
  <c r="F35" i="57" s="1"/>
  <c r="H35" i="57"/>
  <c r="N33" i="57"/>
  <c r="I35" i="57"/>
  <c r="D35" i="57" s="1"/>
  <c r="J35" i="57"/>
  <c r="A66" i="56"/>
  <c r="A67" i="56"/>
  <c r="S62" i="56"/>
  <c r="Q62" i="56"/>
  <c r="L62" i="56"/>
  <c r="E62" i="56" s="1"/>
  <c r="J62" i="56"/>
  <c r="C62" i="56" s="1"/>
  <c r="T62" i="56"/>
  <c r="M62" i="56"/>
  <c r="F62" i="56" s="1"/>
  <c r="U62" i="56"/>
  <c r="N62" i="56"/>
  <c r="G62" i="56" s="1"/>
  <c r="K62" i="56"/>
  <c r="D62" i="56" s="1"/>
  <c r="R62" i="56"/>
  <c r="O62" i="56"/>
  <c r="H62" i="56" s="1"/>
  <c r="V62" i="56"/>
  <c r="S63" i="56"/>
  <c r="L63" i="56"/>
  <c r="E63" i="56" s="1"/>
  <c r="Q63" i="56"/>
  <c r="T63" i="56"/>
  <c r="J63" i="56"/>
  <c r="C63" i="56" s="1"/>
  <c r="M63" i="56"/>
  <c r="F63" i="56" s="1"/>
  <c r="U63" i="56"/>
  <c r="N63" i="56"/>
  <c r="G63" i="56" s="1"/>
  <c r="R63" i="56"/>
  <c r="O63" i="56"/>
  <c r="H63" i="56" s="1"/>
  <c r="V63" i="56"/>
  <c r="K63" i="56"/>
  <c r="D63" i="56" s="1"/>
  <c r="U65" i="56"/>
  <c r="N65" i="56"/>
  <c r="G65" i="56" s="1"/>
  <c r="R65" i="56"/>
  <c r="V65" i="56"/>
  <c r="K65" i="56"/>
  <c r="D65" i="56" s="1"/>
  <c r="O65" i="56"/>
  <c r="H65" i="56" s="1"/>
  <c r="S65" i="56"/>
  <c r="L65" i="56"/>
  <c r="E65" i="56" s="1"/>
  <c r="T65" i="56"/>
  <c r="Q65" i="56"/>
  <c r="J65" i="56"/>
  <c r="C65" i="56" s="1"/>
  <c r="M65" i="56"/>
  <c r="F65" i="56" s="1"/>
  <c r="A69" i="56"/>
  <c r="Q64" i="56"/>
  <c r="T64" i="56"/>
  <c r="J64" i="56"/>
  <c r="C64" i="56" s="1"/>
  <c r="M64" i="56"/>
  <c r="F64" i="56" s="1"/>
  <c r="U64" i="56"/>
  <c r="N64" i="56"/>
  <c r="G64" i="56" s="1"/>
  <c r="R64" i="56"/>
  <c r="V64" i="56"/>
  <c r="K64" i="56"/>
  <c r="D64" i="56" s="1"/>
  <c r="O64" i="56"/>
  <c r="H64" i="56" s="1"/>
  <c r="L64" i="56"/>
  <c r="E64" i="56" s="1"/>
  <c r="S64" i="56"/>
  <c r="A68" i="56"/>
  <c r="B38" i="57"/>
  <c r="B35" i="57"/>
  <c r="B67" i="56"/>
  <c r="B69" i="56"/>
  <c r="B66" i="56"/>
  <c r="B68" i="56"/>
  <c r="W32" i="48"/>
  <c r="W34" i="48"/>
  <c r="R65" i="52"/>
  <c r="W67" i="52"/>
  <c r="W33" i="48"/>
  <c r="Y62" i="52"/>
  <c r="R62" i="52"/>
  <c r="R69" i="52"/>
  <c r="R67" i="52"/>
  <c r="Y67" i="52"/>
  <c r="W62" i="52"/>
  <c r="W69" i="52"/>
  <c r="Y65" i="52"/>
  <c r="R68" i="52"/>
  <c r="R63" i="52"/>
  <c r="R64" i="52"/>
  <c r="R66" i="52"/>
  <c r="W14" i="52"/>
  <c r="W56" i="52"/>
  <c r="Y56" i="52"/>
  <c r="W55" i="52"/>
  <c r="Y52" i="52"/>
  <c r="Y38" i="52"/>
  <c r="Y55" i="52"/>
  <c r="Y59" i="52"/>
  <c r="R56" i="52"/>
  <c r="Y54" i="52"/>
  <c r="Y45" i="52"/>
  <c r="Y37" i="52"/>
  <c r="W57" i="52"/>
  <c r="W43" i="52"/>
  <c r="W35" i="52"/>
  <c r="G25" i="60" s="1"/>
  <c r="V25" i="60" s="1"/>
  <c r="R55" i="52"/>
  <c r="W54" i="52"/>
  <c r="W60" i="52"/>
  <c r="W58" i="52"/>
  <c r="J25" i="60" s="1"/>
  <c r="Y25" i="60" s="1"/>
  <c r="R54" i="52"/>
  <c r="N25" i="28"/>
  <c r="O25" i="28" s="1"/>
  <c r="Y25" i="28" s="1"/>
  <c r="N26" i="28"/>
  <c r="O26" i="28" s="1"/>
  <c r="N24" i="28"/>
  <c r="O24" i="28" s="1"/>
  <c r="U26" i="28"/>
  <c r="Q26" i="28"/>
  <c r="Q25" i="28"/>
  <c r="W25" i="28" s="1"/>
  <c r="Q24" i="28"/>
  <c r="W24" i="28" s="1"/>
  <c r="Y17" i="28"/>
  <c r="Y18" i="28"/>
  <c r="Y19" i="28"/>
  <c r="Y20" i="28"/>
  <c r="Y21" i="28"/>
  <c r="Y22" i="28"/>
  <c r="Y23" i="28"/>
  <c r="Y16" i="28"/>
  <c r="Y15" i="28"/>
  <c r="Y14" i="28"/>
  <c r="Y13" i="28"/>
  <c r="Y12" i="28"/>
  <c r="Y11" i="28"/>
  <c r="Y10" i="28"/>
  <c r="Y9" i="28"/>
  <c r="Y7" i="28"/>
  <c r="Y8" i="28"/>
  <c r="Y6" i="28"/>
  <c r="Q23" i="28"/>
  <c r="W23" i="28" s="1"/>
  <c r="Q18" i="28"/>
  <c r="W18" i="28" s="1"/>
  <c r="Q19" i="28"/>
  <c r="W19" i="28" s="1"/>
  <c r="Q20" i="28"/>
  <c r="R20" i="28" s="1"/>
  <c r="Q21" i="28"/>
  <c r="W21" i="28" s="1"/>
  <c r="Q22" i="28"/>
  <c r="W22" i="28" s="1"/>
  <c r="Q16" i="28"/>
  <c r="R16" i="28" s="1"/>
  <c r="Q17" i="28"/>
  <c r="W17" i="28" s="1"/>
  <c r="Q15" i="28"/>
  <c r="W15" i="28" s="1"/>
  <c r="Q13" i="28"/>
  <c r="W13" i="28" s="1"/>
  <c r="Q14" i="28"/>
  <c r="R14" i="28" s="1"/>
  <c r="Q12" i="28"/>
  <c r="W12" i="28" s="1"/>
  <c r="Q10" i="28"/>
  <c r="W10" i="28" s="1"/>
  <c r="Q11" i="28"/>
  <c r="W11" i="28" s="1"/>
  <c r="Q9" i="28"/>
  <c r="R9" i="28" s="1"/>
  <c r="Q7" i="28"/>
  <c r="W7" i="28" s="1"/>
  <c r="Q8" i="28"/>
  <c r="W8" i="28" s="1"/>
  <c r="Q6" i="28"/>
  <c r="W6" i="28" s="1"/>
  <c r="U52" i="47"/>
  <c r="U51" i="47"/>
  <c r="U50" i="47"/>
  <c r="Q50" i="47"/>
  <c r="Q51" i="47"/>
  <c r="Q52" i="47"/>
  <c r="O50" i="47"/>
  <c r="O51" i="47"/>
  <c r="O52" i="47"/>
  <c r="Z13" i="46"/>
  <c r="Z9" i="46"/>
  <c r="Z10" i="46"/>
  <c r="O47" i="47"/>
  <c r="O48" i="47"/>
  <c r="O49" i="47"/>
  <c r="Q48" i="47"/>
  <c r="Q49" i="47"/>
  <c r="Q47" i="47"/>
  <c r="U49" i="47"/>
  <c r="U48" i="47"/>
  <c r="U47" i="47"/>
  <c r="Y47" i="47" s="1"/>
  <c r="U44" i="47"/>
  <c r="U3" i="47"/>
  <c r="U12" i="46"/>
  <c r="U11" i="46"/>
  <c r="Q11" i="46"/>
  <c r="R11" i="46" s="1"/>
  <c r="Q12" i="46"/>
  <c r="R12" i="46" s="1"/>
  <c r="Q13" i="46"/>
  <c r="R13" i="46" s="1"/>
  <c r="Q9" i="46"/>
  <c r="R9" i="46" s="1"/>
  <c r="Q10" i="46"/>
  <c r="W10" i="46" s="1"/>
  <c r="U2" i="46"/>
  <c r="W2" i="46" s="1"/>
  <c r="H37" i="57" l="1"/>
  <c r="I37" i="57"/>
  <c r="K37" i="57"/>
  <c r="J37" i="57"/>
  <c r="G618" i="60"/>
  <c r="V618" i="60" s="1"/>
  <c r="J337" i="60"/>
  <c r="Y337" i="60" s="1"/>
  <c r="I311" i="60"/>
  <c r="X311" i="60" s="1"/>
  <c r="K103" i="60"/>
  <c r="Z103" i="60" s="1"/>
  <c r="Q38" i="57"/>
  <c r="P38" i="57"/>
  <c r="O38" i="57"/>
  <c r="G98" i="60"/>
  <c r="V98" i="60" s="1"/>
  <c r="E70" i="60"/>
  <c r="T70" i="60" s="1"/>
  <c r="I103" i="60"/>
  <c r="X103" i="60" s="1"/>
  <c r="K623" i="60"/>
  <c r="Z623" i="60" s="1"/>
  <c r="J233" i="60"/>
  <c r="Y233" i="60" s="1"/>
  <c r="G281" i="60"/>
  <c r="V281" i="60" s="1"/>
  <c r="I207" i="60"/>
  <c r="X207" i="60" s="1"/>
  <c r="G385" i="60"/>
  <c r="V385" i="60" s="1"/>
  <c r="G177" i="60"/>
  <c r="V177" i="60" s="1"/>
  <c r="R50" i="47"/>
  <c r="W48" i="47"/>
  <c r="H40" i="57"/>
  <c r="C40" i="57" s="1"/>
  <c r="K40" i="57"/>
  <c r="F40" i="57" s="1"/>
  <c r="I40" i="57"/>
  <c r="D40" i="57" s="1"/>
  <c r="J40" i="57"/>
  <c r="E40" i="57" s="1"/>
  <c r="Q35" i="57"/>
  <c r="O35" i="57"/>
  <c r="D37" i="57"/>
  <c r="A72" i="56"/>
  <c r="A73" i="56"/>
  <c r="Q67" i="56"/>
  <c r="T67" i="56"/>
  <c r="J67" i="56"/>
  <c r="C67" i="56" s="1"/>
  <c r="M67" i="56"/>
  <c r="F67" i="56" s="1"/>
  <c r="R67" i="56"/>
  <c r="V67" i="56"/>
  <c r="K67" i="56"/>
  <c r="D67" i="56" s="1"/>
  <c r="O67" i="56"/>
  <c r="H67" i="56" s="1"/>
  <c r="N67" i="56"/>
  <c r="G67" i="56" s="1"/>
  <c r="S67" i="56"/>
  <c r="U67" i="56"/>
  <c r="L67" i="56"/>
  <c r="E67" i="56" s="1"/>
  <c r="U68" i="56"/>
  <c r="N68" i="56"/>
  <c r="G68" i="56" s="1"/>
  <c r="S68" i="56"/>
  <c r="L68" i="56"/>
  <c r="E68" i="56" s="1"/>
  <c r="R68" i="56"/>
  <c r="O68" i="56"/>
  <c r="H68" i="56" s="1"/>
  <c r="T68" i="56"/>
  <c r="J68" i="56"/>
  <c r="V68" i="56"/>
  <c r="K68" i="56"/>
  <c r="M68" i="56"/>
  <c r="F68" i="56" s="1"/>
  <c r="A70" i="56"/>
  <c r="T66" i="56"/>
  <c r="K66" i="56"/>
  <c r="O66" i="56"/>
  <c r="J66" i="56"/>
  <c r="L66" i="56"/>
  <c r="M66" i="56"/>
  <c r="F66" i="56" s="1"/>
  <c r="N66" i="56"/>
  <c r="R69" i="56"/>
  <c r="V69" i="56"/>
  <c r="K69" i="56"/>
  <c r="D69" i="56" s="1"/>
  <c r="O69" i="56"/>
  <c r="H69" i="56" s="1"/>
  <c r="Q69" i="56"/>
  <c r="T69" i="56"/>
  <c r="J69" i="56"/>
  <c r="C69" i="56" s="1"/>
  <c r="M69" i="56"/>
  <c r="F69" i="56" s="1"/>
  <c r="S69" i="56"/>
  <c r="U69" i="56"/>
  <c r="L69" i="56"/>
  <c r="E69" i="56" s="1"/>
  <c r="N69" i="56"/>
  <c r="G69" i="56" s="1"/>
  <c r="A71" i="56"/>
  <c r="B37" i="57"/>
  <c r="B40" i="57"/>
  <c r="B71" i="56"/>
  <c r="B70" i="56"/>
  <c r="B72" i="56"/>
  <c r="B73" i="56"/>
  <c r="W12" i="46"/>
  <c r="R26" i="28"/>
  <c r="W11" i="46"/>
  <c r="W50" i="47"/>
  <c r="I19" i="60" s="1"/>
  <c r="X19" i="60" s="1"/>
  <c r="Y26" i="28"/>
  <c r="R10" i="28"/>
  <c r="W13" i="46"/>
  <c r="R47" i="47"/>
  <c r="R48" i="47"/>
  <c r="Y51" i="47"/>
  <c r="R51" i="47"/>
  <c r="R7" i="28"/>
  <c r="W16" i="28"/>
  <c r="Z12" i="46"/>
  <c r="Y50" i="47"/>
  <c r="W51" i="47"/>
  <c r="W52" i="47"/>
  <c r="Y24" i="28"/>
  <c r="R24" i="28"/>
  <c r="R52" i="47"/>
  <c r="R10" i="46"/>
  <c r="Z11" i="46"/>
  <c r="Y52" i="47"/>
  <c r="W20" i="28"/>
  <c r="W49" i="47"/>
  <c r="R23" i="28"/>
  <c r="R25" i="28"/>
  <c r="R8" i="28"/>
  <c r="R13" i="28"/>
  <c r="R21" i="28"/>
  <c r="R11" i="28"/>
  <c r="R18" i="28"/>
  <c r="W26" i="28"/>
  <c r="R15" i="28"/>
  <c r="W9" i="28"/>
  <c r="F72" i="60" s="1"/>
  <c r="R17" i="28"/>
  <c r="R12" i="28"/>
  <c r="W14" i="28"/>
  <c r="R6" i="28"/>
  <c r="R19" i="28"/>
  <c r="R22" i="28"/>
  <c r="R49" i="47"/>
  <c r="W47" i="47"/>
  <c r="Y49" i="47"/>
  <c r="Y48" i="47"/>
  <c r="W9" i="46"/>
  <c r="Q45" i="47"/>
  <c r="W45" i="47" s="1"/>
  <c r="Q46" i="47"/>
  <c r="O45" i="47"/>
  <c r="O46" i="47"/>
  <c r="O44" i="47"/>
  <c r="Q44" i="47"/>
  <c r="Z6" i="46"/>
  <c r="Z7" i="46"/>
  <c r="Z8" i="46"/>
  <c r="Q6" i="46"/>
  <c r="W6" i="46" s="1"/>
  <c r="Q7" i="46"/>
  <c r="W7" i="46" s="1"/>
  <c r="Q8" i="46"/>
  <c r="R8" i="46" s="1"/>
  <c r="Q5" i="46"/>
  <c r="U5" i="46"/>
  <c r="Z5" i="46" s="1"/>
  <c r="O4" i="46"/>
  <c r="Z4" i="46" s="1"/>
  <c r="Q4" i="46"/>
  <c r="W4" i="46" s="1"/>
  <c r="F18" i="60" s="1"/>
  <c r="U18" i="60" s="1"/>
  <c r="Y12" i="21"/>
  <c r="Y13" i="21"/>
  <c r="Y3" i="21"/>
  <c r="Y4" i="21"/>
  <c r="Y5" i="21"/>
  <c r="Y6" i="21"/>
  <c r="Y7" i="21"/>
  <c r="Y8" i="21"/>
  <c r="Y9" i="21"/>
  <c r="Y10" i="21"/>
  <c r="Y11" i="21"/>
  <c r="Y2" i="21"/>
  <c r="W12" i="21"/>
  <c r="W13" i="21"/>
  <c r="W5" i="21"/>
  <c r="W6" i="21"/>
  <c r="W7" i="21"/>
  <c r="W8" i="21"/>
  <c r="W9" i="21"/>
  <c r="W10" i="21"/>
  <c r="W11" i="21"/>
  <c r="W3" i="21"/>
  <c r="W4" i="21"/>
  <c r="W2" i="21"/>
  <c r="R11" i="21"/>
  <c r="R12" i="21"/>
  <c r="R13" i="21"/>
  <c r="R8" i="21"/>
  <c r="R9" i="21"/>
  <c r="R10" i="21"/>
  <c r="R5" i="21"/>
  <c r="R6" i="21"/>
  <c r="R7" i="21"/>
  <c r="R3" i="21"/>
  <c r="R4" i="21"/>
  <c r="R2" i="21"/>
  <c r="F384" i="60" l="1"/>
  <c r="L70" i="56"/>
  <c r="T70" i="56"/>
  <c r="M70" i="56"/>
  <c r="K70" i="56"/>
  <c r="O70" i="56"/>
  <c r="J70" i="56"/>
  <c r="U70" i="56"/>
  <c r="N70" i="56"/>
  <c r="V70" i="56"/>
  <c r="H123" i="60"/>
  <c r="W123" i="60" s="1"/>
  <c r="E533" i="60"/>
  <c r="F434" i="60"/>
  <c r="U434" i="60" s="1"/>
  <c r="G202" i="60"/>
  <c r="V202" i="60" s="1"/>
  <c r="H331" i="60"/>
  <c r="W331" i="60" s="1"/>
  <c r="I331" i="60"/>
  <c r="X331" i="60" s="1"/>
  <c r="T71" i="56"/>
  <c r="M71" i="56"/>
  <c r="Q71" i="56"/>
  <c r="U71" i="56"/>
  <c r="J71" i="56"/>
  <c r="N71" i="56"/>
  <c r="L71" i="56"/>
  <c r="R71" i="56"/>
  <c r="V71" i="56"/>
  <c r="K71" i="56"/>
  <c r="O71" i="56"/>
  <c r="S71" i="56"/>
  <c r="U72" i="60"/>
  <c r="V72" i="56"/>
  <c r="O72" i="56"/>
  <c r="S72" i="56"/>
  <c r="L72" i="56"/>
  <c r="Q72" i="56"/>
  <c r="J72" i="56"/>
  <c r="N72" i="56"/>
  <c r="K72" i="56"/>
  <c r="T72" i="56"/>
  <c r="M72" i="56"/>
  <c r="U72" i="56"/>
  <c r="O37" i="57"/>
  <c r="E221" i="60"/>
  <c r="T221" i="60" s="1"/>
  <c r="F226" i="60"/>
  <c r="U226" i="60" s="1"/>
  <c r="I227" i="60"/>
  <c r="X227" i="60" s="1"/>
  <c r="T73" i="56"/>
  <c r="U73" i="56"/>
  <c r="J73" i="56"/>
  <c r="N73" i="56"/>
  <c r="L73" i="56"/>
  <c r="M73" i="56"/>
  <c r="V73" i="56"/>
  <c r="K73" i="56"/>
  <c r="O73" i="56"/>
  <c r="S73" i="56"/>
  <c r="H539" i="60"/>
  <c r="W539" i="60" s="1"/>
  <c r="G434" i="60"/>
  <c r="V434" i="60" s="1"/>
  <c r="F176" i="60"/>
  <c r="U176" i="60" s="1"/>
  <c r="N25" i="57"/>
  <c r="C25" i="57" s="1"/>
  <c r="G18" i="60"/>
  <c r="V18" i="60" s="1"/>
  <c r="U384" i="60"/>
  <c r="U66" i="56"/>
  <c r="G66" i="56" s="1"/>
  <c r="R66" i="56"/>
  <c r="D66" i="56" s="1"/>
  <c r="S66" i="56"/>
  <c r="E66" i="56" s="1"/>
  <c r="V46" i="56"/>
  <c r="H46" i="56" s="1"/>
  <c r="E13" i="60"/>
  <c r="T13" i="60" s="1"/>
  <c r="R46" i="56"/>
  <c r="D46" i="56" s="1"/>
  <c r="S46" i="56"/>
  <c r="E46" i="56" s="1"/>
  <c r="D68" i="56"/>
  <c r="K39" i="57"/>
  <c r="H39" i="57"/>
  <c r="C39" i="57" s="1"/>
  <c r="I39" i="57"/>
  <c r="D39" i="57" s="1"/>
  <c r="J39" i="57"/>
  <c r="O40" i="57"/>
  <c r="N40" i="57"/>
  <c r="Q40" i="57"/>
  <c r="J42" i="57"/>
  <c r="E42" i="57" s="1"/>
  <c r="I42" i="57"/>
  <c r="D42" i="57" s="1"/>
  <c r="K42" i="57"/>
  <c r="F42" i="57" s="1"/>
  <c r="P40" i="57"/>
  <c r="H42" i="57"/>
  <c r="A75" i="56"/>
  <c r="A74" i="56"/>
  <c r="A77" i="56"/>
  <c r="A76" i="56"/>
  <c r="B42" i="57"/>
  <c r="B39" i="57"/>
  <c r="B74" i="56"/>
  <c r="B77" i="56"/>
  <c r="B76" i="56"/>
  <c r="B75" i="56"/>
  <c r="R46" i="47"/>
  <c r="N38" i="57" s="1"/>
  <c r="C38" i="57" s="1"/>
  <c r="W46" i="47"/>
  <c r="G227" i="60" s="1"/>
  <c r="R4" i="46"/>
  <c r="W5" i="46"/>
  <c r="F122" i="60" s="1"/>
  <c r="W8" i="46"/>
  <c r="F538" i="60" s="1"/>
  <c r="Y46" i="47"/>
  <c r="R44" i="47"/>
  <c r="R45" i="47"/>
  <c r="Y44" i="47"/>
  <c r="W44" i="47"/>
  <c r="Y45" i="47"/>
  <c r="R7" i="46"/>
  <c r="R6" i="46"/>
  <c r="R5" i="46"/>
  <c r="W3" i="19"/>
  <c r="E375" i="60" s="1"/>
  <c r="R3" i="19"/>
  <c r="P21" i="57" s="1"/>
  <c r="E21" i="57" s="1"/>
  <c r="W2" i="19"/>
  <c r="E323" i="60" s="1"/>
  <c r="R2" i="19"/>
  <c r="N21" i="57" s="1"/>
  <c r="C21" i="57" s="1"/>
  <c r="W12" i="45"/>
  <c r="F165" i="60" s="1"/>
  <c r="Q13" i="45"/>
  <c r="W13" i="45" s="1"/>
  <c r="F269" i="60" s="1"/>
  <c r="O13" i="45"/>
  <c r="Y13" i="45" s="1"/>
  <c r="Q9" i="10"/>
  <c r="N9" i="10"/>
  <c r="O9" i="10" s="1"/>
  <c r="N8" i="10"/>
  <c r="O8" i="10" s="1"/>
  <c r="Q8" i="10"/>
  <c r="W8" i="10" s="1"/>
  <c r="F600" i="60" s="1"/>
  <c r="U9" i="10"/>
  <c r="Q7" i="10"/>
  <c r="N7" i="10"/>
  <c r="O7" i="10" s="1"/>
  <c r="Q6" i="10"/>
  <c r="N6" i="10"/>
  <c r="O6" i="10" s="1"/>
  <c r="U5" i="44"/>
  <c r="W5" i="44" s="1"/>
  <c r="U4" i="44"/>
  <c r="W4" i="44" s="1"/>
  <c r="U3" i="44"/>
  <c r="U2" i="44"/>
  <c r="Y5" i="10"/>
  <c r="Y4" i="10"/>
  <c r="U3" i="10"/>
  <c r="Y3" i="10" s="1"/>
  <c r="Q2" i="10"/>
  <c r="G123" i="60" l="1"/>
  <c r="V123" i="60" s="1"/>
  <c r="V227" i="60"/>
  <c r="Q70" i="56"/>
  <c r="S70" i="56"/>
  <c r="T375" i="60"/>
  <c r="T40" i="56"/>
  <c r="F40" i="56" s="1"/>
  <c r="T323" i="60"/>
  <c r="T38" i="56"/>
  <c r="F38" i="56" s="1"/>
  <c r="U538" i="60"/>
  <c r="V66" i="56"/>
  <c r="H66" i="56" s="1"/>
  <c r="U122" i="60"/>
  <c r="Q66" i="56"/>
  <c r="C66" i="56" s="1"/>
  <c r="N35" i="57"/>
  <c r="C35" i="57" s="1"/>
  <c r="U269" i="60"/>
  <c r="S32" i="56"/>
  <c r="E32" i="56" s="1"/>
  <c r="U165" i="60"/>
  <c r="Q32" i="56"/>
  <c r="C32" i="56" s="1"/>
  <c r="E6" i="60"/>
  <c r="T6" i="60" s="1"/>
  <c r="R18" i="56"/>
  <c r="D18" i="56" s="1"/>
  <c r="U600" i="60"/>
  <c r="V5" i="56"/>
  <c r="H5" i="56" s="1"/>
  <c r="O42" i="57"/>
  <c r="H44" i="57"/>
  <c r="C44" i="57" s="1"/>
  <c r="I44" i="57"/>
  <c r="D44" i="57" s="1"/>
  <c r="Q42" i="57"/>
  <c r="J44" i="57"/>
  <c r="E44" i="57" s="1"/>
  <c r="P42" i="57"/>
  <c r="K44" i="57"/>
  <c r="F44" i="57" s="1"/>
  <c r="P39" i="57"/>
  <c r="E39" i="57" s="1"/>
  <c r="O39" i="57"/>
  <c r="N39" i="57"/>
  <c r="I41" i="57"/>
  <c r="D41" i="57" s="1"/>
  <c r="H41" i="57"/>
  <c r="J41" i="57"/>
  <c r="K41" i="57"/>
  <c r="Q75" i="56"/>
  <c r="T75" i="56"/>
  <c r="J75" i="56"/>
  <c r="C75" i="56" s="1"/>
  <c r="M75" i="56"/>
  <c r="F75" i="56" s="1"/>
  <c r="R75" i="56"/>
  <c r="V75" i="56"/>
  <c r="K75" i="56"/>
  <c r="D75" i="56" s="1"/>
  <c r="O75" i="56"/>
  <c r="H75" i="56" s="1"/>
  <c r="N75" i="56"/>
  <c r="G75" i="56" s="1"/>
  <c r="S75" i="56"/>
  <c r="U75" i="56"/>
  <c r="L75" i="56"/>
  <c r="E75" i="56" s="1"/>
  <c r="A78" i="56"/>
  <c r="K77" i="56"/>
  <c r="O77" i="56"/>
  <c r="T77" i="56"/>
  <c r="J77" i="56"/>
  <c r="M77" i="56"/>
  <c r="F77" i="56" s="1"/>
  <c r="S77" i="56"/>
  <c r="U77" i="56"/>
  <c r="L77" i="56"/>
  <c r="E77" i="56" s="1"/>
  <c r="N77" i="56"/>
  <c r="G77" i="56" s="1"/>
  <c r="T74" i="56"/>
  <c r="M74" i="56"/>
  <c r="F74" i="56" s="1"/>
  <c r="R74" i="56"/>
  <c r="V74" i="56"/>
  <c r="K74" i="56"/>
  <c r="D74" i="56" s="1"/>
  <c r="O74" i="56"/>
  <c r="H74" i="56" s="1"/>
  <c r="U74" i="56"/>
  <c r="Q74" i="56"/>
  <c r="L74" i="56"/>
  <c r="E74" i="56" s="1"/>
  <c r="N74" i="56"/>
  <c r="G74" i="56" s="1"/>
  <c r="S74" i="56"/>
  <c r="J74" i="56"/>
  <c r="C74" i="56" s="1"/>
  <c r="U76" i="56"/>
  <c r="N76" i="56"/>
  <c r="G76" i="56" s="1"/>
  <c r="S76" i="56"/>
  <c r="L76" i="56"/>
  <c r="E76" i="56" s="1"/>
  <c r="R76" i="56"/>
  <c r="O76" i="56"/>
  <c r="H76" i="56" s="1"/>
  <c r="T76" i="56"/>
  <c r="J76" i="56"/>
  <c r="V76" i="56"/>
  <c r="K76" i="56"/>
  <c r="Q76" i="56"/>
  <c r="M76" i="56"/>
  <c r="F76" i="56" s="1"/>
  <c r="A80" i="56"/>
  <c r="A81" i="56"/>
  <c r="A79" i="56"/>
  <c r="B41" i="57"/>
  <c r="B44" i="57"/>
  <c r="B78" i="56"/>
  <c r="B79" i="56"/>
  <c r="B81" i="56"/>
  <c r="B80" i="56"/>
  <c r="R7" i="10"/>
  <c r="R9" i="10"/>
  <c r="V3" i="60"/>
  <c r="R6" i="10"/>
  <c r="Y9" i="10"/>
  <c r="W7" i="10"/>
  <c r="F184" i="60" s="1"/>
  <c r="W9" i="10"/>
  <c r="F288" i="60" s="1"/>
  <c r="Y7" i="10"/>
  <c r="Y6" i="10"/>
  <c r="R13" i="45"/>
  <c r="R8" i="10"/>
  <c r="Y8" i="10"/>
  <c r="Y12" i="45"/>
  <c r="W6" i="10"/>
  <c r="F80" i="60" s="1"/>
  <c r="Y4" i="44"/>
  <c r="Q78" i="56" l="1"/>
  <c r="C76" i="56"/>
  <c r="Q3" i="57"/>
  <c r="F3" i="57" s="1"/>
  <c r="V107" i="60"/>
  <c r="P17" i="57"/>
  <c r="E17" i="57" s="1"/>
  <c r="U80" i="60"/>
  <c r="R5" i="56"/>
  <c r="D5" i="56" s="1"/>
  <c r="U288" i="60"/>
  <c r="S5" i="56"/>
  <c r="E5" i="56" s="1"/>
  <c r="U184" i="60"/>
  <c r="Q5" i="56"/>
  <c r="C5" i="56" s="1"/>
  <c r="V55" i="60"/>
  <c r="D8" i="56"/>
  <c r="V81" i="60"/>
  <c r="D9" i="56"/>
  <c r="V159" i="60"/>
  <c r="C8" i="56"/>
  <c r="D76" i="56"/>
  <c r="N44" i="57"/>
  <c r="O44" i="57"/>
  <c r="P44" i="57"/>
  <c r="Q44" i="57"/>
  <c r="H46" i="57"/>
  <c r="C46" i="57" s="1"/>
  <c r="I46" i="57"/>
  <c r="D46" i="57" s="1"/>
  <c r="K46" i="57"/>
  <c r="F46" i="57" s="1"/>
  <c r="J46" i="57"/>
  <c r="E46" i="57" s="1"/>
  <c r="I43" i="57"/>
  <c r="P41" i="57"/>
  <c r="E41" i="57" s="1"/>
  <c r="O41" i="57"/>
  <c r="K43" i="57"/>
  <c r="F43" i="57" s="1"/>
  <c r="J43" i="57"/>
  <c r="H43" i="57"/>
  <c r="C43" i="57" s="1"/>
  <c r="K81" i="56"/>
  <c r="O81" i="56"/>
  <c r="T81" i="56"/>
  <c r="J81" i="56"/>
  <c r="M81" i="56"/>
  <c r="F81" i="56" s="1"/>
  <c r="L81" i="56"/>
  <c r="N81" i="56"/>
  <c r="U80" i="56"/>
  <c r="N80" i="56"/>
  <c r="G80" i="56" s="1"/>
  <c r="S80" i="56"/>
  <c r="L80" i="56"/>
  <c r="R80" i="56"/>
  <c r="O80" i="56"/>
  <c r="H80" i="56" s="1"/>
  <c r="T80" i="56"/>
  <c r="J80" i="56"/>
  <c r="V80" i="56"/>
  <c r="K80" i="56"/>
  <c r="D80" i="56" s="1"/>
  <c r="Q80" i="56"/>
  <c r="M80" i="56"/>
  <c r="A83" i="56"/>
  <c r="A84" i="56"/>
  <c r="A82" i="56"/>
  <c r="Q79" i="56"/>
  <c r="T79" i="56"/>
  <c r="J79" i="56"/>
  <c r="C79" i="56" s="1"/>
  <c r="M79" i="56"/>
  <c r="F79" i="56" s="1"/>
  <c r="R79" i="56"/>
  <c r="V79" i="56"/>
  <c r="K79" i="56"/>
  <c r="D79" i="56" s="1"/>
  <c r="O79" i="56"/>
  <c r="H79" i="56" s="1"/>
  <c r="N79" i="56"/>
  <c r="G79" i="56" s="1"/>
  <c r="S79" i="56"/>
  <c r="U79" i="56"/>
  <c r="L79" i="56"/>
  <c r="E79" i="56" s="1"/>
  <c r="T78" i="56"/>
  <c r="M78" i="56"/>
  <c r="F78" i="56" s="1"/>
  <c r="R78" i="56"/>
  <c r="V78" i="56"/>
  <c r="K78" i="56"/>
  <c r="O78" i="56"/>
  <c r="U78" i="56"/>
  <c r="L78" i="56"/>
  <c r="N78" i="56"/>
  <c r="S78" i="56"/>
  <c r="J78" i="56"/>
  <c r="A85" i="56"/>
  <c r="B43" i="57"/>
  <c r="B46" i="57"/>
  <c r="B84" i="56"/>
  <c r="B85" i="56"/>
  <c r="B82" i="56"/>
  <c r="B83" i="56"/>
  <c r="V419" i="60"/>
  <c r="O3" i="28"/>
  <c r="O4" i="28"/>
  <c r="O5" i="28"/>
  <c r="Q3" i="28"/>
  <c r="Q4" i="28"/>
  <c r="Q5" i="28"/>
  <c r="U5" i="28"/>
  <c r="U4" i="28"/>
  <c r="U3" i="28"/>
  <c r="O2" i="28"/>
  <c r="Q2" i="28"/>
  <c r="W2" i="28" s="1"/>
  <c r="U14" i="30"/>
  <c r="U13" i="30"/>
  <c r="Q13" i="30"/>
  <c r="R13" i="30" s="1"/>
  <c r="Q14" i="30"/>
  <c r="R14" i="30" s="1"/>
  <c r="U12" i="30"/>
  <c r="Y12" i="30" s="1"/>
  <c r="Q12" i="30"/>
  <c r="U3" i="30"/>
  <c r="U4" i="30"/>
  <c r="U5" i="30"/>
  <c r="U6" i="30"/>
  <c r="U7" i="30"/>
  <c r="U8" i="30"/>
  <c r="U9" i="30"/>
  <c r="U10" i="30"/>
  <c r="U11" i="30"/>
  <c r="V4" i="30"/>
  <c r="V5" i="30" s="1"/>
  <c r="V6" i="30" s="1"/>
  <c r="V7" i="30" s="1"/>
  <c r="V8" i="30" s="1"/>
  <c r="V9" i="30" s="1"/>
  <c r="V10" i="30" s="1"/>
  <c r="V11" i="30" s="1"/>
  <c r="V12" i="30" s="1"/>
  <c r="V13" i="30" s="1"/>
  <c r="V14" i="30" s="1"/>
  <c r="W2" i="30"/>
  <c r="O8" i="30"/>
  <c r="R8" i="30" s="1"/>
  <c r="O9" i="30"/>
  <c r="R9" i="30" s="1"/>
  <c r="O10" i="30"/>
  <c r="R10" i="30" s="1"/>
  <c r="O11" i="30"/>
  <c r="R11" i="30" s="1"/>
  <c r="O3" i="30"/>
  <c r="R3" i="30" s="1"/>
  <c r="O4" i="30"/>
  <c r="R4" i="30" s="1"/>
  <c r="O5" i="30"/>
  <c r="R5" i="30" s="1"/>
  <c r="O6" i="30"/>
  <c r="R6" i="30" s="1"/>
  <c r="O7" i="30"/>
  <c r="R7" i="30" s="1"/>
  <c r="O2" i="30"/>
  <c r="R2" i="30" s="1"/>
  <c r="Y7" i="31"/>
  <c r="Y9" i="31"/>
  <c r="U8" i="31"/>
  <c r="W8" i="31" s="1"/>
  <c r="W7" i="31"/>
  <c r="W9" i="31"/>
  <c r="U6" i="31"/>
  <c r="W6" i="31" s="1"/>
  <c r="F231" i="60" s="1"/>
  <c r="R6" i="31"/>
  <c r="R7" i="31"/>
  <c r="R8" i="31"/>
  <c r="R9" i="31"/>
  <c r="R2" i="31"/>
  <c r="R3" i="31"/>
  <c r="R4" i="31"/>
  <c r="R5" i="31"/>
  <c r="Y2" i="31"/>
  <c r="Y3" i="31"/>
  <c r="Y4" i="31"/>
  <c r="Y5" i="31"/>
  <c r="W2" i="31"/>
  <c r="W3" i="31"/>
  <c r="W4" i="31"/>
  <c r="W5" i="31"/>
  <c r="Y53" i="52"/>
  <c r="Y47" i="52"/>
  <c r="Y48" i="52"/>
  <c r="Y51" i="52"/>
  <c r="Y40" i="52"/>
  <c r="Y41" i="52"/>
  <c r="R39" i="52"/>
  <c r="R40" i="52"/>
  <c r="R41" i="52"/>
  <c r="R43" i="52"/>
  <c r="R44" i="52"/>
  <c r="R45" i="52"/>
  <c r="R46" i="52"/>
  <c r="R47" i="52"/>
  <c r="R48" i="52"/>
  <c r="R50" i="52"/>
  <c r="R51" i="52"/>
  <c r="R52" i="52"/>
  <c r="R53" i="52"/>
  <c r="R38" i="52"/>
  <c r="W53" i="52"/>
  <c r="W47" i="52"/>
  <c r="W48" i="52"/>
  <c r="W51" i="52"/>
  <c r="U50" i="52"/>
  <c r="Y50" i="52" s="1"/>
  <c r="U46" i="52"/>
  <c r="Y46" i="52" s="1"/>
  <c r="W40" i="52"/>
  <c r="W41" i="52"/>
  <c r="U44" i="52"/>
  <c r="Y44" i="52" s="1"/>
  <c r="U39" i="52"/>
  <c r="Y39" i="52" s="1"/>
  <c r="Y21" i="52"/>
  <c r="R35" i="52"/>
  <c r="R36" i="52"/>
  <c r="R37" i="52"/>
  <c r="U36" i="52"/>
  <c r="W36" i="52" s="1"/>
  <c r="E517" i="60" l="1"/>
  <c r="H233" i="60"/>
  <c r="W233" i="60" s="1"/>
  <c r="G129" i="60"/>
  <c r="V129" i="60" s="1"/>
  <c r="E621" i="60"/>
  <c r="T621" i="60" s="1"/>
  <c r="F543" i="60"/>
  <c r="U543" i="60" s="1"/>
  <c r="H337" i="60"/>
  <c r="W337" i="60" s="1"/>
  <c r="E74" i="60"/>
  <c r="T74" i="60" s="1"/>
  <c r="U231" i="60"/>
  <c r="T517" i="60"/>
  <c r="E5" i="57"/>
  <c r="V497" i="60"/>
  <c r="G9" i="56"/>
  <c r="F5" i="57"/>
  <c r="V471" i="60"/>
  <c r="G8" i="56"/>
  <c r="V185" i="60"/>
  <c r="C9" i="56"/>
  <c r="D78" i="56"/>
  <c r="G78" i="56"/>
  <c r="F80" i="56"/>
  <c r="C80" i="56"/>
  <c r="E80" i="56"/>
  <c r="C78" i="56"/>
  <c r="E78" i="56"/>
  <c r="H78" i="56"/>
  <c r="O46" i="57"/>
  <c r="H48" i="57"/>
  <c r="C48" i="57" s="1"/>
  <c r="N46" i="57"/>
  <c r="I48" i="57"/>
  <c r="D48" i="57" s="1"/>
  <c r="Q46" i="57"/>
  <c r="J48" i="57"/>
  <c r="E48" i="57" s="1"/>
  <c r="P46" i="57"/>
  <c r="K48" i="57"/>
  <c r="F48" i="57" s="1"/>
  <c r="Q43" i="57"/>
  <c r="K45" i="57"/>
  <c r="P43" i="57"/>
  <c r="E43" i="57" s="1"/>
  <c r="H45" i="57"/>
  <c r="N43" i="57"/>
  <c r="I45" i="57"/>
  <c r="D45" i="57" s="1"/>
  <c r="J45" i="57"/>
  <c r="E45" i="57" s="1"/>
  <c r="A89" i="56"/>
  <c r="A86" i="56"/>
  <c r="A87" i="56"/>
  <c r="U85" i="56"/>
  <c r="S85" i="56"/>
  <c r="K85" i="56"/>
  <c r="D85" i="56" s="1"/>
  <c r="O85" i="56"/>
  <c r="H85" i="56" s="1"/>
  <c r="Q85" i="56"/>
  <c r="V85" i="56"/>
  <c r="J85" i="56"/>
  <c r="C85" i="56" s="1"/>
  <c r="M85" i="56"/>
  <c r="F85" i="56" s="1"/>
  <c r="R85" i="56"/>
  <c r="T85" i="56"/>
  <c r="L85" i="56"/>
  <c r="E85" i="56" s="1"/>
  <c r="N85" i="56"/>
  <c r="G85" i="56" s="1"/>
  <c r="Q84" i="56"/>
  <c r="T84" i="56"/>
  <c r="U84" i="56"/>
  <c r="N84" i="56"/>
  <c r="R84" i="56"/>
  <c r="L84" i="56"/>
  <c r="V84" i="56"/>
  <c r="O84" i="56"/>
  <c r="J84" i="56"/>
  <c r="K84" i="56"/>
  <c r="M84" i="56"/>
  <c r="F84" i="56" s="1"/>
  <c r="S84" i="56"/>
  <c r="V83" i="56"/>
  <c r="J83" i="56"/>
  <c r="M83" i="56"/>
  <c r="F83" i="56" s="1"/>
  <c r="T83" i="56"/>
  <c r="K83" i="56"/>
  <c r="O83" i="56"/>
  <c r="H83" i="56" s="1"/>
  <c r="N83" i="56"/>
  <c r="G83" i="56" s="1"/>
  <c r="U83" i="56"/>
  <c r="L83" i="56"/>
  <c r="S82" i="56"/>
  <c r="Q82" i="56"/>
  <c r="R82" i="56"/>
  <c r="M82" i="56"/>
  <c r="F82" i="56" s="1"/>
  <c r="U82" i="56"/>
  <c r="K82" i="56"/>
  <c r="D82" i="56" s="1"/>
  <c r="O82" i="56"/>
  <c r="H82" i="56" s="1"/>
  <c r="T82" i="56"/>
  <c r="V82" i="56"/>
  <c r="L82" i="56"/>
  <c r="E82" i="56" s="1"/>
  <c r="N82" i="56"/>
  <c r="G82" i="56" s="1"/>
  <c r="J82" i="56"/>
  <c r="C82" i="56" s="1"/>
  <c r="A88" i="56"/>
  <c r="B48" i="57"/>
  <c r="B45" i="57"/>
  <c r="B87" i="56"/>
  <c r="B86" i="56"/>
  <c r="B88" i="56"/>
  <c r="B89" i="56"/>
  <c r="U2" i="30"/>
  <c r="Y2" i="30" s="1"/>
  <c r="Y8" i="31"/>
  <c r="W5" i="28"/>
  <c r="E618" i="60" s="1"/>
  <c r="Y6" i="31"/>
  <c r="Y4" i="30"/>
  <c r="W14" i="30"/>
  <c r="W3" i="28"/>
  <c r="Y3" i="28"/>
  <c r="W4" i="28"/>
  <c r="E202" i="60" s="1"/>
  <c r="R4" i="28"/>
  <c r="Y5" i="28"/>
  <c r="Y2" i="28"/>
  <c r="R5" i="28"/>
  <c r="Y4" i="28"/>
  <c r="R3" i="28"/>
  <c r="R2" i="28"/>
  <c r="Y8" i="30"/>
  <c r="Y5" i="30"/>
  <c r="W12" i="30"/>
  <c r="W13" i="30"/>
  <c r="Y11" i="30"/>
  <c r="Y14" i="30"/>
  <c r="Y13" i="30"/>
  <c r="Y10" i="30"/>
  <c r="Y7" i="30"/>
  <c r="Y3" i="30"/>
  <c r="R12" i="30"/>
  <c r="O43" i="57" s="1"/>
  <c r="D43" i="57" s="1"/>
  <c r="Y9" i="30"/>
  <c r="Y6" i="30"/>
  <c r="W44" i="52"/>
  <c r="W46" i="52"/>
  <c r="W39" i="52"/>
  <c r="H129" i="60" s="1"/>
  <c r="W50" i="52"/>
  <c r="Y36" i="52"/>
  <c r="N3" i="49"/>
  <c r="O3" i="49" s="1"/>
  <c r="R3" i="49" s="1"/>
  <c r="N2" i="49"/>
  <c r="O2" i="49" s="1"/>
  <c r="R2" i="49" s="1"/>
  <c r="R5" i="49"/>
  <c r="R6" i="49"/>
  <c r="R7" i="49"/>
  <c r="R8" i="49"/>
  <c r="R9" i="49"/>
  <c r="R4" i="49"/>
  <c r="U631" i="60" l="1"/>
  <c r="U632" i="60"/>
  <c r="U630" i="60"/>
  <c r="G114" i="56" s="1"/>
  <c r="H441" i="60"/>
  <c r="W441" i="60" s="1"/>
  <c r="F48" i="60"/>
  <c r="U48" i="60" s="1"/>
  <c r="F152" i="60"/>
  <c r="U152" i="60" s="1"/>
  <c r="H545" i="60"/>
  <c r="W545" i="60" s="1"/>
  <c r="F256" i="60"/>
  <c r="U256" i="60" s="1"/>
  <c r="E98" i="60"/>
  <c r="T98" i="60" s="1"/>
  <c r="W129" i="60"/>
  <c r="H84" i="56"/>
  <c r="Q83" i="56"/>
  <c r="R83" i="56"/>
  <c r="D83" i="56" s="1"/>
  <c r="S83" i="56"/>
  <c r="E83" i="56" s="1"/>
  <c r="T202" i="60"/>
  <c r="Q77" i="56"/>
  <c r="C77" i="56" s="1"/>
  <c r="R77" i="56"/>
  <c r="D77" i="56" s="1"/>
  <c r="T618" i="60"/>
  <c r="V77" i="56"/>
  <c r="H77" i="56" s="1"/>
  <c r="Q39" i="57"/>
  <c r="F39" i="57" s="1"/>
  <c r="U642" i="60"/>
  <c r="U634" i="60"/>
  <c r="U641" i="60"/>
  <c r="U636" i="60"/>
  <c r="U633" i="60"/>
  <c r="U635" i="60"/>
  <c r="E84" i="56"/>
  <c r="C84" i="56"/>
  <c r="G84" i="56"/>
  <c r="C83" i="56"/>
  <c r="D84" i="56"/>
  <c r="Q45" i="57"/>
  <c r="I47" i="57"/>
  <c r="D47" i="57" s="1"/>
  <c r="P45" i="57"/>
  <c r="J47" i="57"/>
  <c r="O45" i="57"/>
  <c r="K47" i="57"/>
  <c r="N45" i="57"/>
  <c r="C45" i="57" s="1"/>
  <c r="H47" i="57"/>
  <c r="F45" i="57"/>
  <c r="N48" i="57"/>
  <c r="H50" i="57"/>
  <c r="C50" i="57" s="1"/>
  <c r="O48" i="57"/>
  <c r="I50" i="57"/>
  <c r="D50" i="57" s="1"/>
  <c r="P48" i="57"/>
  <c r="J50" i="57"/>
  <c r="E50" i="57" s="1"/>
  <c r="Q48" i="57"/>
  <c r="K50" i="57"/>
  <c r="F50" i="57" s="1"/>
  <c r="U89" i="56"/>
  <c r="N89" i="56"/>
  <c r="R89" i="56"/>
  <c r="J89" i="56"/>
  <c r="C89" i="56" s="1"/>
  <c r="O89" i="56"/>
  <c r="T89" i="56"/>
  <c r="L89" i="56"/>
  <c r="E89" i="56" s="1"/>
  <c r="K89" i="56"/>
  <c r="D89" i="56" s="1"/>
  <c r="S89" i="56"/>
  <c r="M89" i="56"/>
  <c r="F89" i="56" s="1"/>
  <c r="Q89" i="56"/>
  <c r="V89" i="56"/>
  <c r="Q88" i="56"/>
  <c r="T88" i="56"/>
  <c r="J88" i="56"/>
  <c r="C88" i="56" s="1"/>
  <c r="M88" i="56"/>
  <c r="F88" i="56" s="1"/>
  <c r="S88" i="56"/>
  <c r="K88" i="56"/>
  <c r="D88" i="56" s="1"/>
  <c r="V88" i="56"/>
  <c r="N88" i="56"/>
  <c r="G88" i="56" s="1"/>
  <c r="U88" i="56"/>
  <c r="L88" i="56"/>
  <c r="E88" i="56" s="1"/>
  <c r="R88" i="56"/>
  <c r="O88" i="56"/>
  <c r="H88" i="56" s="1"/>
  <c r="S86" i="56"/>
  <c r="Q86" i="56"/>
  <c r="L86" i="56"/>
  <c r="J86" i="56"/>
  <c r="V86" i="56"/>
  <c r="N86" i="56"/>
  <c r="G86" i="56" s="1"/>
  <c r="T86" i="56"/>
  <c r="K86" i="56"/>
  <c r="R86" i="56"/>
  <c r="O86" i="56"/>
  <c r="U86" i="56"/>
  <c r="M86" i="56"/>
  <c r="F86" i="56" s="1"/>
  <c r="S87" i="56"/>
  <c r="L87" i="56"/>
  <c r="E87" i="56" s="1"/>
  <c r="Q87" i="56"/>
  <c r="U87" i="56"/>
  <c r="M87" i="56"/>
  <c r="F87" i="56" s="1"/>
  <c r="R87" i="56"/>
  <c r="O87" i="56"/>
  <c r="H87" i="56" s="1"/>
  <c r="N87" i="56"/>
  <c r="G87" i="56" s="1"/>
  <c r="V87" i="56"/>
  <c r="J87" i="56"/>
  <c r="C87" i="56" s="1"/>
  <c r="T87" i="56"/>
  <c r="K87" i="56"/>
  <c r="D87" i="56" s="1"/>
  <c r="A92" i="56"/>
  <c r="A90" i="56"/>
  <c r="A91" i="56"/>
  <c r="A93" i="56"/>
  <c r="B50" i="57"/>
  <c r="B47" i="57"/>
  <c r="B91" i="56"/>
  <c r="B93" i="56"/>
  <c r="B92" i="56"/>
  <c r="B90" i="56"/>
  <c r="Q2" i="52"/>
  <c r="R2" i="52" s="1"/>
  <c r="U2" i="52"/>
  <c r="Y2" i="52" s="1"/>
  <c r="Q3" i="52"/>
  <c r="R3" i="52" s="1"/>
  <c r="Q4" i="52"/>
  <c r="R4" i="52" s="1"/>
  <c r="U4" i="52"/>
  <c r="Q5" i="52"/>
  <c r="R5" i="52" s="1"/>
  <c r="U5" i="52"/>
  <c r="Y5" i="52" s="1"/>
  <c r="Q6" i="52"/>
  <c r="U6" i="52"/>
  <c r="Y6" i="52" s="1"/>
  <c r="Q7" i="52"/>
  <c r="R7" i="52" s="1"/>
  <c r="U7" i="52"/>
  <c r="Y7" i="52" s="1"/>
  <c r="Q8" i="52"/>
  <c r="R8" i="52" s="1"/>
  <c r="U8" i="52"/>
  <c r="Q9" i="52"/>
  <c r="R9" i="52" s="1"/>
  <c r="Q10" i="52"/>
  <c r="R10" i="52" s="1"/>
  <c r="U10" i="52"/>
  <c r="Y10" i="52" s="1"/>
  <c r="Q11" i="52"/>
  <c r="R11" i="52" s="1"/>
  <c r="Q12" i="52"/>
  <c r="R12" i="52" s="1"/>
  <c r="U12" i="52"/>
  <c r="Y12" i="52" s="1"/>
  <c r="Q13" i="52"/>
  <c r="R13" i="52" s="1"/>
  <c r="Q15" i="52"/>
  <c r="R15" i="52" s="1"/>
  <c r="U15" i="52"/>
  <c r="Y15" i="52" s="1"/>
  <c r="Q16" i="52"/>
  <c r="W16" i="52" s="1"/>
  <c r="Q17" i="52"/>
  <c r="R17" i="52" s="1"/>
  <c r="U17" i="52"/>
  <c r="Y17" i="52" s="1"/>
  <c r="Q18" i="52"/>
  <c r="Q19" i="52"/>
  <c r="R19" i="52" s="1"/>
  <c r="U19" i="52"/>
  <c r="Q20" i="52"/>
  <c r="W20" i="52" s="1"/>
  <c r="Q21" i="52"/>
  <c r="Q22" i="52"/>
  <c r="R22" i="52" s="1"/>
  <c r="Q23" i="52"/>
  <c r="R23" i="52" s="1"/>
  <c r="U23" i="52"/>
  <c r="Y23" i="52" s="1"/>
  <c r="Q24" i="52"/>
  <c r="R24" i="52" s="1"/>
  <c r="U24" i="52"/>
  <c r="Y24" i="52" s="1"/>
  <c r="Q25" i="52"/>
  <c r="R25" i="52" s="1"/>
  <c r="Y25" i="52"/>
  <c r="Q26" i="52"/>
  <c r="R26" i="52" s="1"/>
  <c r="R27" i="52"/>
  <c r="U27" i="52"/>
  <c r="R28" i="52"/>
  <c r="U28" i="52"/>
  <c r="Y28" i="52" s="1"/>
  <c r="R29" i="52"/>
  <c r="U29" i="52"/>
  <c r="Y29" i="52" s="1"/>
  <c r="R30" i="52"/>
  <c r="Q31" i="52"/>
  <c r="Y31" i="52"/>
  <c r="Q32" i="52"/>
  <c r="R32" i="52" s="1"/>
  <c r="U32" i="52"/>
  <c r="Y32" i="52" s="1"/>
  <c r="Q33" i="52"/>
  <c r="U33" i="52"/>
  <c r="Y33" i="52" s="1"/>
  <c r="Q34" i="52"/>
  <c r="P2" i="51"/>
  <c r="Q2" i="51"/>
  <c r="U2" i="51"/>
  <c r="Y2" i="51" s="1"/>
  <c r="O3" i="51"/>
  <c r="Q3" i="51"/>
  <c r="W3" i="51" s="1"/>
  <c r="E196" i="60" s="1"/>
  <c r="Y3" i="51"/>
  <c r="Q4" i="51"/>
  <c r="W4" i="51" s="1"/>
  <c r="E300" i="60" s="1"/>
  <c r="Y4" i="51"/>
  <c r="P5" i="51"/>
  <c r="Q5" i="51"/>
  <c r="U5" i="51"/>
  <c r="Y5" i="51" s="1"/>
  <c r="O6" i="51"/>
  <c r="Q6" i="51"/>
  <c r="U6" i="51"/>
  <c r="Q7" i="51"/>
  <c r="W7" i="51" s="1"/>
  <c r="E274" i="60" s="1"/>
  <c r="Y7" i="51"/>
  <c r="V12" i="60"/>
  <c r="V90" i="60"/>
  <c r="V298" i="60"/>
  <c r="X12" i="60"/>
  <c r="X324" i="60"/>
  <c r="X220" i="60"/>
  <c r="Y38" i="60"/>
  <c r="Y246" i="60"/>
  <c r="U2" i="49"/>
  <c r="Y2" i="49" s="1"/>
  <c r="U3" i="49"/>
  <c r="Y3" i="49" s="1"/>
  <c r="U4" i="49"/>
  <c r="Y4" i="49" s="1"/>
  <c r="U5" i="49"/>
  <c r="Y5" i="49" s="1"/>
  <c r="U6" i="49"/>
  <c r="Y6" i="49" s="1"/>
  <c r="U7" i="49"/>
  <c r="Y7" i="49" s="1"/>
  <c r="U8" i="49"/>
  <c r="Y8" i="49" s="1"/>
  <c r="U9" i="49"/>
  <c r="Y9" i="49" s="1"/>
  <c r="N2" i="48"/>
  <c r="O2" i="48" s="1"/>
  <c r="R2" i="48" s="1"/>
  <c r="U2" i="48"/>
  <c r="W2" i="48" s="1"/>
  <c r="N3" i="48"/>
  <c r="O3" i="48" s="1"/>
  <c r="R3" i="48" s="1"/>
  <c r="U3" i="48"/>
  <c r="W3" i="48" s="1"/>
  <c r="N4" i="48"/>
  <c r="O4" i="48" s="1"/>
  <c r="R4" i="48" s="1"/>
  <c r="U4" i="48"/>
  <c r="W4" i="48" s="1"/>
  <c r="N5" i="48"/>
  <c r="O5" i="48" s="1"/>
  <c r="R5" i="48" s="1"/>
  <c r="U5" i="48"/>
  <c r="W5" i="48" s="1"/>
  <c r="E307" i="60" s="1"/>
  <c r="N6" i="48"/>
  <c r="O6" i="48" s="1"/>
  <c r="R6" i="48" s="1"/>
  <c r="U6" i="48"/>
  <c r="W6" i="48" s="1"/>
  <c r="N7" i="48"/>
  <c r="O7" i="48" s="1"/>
  <c r="R7" i="48" s="1"/>
  <c r="U7" i="48"/>
  <c r="W7" i="48" s="1"/>
  <c r="N8" i="48"/>
  <c r="O8" i="48" s="1"/>
  <c r="R8" i="48" s="1"/>
  <c r="U8" i="48"/>
  <c r="W8" i="48" s="1"/>
  <c r="N9" i="48"/>
  <c r="O9" i="48" s="1"/>
  <c r="R9" i="48" s="1"/>
  <c r="U9" i="48"/>
  <c r="W9" i="48" s="1"/>
  <c r="N10" i="48"/>
  <c r="O10" i="48" s="1"/>
  <c r="R10" i="48" s="1"/>
  <c r="U10" i="48"/>
  <c r="W10" i="48" s="1"/>
  <c r="N11" i="48"/>
  <c r="O11" i="48" s="1"/>
  <c r="R11" i="48" s="1"/>
  <c r="U11" i="48"/>
  <c r="W11" i="48" s="1"/>
  <c r="Q12" i="48"/>
  <c r="R12" i="48" s="1"/>
  <c r="Q13" i="48"/>
  <c r="R13" i="48" s="1"/>
  <c r="Q14" i="48"/>
  <c r="R14" i="48" s="1"/>
  <c r="Q15" i="48"/>
  <c r="R15" i="48" s="1"/>
  <c r="Q16" i="48"/>
  <c r="U16" i="48" s="1"/>
  <c r="Y16" i="48" s="1"/>
  <c r="Q17" i="48"/>
  <c r="R17" i="48" s="1"/>
  <c r="Q18" i="48"/>
  <c r="R18" i="48" s="1"/>
  <c r="Q19" i="48"/>
  <c r="R19" i="48" s="1"/>
  <c r="Q20" i="48"/>
  <c r="R20" i="48" s="1"/>
  <c r="Q21" i="48"/>
  <c r="R21" i="48" s="1"/>
  <c r="Q22" i="48"/>
  <c r="R22" i="48" s="1"/>
  <c r="Q23" i="48"/>
  <c r="R23" i="48" s="1"/>
  <c r="Q24" i="48"/>
  <c r="U24" i="48" s="1"/>
  <c r="Y24" i="48" s="1"/>
  <c r="Q25" i="48"/>
  <c r="R25" i="48" s="1"/>
  <c r="Q26" i="48"/>
  <c r="R26" i="48" s="1"/>
  <c r="Q27" i="48"/>
  <c r="R27" i="48" s="1"/>
  <c r="Q28" i="48"/>
  <c r="R28" i="48" s="1"/>
  <c r="Q29" i="48"/>
  <c r="R29" i="48" s="1"/>
  <c r="Q30" i="48"/>
  <c r="R30" i="48" s="1"/>
  <c r="Q31" i="48"/>
  <c r="R31" i="48" s="1"/>
  <c r="O2" i="47"/>
  <c r="Q2" i="47"/>
  <c r="U2" i="47"/>
  <c r="O3" i="47"/>
  <c r="Q3" i="47"/>
  <c r="O4" i="47"/>
  <c r="Q4" i="47"/>
  <c r="O5" i="47"/>
  <c r="Q5" i="47"/>
  <c r="O6" i="47"/>
  <c r="Q6" i="47"/>
  <c r="U6" i="47" s="1"/>
  <c r="O7" i="47"/>
  <c r="Q7" i="47"/>
  <c r="O8" i="47"/>
  <c r="Q8" i="47"/>
  <c r="W8" i="47"/>
  <c r="R70" i="56" s="1"/>
  <c r="O9" i="47"/>
  <c r="Q9" i="47"/>
  <c r="U9" i="47" s="1"/>
  <c r="O10" i="47"/>
  <c r="Q10" i="47"/>
  <c r="W10" i="47"/>
  <c r="O11" i="47"/>
  <c r="Q11" i="47"/>
  <c r="U11" i="47" s="1"/>
  <c r="O12" i="47"/>
  <c r="Q12" i="47"/>
  <c r="W12" i="47"/>
  <c r="O13" i="47"/>
  <c r="Q13" i="47"/>
  <c r="U13" i="47" s="1"/>
  <c r="O14" i="47"/>
  <c r="Q14" i="47"/>
  <c r="W14" i="47"/>
  <c r="O15" i="47"/>
  <c r="Q15" i="47"/>
  <c r="O16" i="47"/>
  <c r="Q16" i="47"/>
  <c r="W16" i="47"/>
  <c r="O17" i="47"/>
  <c r="Q17" i="47"/>
  <c r="U17" i="47" s="1"/>
  <c r="O18" i="47"/>
  <c r="Q18" i="47"/>
  <c r="W18" i="47"/>
  <c r="O19" i="47"/>
  <c r="Q19" i="47"/>
  <c r="O20" i="47"/>
  <c r="Q20" i="47"/>
  <c r="W20" i="47"/>
  <c r="O21" i="47"/>
  <c r="Q21" i="47"/>
  <c r="U21" i="47" s="1"/>
  <c r="O22" i="47"/>
  <c r="Q22" i="47"/>
  <c r="W22" i="47"/>
  <c r="O23" i="47"/>
  <c r="Q23" i="47"/>
  <c r="O24" i="47"/>
  <c r="Q24" i="47"/>
  <c r="U24" i="47" s="1"/>
  <c r="O25" i="47"/>
  <c r="Q25" i="47"/>
  <c r="O26" i="47"/>
  <c r="Q26" i="47"/>
  <c r="U26" i="47" s="1"/>
  <c r="O27" i="47"/>
  <c r="Q27" i="47"/>
  <c r="O28" i="47"/>
  <c r="Q28" i="47"/>
  <c r="W28" i="47"/>
  <c r="O29" i="47"/>
  <c r="Q29" i="47"/>
  <c r="U29" i="47" s="1"/>
  <c r="O30" i="47"/>
  <c r="Q30" i="47"/>
  <c r="W30" i="47"/>
  <c r="O31" i="47"/>
  <c r="Q31" i="47"/>
  <c r="O32" i="47"/>
  <c r="Q32" i="47"/>
  <c r="W32" i="47"/>
  <c r="O33" i="47"/>
  <c r="Q33" i="47"/>
  <c r="U33" i="47" s="1"/>
  <c r="O34" i="47"/>
  <c r="Q34" i="47"/>
  <c r="W34" i="47"/>
  <c r="O35" i="47"/>
  <c r="Q35" i="47"/>
  <c r="O36" i="47"/>
  <c r="Q36" i="47"/>
  <c r="U36" i="47" s="1"/>
  <c r="O37" i="47"/>
  <c r="Q37" i="47"/>
  <c r="O38" i="47"/>
  <c r="Q38" i="47"/>
  <c r="U38" i="47" s="1"/>
  <c r="O39" i="47"/>
  <c r="Q39" i="47"/>
  <c r="O40" i="47"/>
  <c r="Q40" i="47"/>
  <c r="U40" i="47" s="1"/>
  <c r="O41" i="47"/>
  <c r="Q41" i="47"/>
  <c r="U41" i="47" s="1"/>
  <c r="O42" i="47"/>
  <c r="Q42" i="47"/>
  <c r="U42" i="47" s="1"/>
  <c r="O43" i="47"/>
  <c r="Q43" i="47"/>
  <c r="U43" i="47" s="1"/>
  <c r="O2" i="46"/>
  <c r="O3" i="46"/>
  <c r="Z3" i="46" s="1"/>
  <c r="Q3" i="46"/>
  <c r="Q2" i="45"/>
  <c r="R2" i="45" s="1"/>
  <c r="U2" i="45"/>
  <c r="Q3" i="45"/>
  <c r="R3" i="45" s="1"/>
  <c r="U3" i="45"/>
  <c r="Q4" i="45"/>
  <c r="R4" i="45" s="1"/>
  <c r="U4" i="45"/>
  <c r="Y4" i="45" s="1"/>
  <c r="Q5" i="45"/>
  <c r="R5" i="45" s="1"/>
  <c r="Y5" i="45"/>
  <c r="Q6" i="45"/>
  <c r="R6" i="45" s="1"/>
  <c r="Y6" i="45"/>
  <c r="Q7" i="45"/>
  <c r="R7" i="45" s="1"/>
  <c r="U7" i="45"/>
  <c r="Q8" i="45"/>
  <c r="R8" i="45" s="1"/>
  <c r="U8" i="45"/>
  <c r="Q9" i="45"/>
  <c r="R9" i="45" s="1"/>
  <c r="U9" i="45"/>
  <c r="Y9" i="45" s="1"/>
  <c r="Q10" i="45"/>
  <c r="R10" i="45" s="1"/>
  <c r="Y10" i="45"/>
  <c r="Q11" i="45"/>
  <c r="R11" i="45" s="1"/>
  <c r="Y11" i="45"/>
  <c r="E203" i="60" l="1"/>
  <c r="F71" i="60"/>
  <c r="U71" i="60" s="1"/>
  <c r="R72" i="56"/>
  <c r="E515" i="60"/>
  <c r="T515" i="60" s="1"/>
  <c r="E619" i="60"/>
  <c r="T619" i="60" s="1"/>
  <c r="Z630" i="60" s="1"/>
  <c r="H115" i="56" s="1"/>
  <c r="E99" i="60"/>
  <c r="T274" i="60"/>
  <c r="S52" i="56"/>
  <c r="E52" i="56" s="1"/>
  <c r="T300" i="60"/>
  <c r="S53" i="56"/>
  <c r="E53" i="56" s="1"/>
  <c r="T196" i="60"/>
  <c r="Q53" i="56"/>
  <c r="C53" i="56" s="1"/>
  <c r="D86" i="56"/>
  <c r="C86" i="56"/>
  <c r="H86" i="56"/>
  <c r="G89" i="56"/>
  <c r="N17" i="57"/>
  <c r="C17" i="57" s="1"/>
  <c r="U638" i="60"/>
  <c r="U637" i="60"/>
  <c r="U644" i="60"/>
  <c r="U643" i="60"/>
  <c r="U640" i="60"/>
  <c r="C24" i="57"/>
  <c r="F19" i="60"/>
  <c r="U19" i="60" s="1"/>
  <c r="U30" i="48"/>
  <c r="Y30" i="48" s="1"/>
  <c r="U28" i="48"/>
  <c r="Y28" i="48" s="1"/>
  <c r="Q41" i="57"/>
  <c r="F41" i="57" s="1"/>
  <c r="V81" i="56"/>
  <c r="H81" i="56" s="1"/>
  <c r="U81" i="56"/>
  <c r="G81" i="56" s="1"/>
  <c r="T99" i="60"/>
  <c r="R81" i="56"/>
  <c r="D81" i="56" s="1"/>
  <c r="T307" i="60"/>
  <c r="S81" i="56"/>
  <c r="E81" i="56" s="1"/>
  <c r="T203" i="60"/>
  <c r="Q81" i="56"/>
  <c r="C81" i="56" s="1"/>
  <c r="D23" i="57"/>
  <c r="X532" i="60"/>
  <c r="H42" i="56"/>
  <c r="D24" i="57"/>
  <c r="X428" i="60"/>
  <c r="G42" i="56"/>
  <c r="Y142" i="60"/>
  <c r="C43" i="56"/>
  <c r="E86" i="56"/>
  <c r="H89" i="56"/>
  <c r="Q47" i="57"/>
  <c r="F47" i="57" s="1"/>
  <c r="I49" i="57"/>
  <c r="J49" i="57"/>
  <c r="O47" i="57"/>
  <c r="K49" i="57"/>
  <c r="H49" i="57"/>
  <c r="N47" i="57"/>
  <c r="C47" i="57" s="1"/>
  <c r="P47" i="57"/>
  <c r="E47" i="57" s="1"/>
  <c r="N50" i="57"/>
  <c r="H52" i="57"/>
  <c r="O50" i="57"/>
  <c r="I52" i="57"/>
  <c r="D52" i="57" s="1"/>
  <c r="P50" i="57"/>
  <c r="J52" i="57"/>
  <c r="E52" i="57" s="1"/>
  <c r="K52" i="57"/>
  <c r="F52" i="57" s="1"/>
  <c r="Q50" i="57"/>
  <c r="U93" i="56"/>
  <c r="N93" i="56"/>
  <c r="S93" i="56"/>
  <c r="K93" i="56"/>
  <c r="V93" i="56"/>
  <c r="O93" i="56"/>
  <c r="R93" i="56"/>
  <c r="L93" i="56"/>
  <c r="Q93" i="56"/>
  <c r="J93" i="56"/>
  <c r="T93" i="56"/>
  <c r="M93" i="56"/>
  <c r="F93" i="56" s="1"/>
  <c r="Q92" i="56"/>
  <c r="T92" i="56"/>
  <c r="J92" i="56"/>
  <c r="C92" i="56" s="1"/>
  <c r="M92" i="56"/>
  <c r="F92" i="56" s="1"/>
  <c r="U92" i="56"/>
  <c r="L92" i="56"/>
  <c r="E92" i="56" s="1"/>
  <c r="V92" i="56"/>
  <c r="O92" i="56"/>
  <c r="H92" i="56" s="1"/>
  <c r="R92" i="56"/>
  <c r="K92" i="56"/>
  <c r="D92" i="56" s="1"/>
  <c r="S92" i="56"/>
  <c r="N92" i="56"/>
  <c r="G92" i="56" s="1"/>
  <c r="A97" i="56"/>
  <c r="A94" i="56"/>
  <c r="S91" i="56"/>
  <c r="L91" i="56"/>
  <c r="E91" i="56" s="1"/>
  <c r="V91" i="56"/>
  <c r="J91" i="56"/>
  <c r="C91" i="56" s="1"/>
  <c r="N91" i="56"/>
  <c r="G91" i="56" s="1"/>
  <c r="U91" i="56"/>
  <c r="O91" i="56"/>
  <c r="H91" i="56" s="1"/>
  <c r="R91" i="56"/>
  <c r="K91" i="56"/>
  <c r="D91" i="56" s="1"/>
  <c r="Q91" i="56"/>
  <c r="T91" i="56"/>
  <c r="M91" i="56"/>
  <c r="F91" i="56" s="1"/>
  <c r="S90" i="56"/>
  <c r="Q90" i="56"/>
  <c r="L90" i="56"/>
  <c r="J90" i="56"/>
  <c r="R90" i="56"/>
  <c r="O90" i="56"/>
  <c r="V90" i="56"/>
  <c r="T90" i="56"/>
  <c r="M90" i="56"/>
  <c r="F90" i="56" s="1"/>
  <c r="K90" i="56"/>
  <c r="U90" i="56"/>
  <c r="N90" i="56"/>
  <c r="A95" i="56"/>
  <c r="A96" i="56"/>
  <c r="B52" i="57"/>
  <c r="B49" i="57"/>
  <c r="B97" i="56"/>
  <c r="B94" i="56"/>
  <c r="B96" i="56"/>
  <c r="B95" i="56"/>
  <c r="R16" i="48"/>
  <c r="U14" i="48"/>
  <c r="Y14" i="48" s="1"/>
  <c r="R24" i="48"/>
  <c r="U22" i="48"/>
  <c r="Y22" i="48" s="1"/>
  <c r="U25" i="48"/>
  <c r="Y25" i="48" s="1"/>
  <c r="U19" i="48"/>
  <c r="Y19" i="48" s="1"/>
  <c r="U17" i="48"/>
  <c r="Y17" i="48" s="1"/>
  <c r="V220" i="60"/>
  <c r="U31" i="48"/>
  <c r="Y31" i="48" s="1"/>
  <c r="R18" i="52"/>
  <c r="W18" i="52"/>
  <c r="R31" i="52"/>
  <c r="W31" i="52"/>
  <c r="F25" i="60" s="1"/>
  <c r="U25" i="60" s="1"/>
  <c r="R34" i="52"/>
  <c r="W34" i="52"/>
  <c r="Y29" i="47"/>
  <c r="R3" i="47"/>
  <c r="R35" i="47"/>
  <c r="R31" i="47"/>
  <c r="R25" i="47"/>
  <c r="Y13" i="47"/>
  <c r="U30" i="47"/>
  <c r="Y30" i="47" s="1"/>
  <c r="Y43" i="47"/>
  <c r="R34" i="47"/>
  <c r="R30" i="47"/>
  <c r="R21" i="47"/>
  <c r="R12" i="47"/>
  <c r="U8" i="47"/>
  <c r="Y8" i="47" s="1"/>
  <c r="Y6" i="47"/>
  <c r="W2" i="47"/>
  <c r="Y26" i="47"/>
  <c r="Y21" i="47"/>
  <c r="R10" i="47"/>
  <c r="R38" i="47"/>
  <c r="Y42" i="47"/>
  <c r="R39" i="47"/>
  <c r="Y36" i="47"/>
  <c r="Y24" i="47"/>
  <c r="R20" i="47"/>
  <c r="Y17" i="47"/>
  <c r="R40" i="47"/>
  <c r="R32" i="47"/>
  <c r="R42" i="47"/>
  <c r="Y41" i="47"/>
  <c r="R13" i="47"/>
  <c r="U12" i="47"/>
  <c r="Y12" i="47" s="1"/>
  <c r="Y11" i="47"/>
  <c r="R2" i="47"/>
  <c r="Q37" i="57" s="1"/>
  <c r="F37" i="57" s="1"/>
  <c r="R41" i="47"/>
  <c r="U32" i="47"/>
  <c r="Y32" i="47" s="1"/>
  <c r="U25" i="47"/>
  <c r="Y25" i="47" s="1"/>
  <c r="U18" i="47"/>
  <c r="Y18" i="47" s="1"/>
  <c r="R11" i="47"/>
  <c r="Y9" i="47"/>
  <c r="R2" i="46"/>
  <c r="Z2" i="46"/>
  <c r="W2" i="51"/>
  <c r="E92" i="60" s="1"/>
  <c r="W246" i="60"/>
  <c r="W8" i="45"/>
  <c r="W3" i="45"/>
  <c r="E217" i="60" s="1"/>
  <c r="R3" i="46"/>
  <c r="W3" i="46"/>
  <c r="E174" i="60" s="1"/>
  <c r="W29" i="52"/>
  <c r="W28" i="52"/>
  <c r="R16" i="52"/>
  <c r="W27" i="52"/>
  <c r="Y27" i="52"/>
  <c r="W9" i="52"/>
  <c r="Y30" i="52"/>
  <c r="W24" i="52"/>
  <c r="R20" i="52"/>
  <c r="W8" i="52"/>
  <c r="Y8" i="52"/>
  <c r="W19" i="52"/>
  <c r="Y19" i="52"/>
  <c r="W5" i="52"/>
  <c r="W4" i="52"/>
  <c r="Y4" i="52"/>
  <c r="W22" i="52"/>
  <c r="W3" i="52"/>
  <c r="W12" i="60"/>
  <c r="W7" i="45"/>
  <c r="Y7" i="45"/>
  <c r="W2" i="45"/>
  <c r="Y2" i="45"/>
  <c r="R36" i="47"/>
  <c r="R28" i="47"/>
  <c r="Y2" i="47"/>
  <c r="W9" i="45"/>
  <c r="W4" i="45"/>
  <c r="Y33" i="47"/>
  <c r="R24" i="47"/>
  <c r="R5" i="47"/>
  <c r="U5" i="47"/>
  <c r="Y5" i="47" s="1"/>
  <c r="R43" i="47"/>
  <c r="U39" i="47"/>
  <c r="Y39" i="47" s="1"/>
  <c r="R37" i="47"/>
  <c r="U34" i="47"/>
  <c r="Y34" i="47" s="1"/>
  <c r="U16" i="47"/>
  <c r="Y16" i="47" s="1"/>
  <c r="U10" i="47"/>
  <c r="Y10" i="47" s="1"/>
  <c r="R19" i="47"/>
  <c r="U19" i="47"/>
  <c r="Y19" i="47" s="1"/>
  <c r="R4" i="47"/>
  <c r="U4" i="47"/>
  <c r="Y4" i="47" s="1"/>
  <c r="R33" i="47"/>
  <c r="R29" i="47"/>
  <c r="R16" i="47"/>
  <c r="R8" i="47"/>
  <c r="R6" i="47"/>
  <c r="Y7" i="48"/>
  <c r="U28" i="47"/>
  <c r="Y28" i="47" s="1"/>
  <c r="R26" i="47"/>
  <c r="U20" i="47"/>
  <c r="Y20" i="47" s="1"/>
  <c r="R18" i="47"/>
  <c r="R17" i="47"/>
  <c r="R9" i="47"/>
  <c r="R7" i="47"/>
  <c r="W3" i="47"/>
  <c r="Y9" i="48"/>
  <c r="W38" i="60"/>
  <c r="Y6" i="51"/>
  <c r="W6" i="51"/>
  <c r="E170" i="60" s="1"/>
  <c r="W10" i="52"/>
  <c r="W6" i="52"/>
  <c r="R6" i="52"/>
  <c r="W5" i="51"/>
  <c r="E66" i="60" s="1"/>
  <c r="R3" i="51"/>
  <c r="W21" i="52"/>
  <c r="R21" i="52"/>
  <c r="R6" i="51"/>
  <c r="W23" i="52"/>
  <c r="W7" i="52"/>
  <c r="W2" i="52"/>
  <c r="W33" i="52"/>
  <c r="W11" i="52"/>
  <c r="W32" i="52"/>
  <c r="W26" i="52"/>
  <c r="W25" i="52"/>
  <c r="W17" i="52"/>
  <c r="W15" i="52"/>
  <c r="W13" i="52"/>
  <c r="W12" i="52"/>
  <c r="R33" i="52"/>
  <c r="R5" i="51"/>
  <c r="R2" i="51"/>
  <c r="R7" i="51"/>
  <c r="R4" i="51"/>
  <c r="Y11" i="48"/>
  <c r="Y3" i="48"/>
  <c r="U29" i="48"/>
  <c r="Y29" i="48" s="1"/>
  <c r="U26" i="48"/>
  <c r="Y26" i="48" s="1"/>
  <c r="U23" i="48"/>
  <c r="Y23" i="48" s="1"/>
  <c r="U20" i="48"/>
  <c r="Y20" i="48" s="1"/>
  <c r="U15" i="48"/>
  <c r="Y15" i="48" s="1"/>
  <c r="U12" i="48"/>
  <c r="Y12" i="48" s="1"/>
  <c r="U27" i="48"/>
  <c r="Y27" i="48" s="1"/>
  <c r="U21" i="48"/>
  <c r="Y21" i="48" s="1"/>
  <c r="U18" i="48"/>
  <c r="Y18" i="48" s="1"/>
  <c r="U13" i="48"/>
  <c r="Y13" i="48" s="1"/>
  <c r="Y10" i="48"/>
  <c r="Y8" i="48"/>
  <c r="Y6" i="48"/>
  <c r="Y4" i="48"/>
  <c r="Y2" i="48"/>
  <c r="Y5" i="48"/>
  <c r="Y40" i="47"/>
  <c r="Y38" i="47"/>
  <c r="U37" i="47"/>
  <c r="Y37" i="47" s="1"/>
  <c r="U35" i="47"/>
  <c r="Y35" i="47" s="1"/>
  <c r="R27" i="47"/>
  <c r="U27" i="47"/>
  <c r="Y27" i="47" s="1"/>
  <c r="R15" i="47"/>
  <c r="U15" i="47"/>
  <c r="Y15" i="47" s="1"/>
  <c r="R14" i="47"/>
  <c r="U14" i="47"/>
  <c r="Y14" i="47" s="1"/>
  <c r="U31" i="47"/>
  <c r="Y31" i="47" s="1"/>
  <c r="R23" i="47"/>
  <c r="U23" i="47"/>
  <c r="Y23" i="47" s="1"/>
  <c r="R22" i="47"/>
  <c r="U22" i="47"/>
  <c r="Y22" i="47" s="1"/>
  <c r="U7" i="47"/>
  <c r="Y7" i="47" s="1"/>
  <c r="W11" i="45"/>
  <c r="W10" i="45"/>
  <c r="Y8" i="45"/>
  <c r="W6" i="45"/>
  <c r="W5" i="45"/>
  <c r="E113" i="60" s="1"/>
  <c r="Y3" i="45"/>
  <c r="V632" i="60" l="1"/>
  <c r="V631" i="60"/>
  <c r="Z632" i="60"/>
  <c r="Z631" i="60"/>
  <c r="E51" i="60"/>
  <c r="V630" i="60"/>
  <c r="G115" i="56" s="1"/>
  <c r="E363" i="60"/>
  <c r="E155" i="60"/>
  <c r="N37" i="57"/>
  <c r="C37" i="57" s="1"/>
  <c r="E389" i="60"/>
  <c r="T389" i="60" s="1"/>
  <c r="F233" i="60"/>
  <c r="U233" i="60" s="1"/>
  <c r="F441" i="60"/>
  <c r="U441" i="60" s="1"/>
  <c r="E201" i="60"/>
  <c r="T201" i="60" s="1"/>
  <c r="Q73" i="56"/>
  <c r="E425" i="60"/>
  <c r="E181" i="60"/>
  <c r="T181" i="60" s="1"/>
  <c r="E97" i="60"/>
  <c r="T97" i="60" s="1"/>
  <c r="R73" i="56"/>
  <c r="E529" i="60"/>
  <c r="E259" i="60"/>
  <c r="T259" i="60" s="1"/>
  <c r="E129" i="60"/>
  <c r="T129" i="60" s="1"/>
  <c r="P37" i="57"/>
  <c r="E37" i="57" s="1"/>
  <c r="E337" i="60"/>
  <c r="T337" i="60" s="1"/>
  <c r="F129" i="60"/>
  <c r="U129" i="60" s="1"/>
  <c r="E233" i="60"/>
  <c r="T233" i="60" s="1"/>
  <c r="E77" i="60"/>
  <c r="T77" i="60" s="1"/>
  <c r="Q27" i="57"/>
  <c r="F27" i="57" s="1"/>
  <c r="T92" i="60"/>
  <c r="R53" i="56"/>
  <c r="D53" i="56" s="1"/>
  <c r="T66" i="60"/>
  <c r="R52" i="56"/>
  <c r="D52" i="56" s="1"/>
  <c r="T170" i="60"/>
  <c r="Q52" i="56"/>
  <c r="C52" i="56" s="1"/>
  <c r="P28" i="57"/>
  <c r="E28" i="57" s="1"/>
  <c r="P35" i="57"/>
  <c r="E35" i="57" s="1"/>
  <c r="E25" i="60"/>
  <c r="T25" i="60" s="1"/>
  <c r="C93" i="56"/>
  <c r="H93" i="56"/>
  <c r="E90" i="56"/>
  <c r="H90" i="56"/>
  <c r="T174" i="60"/>
  <c r="Q68" i="56"/>
  <c r="C68" i="56" s="1"/>
  <c r="T113" i="60"/>
  <c r="Q30" i="56"/>
  <c r="C30" i="56" s="1"/>
  <c r="T425" i="60"/>
  <c r="U30" i="56"/>
  <c r="G30" i="56" s="1"/>
  <c r="T217" i="60"/>
  <c r="S30" i="56"/>
  <c r="E30" i="56" s="1"/>
  <c r="E9" i="60"/>
  <c r="T9" i="60" s="1"/>
  <c r="R30" i="56"/>
  <c r="D30" i="56" s="1"/>
  <c r="T529" i="60"/>
  <c r="V30" i="56"/>
  <c r="H30" i="56" s="1"/>
  <c r="T51" i="60"/>
  <c r="T155" i="60"/>
  <c r="T363" i="60"/>
  <c r="E93" i="56"/>
  <c r="D93" i="56"/>
  <c r="N41" i="57"/>
  <c r="C41" i="57" s="1"/>
  <c r="E23" i="57"/>
  <c r="V635" i="60"/>
  <c r="V634" i="60"/>
  <c r="V641" i="60"/>
  <c r="V636" i="60"/>
  <c r="V642" i="60"/>
  <c r="V633" i="60"/>
  <c r="N42" i="57"/>
  <c r="C42" i="57" s="1"/>
  <c r="Z641" i="60"/>
  <c r="Z635" i="60"/>
  <c r="Z633" i="60"/>
  <c r="Z636" i="60"/>
  <c r="Z642" i="60"/>
  <c r="Z634" i="60"/>
  <c r="F23" i="57"/>
  <c r="C23" i="57"/>
  <c r="T220" i="60"/>
  <c r="T64" i="60"/>
  <c r="D44" i="56"/>
  <c r="T12" i="60"/>
  <c r="D42" i="56"/>
  <c r="T272" i="60"/>
  <c r="E44" i="56"/>
  <c r="T90" i="60"/>
  <c r="D45" i="56"/>
  <c r="T298" i="60"/>
  <c r="E45" i="56"/>
  <c r="U38" i="60"/>
  <c r="D43" i="56"/>
  <c r="V194" i="60"/>
  <c r="C45" i="56"/>
  <c r="U454" i="60"/>
  <c r="G43" i="56"/>
  <c r="V402" i="60"/>
  <c r="F45" i="56"/>
  <c r="V116" i="60"/>
  <c r="C42" i="56"/>
  <c r="U246" i="60"/>
  <c r="E43" i="56"/>
  <c r="V324" i="60"/>
  <c r="F42" i="56"/>
  <c r="C90" i="56"/>
  <c r="G90" i="56"/>
  <c r="G93" i="56"/>
  <c r="D90" i="56"/>
  <c r="Q49" i="57"/>
  <c r="F49" i="57" s="1"/>
  <c r="I51" i="57"/>
  <c r="D51" i="57" s="1"/>
  <c r="J51" i="57"/>
  <c r="E51" i="57" s="1"/>
  <c r="O49" i="57"/>
  <c r="D49" i="57" s="1"/>
  <c r="K51" i="57"/>
  <c r="F51" i="57" s="1"/>
  <c r="N49" i="57"/>
  <c r="C49" i="57" s="1"/>
  <c r="P49" i="57"/>
  <c r="E49" i="57" s="1"/>
  <c r="H51" i="57"/>
  <c r="C51" i="57" s="1"/>
  <c r="N52" i="57"/>
  <c r="C52" i="57" s="1"/>
  <c r="H54" i="57"/>
  <c r="C54" i="57" s="1"/>
  <c r="O52" i="57"/>
  <c r="I54" i="57"/>
  <c r="D54" i="57" s="1"/>
  <c r="P52" i="57"/>
  <c r="J54" i="57"/>
  <c r="E54" i="57" s="1"/>
  <c r="K54" i="57"/>
  <c r="F54" i="57" s="1"/>
  <c r="Q52" i="57"/>
  <c r="S94" i="56"/>
  <c r="Q94" i="56"/>
  <c r="L94" i="56"/>
  <c r="J94" i="56"/>
  <c r="R94" i="56"/>
  <c r="O94" i="56"/>
  <c r="U94" i="56"/>
  <c r="N94" i="56"/>
  <c r="K94" i="56"/>
  <c r="V94" i="56"/>
  <c r="T94" i="56"/>
  <c r="M94" i="56"/>
  <c r="S95" i="56"/>
  <c r="L95" i="56"/>
  <c r="V95" i="56"/>
  <c r="J95" i="56"/>
  <c r="N95" i="56"/>
  <c r="G95" i="56" s="1"/>
  <c r="T95" i="56"/>
  <c r="M95" i="56"/>
  <c r="Q95" i="56"/>
  <c r="U95" i="56"/>
  <c r="O95" i="56"/>
  <c r="H95" i="56" s="1"/>
  <c r="K95" i="56"/>
  <c r="R95" i="56"/>
  <c r="U97" i="56"/>
  <c r="N97" i="56"/>
  <c r="G97" i="56" s="1"/>
  <c r="S97" i="56"/>
  <c r="K97" i="56"/>
  <c r="T97" i="56"/>
  <c r="M97" i="56"/>
  <c r="F97" i="56" s="1"/>
  <c r="Q97" i="56"/>
  <c r="J97" i="56"/>
  <c r="V97" i="56"/>
  <c r="O97" i="56"/>
  <c r="R97" i="56"/>
  <c r="L97" i="56"/>
  <c r="A99" i="56"/>
  <c r="Q96" i="56"/>
  <c r="T96" i="56"/>
  <c r="J96" i="56"/>
  <c r="M96" i="56"/>
  <c r="U96" i="56"/>
  <c r="L96" i="56"/>
  <c r="E96" i="56" s="1"/>
  <c r="S96" i="56"/>
  <c r="N96" i="56"/>
  <c r="G96" i="56" s="1"/>
  <c r="V96" i="56"/>
  <c r="O96" i="56"/>
  <c r="H96" i="56" s="1"/>
  <c r="R96" i="56"/>
  <c r="K96" i="56"/>
  <c r="A98" i="56"/>
  <c r="A100" i="56"/>
  <c r="A101" i="56"/>
  <c r="B54" i="57"/>
  <c r="B51" i="57"/>
  <c r="B98" i="56"/>
  <c r="B100" i="56"/>
  <c r="B99" i="56"/>
  <c r="B101" i="56"/>
  <c r="Y3" i="47"/>
  <c r="W220" i="60"/>
  <c r="R630" i="60" l="1"/>
  <c r="F115" i="56" s="1"/>
  <c r="R631" i="60"/>
  <c r="J632" i="60"/>
  <c r="J631" i="60"/>
  <c r="N632" i="60"/>
  <c r="N631" i="60"/>
  <c r="M631" i="60"/>
  <c r="M632" i="60"/>
  <c r="P630" i="60"/>
  <c r="F113" i="56" s="1"/>
  <c r="P631" i="60"/>
  <c r="T630" i="60"/>
  <c r="G113" i="56" s="1"/>
  <c r="T631" i="60"/>
  <c r="Q631" i="60"/>
  <c r="Q632" i="60"/>
  <c r="J630" i="60"/>
  <c r="C115" i="56" s="1"/>
  <c r="N630" i="60"/>
  <c r="E115" i="56" s="1"/>
  <c r="M630" i="60"/>
  <c r="E114" i="56" s="1"/>
  <c r="Q630" i="60"/>
  <c r="F114" i="56" s="1"/>
  <c r="Q634" i="60"/>
  <c r="Q633" i="60"/>
  <c r="Q635" i="60"/>
  <c r="Q636" i="60"/>
  <c r="Q642" i="60"/>
  <c r="Q641" i="60"/>
  <c r="C94" i="56"/>
  <c r="E95" i="56"/>
  <c r="G94" i="56"/>
  <c r="F95" i="56"/>
  <c r="G72" i="56"/>
  <c r="F71" i="56"/>
  <c r="F73" i="56"/>
  <c r="G70" i="56"/>
  <c r="H70" i="56"/>
  <c r="D70" i="56"/>
  <c r="E97" i="56"/>
  <c r="C97" i="56"/>
  <c r="P641" i="60"/>
  <c r="P642" i="60"/>
  <c r="P636" i="60"/>
  <c r="P633" i="60"/>
  <c r="P634" i="60"/>
  <c r="E71" i="56"/>
  <c r="C70" i="56"/>
  <c r="D72" i="56"/>
  <c r="C73" i="56"/>
  <c r="C71" i="56"/>
  <c r="F72" i="56"/>
  <c r="Z637" i="60"/>
  <c r="G71" i="56"/>
  <c r="E70" i="56"/>
  <c r="E73" i="56"/>
  <c r="H72" i="56"/>
  <c r="H71" i="56"/>
  <c r="D73" i="56"/>
  <c r="G73" i="56"/>
  <c r="C72" i="56"/>
  <c r="E72" i="56"/>
  <c r="F70" i="56"/>
  <c r="H73" i="56"/>
  <c r="D71" i="56"/>
  <c r="V637" i="60"/>
  <c r="V638" i="60"/>
  <c r="Z640" i="60"/>
  <c r="Z643" i="60"/>
  <c r="Z644" i="60"/>
  <c r="Z638" i="60"/>
  <c r="V640" i="60"/>
  <c r="V644" i="60"/>
  <c r="V643" i="60"/>
  <c r="R633" i="60"/>
  <c r="R634" i="60"/>
  <c r="R642" i="60"/>
  <c r="R641" i="60"/>
  <c r="R636" i="60"/>
  <c r="J642" i="60"/>
  <c r="J641" i="60"/>
  <c r="J634" i="60"/>
  <c r="J636" i="60"/>
  <c r="J635" i="60"/>
  <c r="J633" i="60"/>
  <c r="N642" i="60"/>
  <c r="N633" i="60"/>
  <c r="N634" i="60"/>
  <c r="N636" i="60"/>
  <c r="N641" i="60"/>
  <c r="N635" i="60"/>
  <c r="M642" i="60"/>
  <c r="M633" i="60"/>
  <c r="M636" i="60"/>
  <c r="M634" i="60"/>
  <c r="M641" i="60"/>
  <c r="M635" i="60"/>
  <c r="E42" i="56"/>
  <c r="T642" i="60"/>
  <c r="T633" i="60"/>
  <c r="T641" i="60"/>
  <c r="T634" i="60"/>
  <c r="T636" i="60"/>
  <c r="D97" i="56"/>
  <c r="F96" i="56"/>
  <c r="H97" i="56"/>
  <c r="D95" i="56"/>
  <c r="C95" i="56"/>
  <c r="C96" i="56"/>
  <c r="D94" i="56"/>
  <c r="H94" i="56"/>
  <c r="E94" i="56"/>
  <c r="D96" i="56"/>
  <c r="F94" i="56"/>
  <c r="N54" i="57"/>
  <c r="O54" i="57"/>
  <c r="P54" i="57"/>
  <c r="Q54" i="57"/>
  <c r="Q51" i="57"/>
  <c r="I53" i="57"/>
  <c r="D53" i="57" s="1"/>
  <c r="J53" i="57"/>
  <c r="E53" i="57" s="1"/>
  <c r="O51" i="57"/>
  <c r="K53" i="57"/>
  <c r="F53" i="57" s="1"/>
  <c r="F57" i="57" s="1"/>
  <c r="P51" i="57"/>
  <c r="H53" i="57"/>
  <c r="C53" i="57" s="1"/>
  <c r="N51" i="57"/>
  <c r="A103" i="56"/>
  <c r="S99" i="56"/>
  <c r="L99" i="56"/>
  <c r="E99" i="56" s="1"/>
  <c r="V99" i="56"/>
  <c r="J99" i="56"/>
  <c r="C99" i="56" s="1"/>
  <c r="N99" i="56"/>
  <c r="G99" i="56" s="1"/>
  <c r="R99" i="56"/>
  <c r="K99" i="56"/>
  <c r="D99" i="56" s="1"/>
  <c r="U99" i="56"/>
  <c r="O99" i="56"/>
  <c r="H99" i="56" s="1"/>
  <c r="T99" i="56"/>
  <c r="M99" i="56"/>
  <c r="F99" i="56" s="1"/>
  <c r="Q99" i="56"/>
  <c r="A105" i="56"/>
  <c r="A104" i="56"/>
  <c r="Q100" i="56"/>
  <c r="T100" i="56"/>
  <c r="J100" i="56"/>
  <c r="C100" i="56" s="1"/>
  <c r="M100" i="56"/>
  <c r="F100" i="56" s="1"/>
  <c r="U100" i="56"/>
  <c r="L100" i="56"/>
  <c r="E100" i="56" s="1"/>
  <c r="R100" i="56"/>
  <c r="K100" i="56"/>
  <c r="D100" i="56" s="1"/>
  <c r="V100" i="56"/>
  <c r="O100" i="56"/>
  <c r="H100" i="56" s="1"/>
  <c r="S100" i="56"/>
  <c r="N100" i="56"/>
  <c r="G100" i="56" s="1"/>
  <c r="U101" i="56"/>
  <c r="N101" i="56"/>
  <c r="G101" i="56" s="1"/>
  <c r="S101" i="56"/>
  <c r="K101" i="56"/>
  <c r="D101" i="56" s="1"/>
  <c r="R101" i="56"/>
  <c r="L101" i="56"/>
  <c r="E101" i="56" s="1"/>
  <c r="V101" i="56"/>
  <c r="O101" i="56"/>
  <c r="H101" i="56" s="1"/>
  <c r="T101" i="56"/>
  <c r="M101" i="56"/>
  <c r="F101" i="56" s="1"/>
  <c r="Q101" i="56"/>
  <c r="J101" i="56"/>
  <c r="C101" i="56" s="1"/>
  <c r="S98" i="56"/>
  <c r="Q98" i="56"/>
  <c r="L98" i="56"/>
  <c r="J98" i="56"/>
  <c r="C98" i="56" s="1"/>
  <c r="R98" i="56"/>
  <c r="O98" i="56"/>
  <c r="H98" i="56" s="1"/>
  <c r="T98" i="56"/>
  <c r="M98" i="56"/>
  <c r="F98" i="56" s="1"/>
  <c r="V98" i="56"/>
  <c r="U98" i="56"/>
  <c r="N98" i="56"/>
  <c r="G98" i="56" s="1"/>
  <c r="K98" i="56"/>
  <c r="D98" i="56" s="1"/>
  <c r="A102" i="56"/>
  <c r="D58" i="57"/>
  <c r="C58" i="57"/>
  <c r="B53" i="57"/>
  <c r="E58" i="57"/>
  <c r="B103" i="56"/>
  <c r="B104" i="56"/>
  <c r="B102" i="56"/>
  <c r="B105" i="56"/>
  <c r="O2" i="44"/>
  <c r="Q2" i="44"/>
  <c r="W2" i="44" s="1"/>
  <c r="O3" i="44"/>
  <c r="Y3" i="44" s="1"/>
  <c r="Q3" i="44"/>
  <c r="R5" i="44"/>
  <c r="Y5" i="44"/>
  <c r="Q6" i="44"/>
  <c r="U6" i="44" s="1"/>
  <c r="Y6" i="44" s="1"/>
  <c r="Q7" i="44"/>
  <c r="U7" i="44" s="1"/>
  <c r="Y7" i="44" s="1"/>
  <c r="Q8" i="44"/>
  <c r="U8" i="44" s="1"/>
  <c r="Y8" i="44" s="1"/>
  <c r="Q9" i="44"/>
  <c r="U9" i="44" s="1"/>
  <c r="Y9" i="44" s="1"/>
  <c r="N10" i="44"/>
  <c r="Q10" i="44"/>
  <c r="R10" i="44" s="1"/>
  <c r="N11" i="44"/>
  <c r="Q11" i="44"/>
  <c r="U11" i="44" s="1"/>
  <c r="Y11" i="44" s="1"/>
  <c r="Q12" i="44"/>
  <c r="U12" i="44" s="1"/>
  <c r="Y12" i="44" s="1"/>
  <c r="N13" i="44"/>
  <c r="Q13" i="44"/>
  <c r="R13" i="44" s="1"/>
  <c r="N14" i="44"/>
  <c r="Q14" i="44"/>
  <c r="R14" i="44" s="1"/>
  <c r="Q15" i="44"/>
  <c r="R15" i="44" s="1"/>
  <c r="N16" i="44"/>
  <c r="Q16" i="44"/>
  <c r="R16" i="44" s="1"/>
  <c r="N17" i="44"/>
  <c r="Q17" i="44"/>
  <c r="U17" i="44" s="1"/>
  <c r="Y17" i="44" s="1"/>
  <c r="U7" i="60"/>
  <c r="U111" i="60"/>
  <c r="U215" i="60"/>
  <c r="Q637" i="60" l="1"/>
  <c r="Q643" i="60"/>
  <c r="Q638" i="60"/>
  <c r="Q644" i="60"/>
  <c r="Q640" i="60"/>
  <c r="V137" i="60"/>
  <c r="C23" i="56"/>
  <c r="V33" i="60"/>
  <c r="D23" i="56"/>
  <c r="T7" i="60"/>
  <c r="D22" i="56"/>
  <c r="D13" i="57"/>
  <c r="T163" i="60"/>
  <c r="C24" i="56"/>
  <c r="T59" i="60"/>
  <c r="D24" i="56"/>
  <c r="T215" i="60"/>
  <c r="E22" i="56"/>
  <c r="T111" i="60"/>
  <c r="C22" i="56"/>
  <c r="V553" i="60"/>
  <c r="H23" i="56"/>
  <c r="V241" i="60"/>
  <c r="E23" i="56"/>
  <c r="C13" i="57"/>
  <c r="P638" i="60"/>
  <c r="P637" i="60"/>
  <c r="P640" i="60"/>
  <c r="P643" i="60"/>
  <c r="P644" i="60"/>
  <c r="T637" i="60"/>
  <c r="J637" i="60"/>
  <c r="R638" i="60"/>
  <c r="M637" i="60"/>
  <c r="N637" i="60"/>
  <c r="R640" i="60"/>
  <c r="R644" i="60"/>
  <c r="R643" i="60"/>
  <c r="M638" i="60"/>
  <c r="J643" i="60"/>
  <c r="J644" i="60"/>
  <c r="J640" i="60"/>
  <c r="R637" i="60"/>
  <c r="T640" i="60"/>
  <c r="T644" i="60"/>
  <c r="T643" i="60"/>
  <c r="N644" i="60"/>
  <c r="N640" i="60"/>
  <c r="N643" i="60"/>
  <c r="T638" i="60"/>
  <c r="M644" i="60"/>
  <c r="M640" i="60"/>
  <c r="M643" i="60"/>
  <c r="N638" i="60"/>
  <c r="J638" i="60"/>
  <c r="E98" i="56"/>
  <c r="Q53" i="57"/>
  <c r="O53" i="57"/>
  <c r="P53" i="57"/>
  <c r="N53" i="57"/>
  <c r="A109" i="56"/>
  <c r="A106" i="56"/>
  <c r="A108" i="56"/>
  <c r="N105" i="56"/>
  <c r="G105" i="56" s="1"/>
  <c r="K105" i="56"/>
  <c r="D105" i="56" s="1"/>
  <c r="J105" i="56"/>
  <c r="C105" i="56" s="1"/>
  <c r="M105" i="56"/>
  <c r="L105" i="56"/>
  <c r="E105" i="56" s="1"/>
  <c r="O105" i="56"/>
  <c r="H105" i="56" s="1"/>
  <c r="L102" i="56"/>
  <c r="E102" i="56" s="1"/>
  <c r="J102" i="56"/>
  <c r="C102" i="56" s="1"/>
  <c r="O102" i="56"/>
  <c r="K102" i="56"/>
  <c r="N102" i="56"/>
  <c r="M102" i="56"/>
  <c r="J104" i="56"/>
  <c r="C104" i="56" s="1"/>
  <c r="M104" i="56"/>
  <c r="F104" i="56" s="1"/>
  <c r="L104" i="56"/>
  <c r="E104" i="56" s="1"/>
  <c r="N104" i="56"/>
  <c r="G104" i="56" s="1"/>
  <c r="K104" i="56"/>
  <c r="O104" i="56"/>
  <c r="H104" i="56" s="1"/>
  <c r="L103" i="56"/>
  <c r="E103" i="56" s="1"/>
  <c r="J103" i="56"/>
  <c r="C103" i="56" s="1"/>
  <c r="N103" i="56"/>
  <c r="G103" i="56" s="1"/>
  <c r="M103" i="56"/>
  <c r="F103" i="56" s="1"/>
  <c r="K103" i="56"/>
  <c r="D103" i="56" s="1"/>
  <c r="O103" i="56"/>
  <c r="A107" i="56"/>
  <c r="D57" i="57"/>
  <c r="E57" i="57"/>
  <c r="F58" i="57"/>
  <c r="U102" i="56"/>
  <c r="T102" i="56"/>
  <c r="Q102" i="56"/>
  <c r="S102" i="56"/>
  <c r="R102" i="56"/>
  <c r="V102" i="56"/>
  <c r="U105" i="56"/>
  <c r="T105" i="56"/>
  <c r="Q105" i="56"/>
  <c r="S105" i="56"/>
  <c r="V105" i="56"/>
  <c r="R105" i="56"/>
  <c r="U103" i="56"/>
  <c r="T103" i="56"/>
  <c r="Q103" i="56"/>
  <c r="S103" i="56"/>
  <c r="V103" i="56"/>
  <c r="R103" i="56"/>
  <c r="U104" i="56"/>
  <c r="T104" i="56"/>
  <c r="Q104" i="56"/>
  <c r="S104" i="56"/>
  <c r="R104" i="56"/>
  <c r="V104" i="56"/>
  <c r="B106" i="56"/>
  <c r="B107" i="56"/>
  <c r="B109" i="56"/>
  <c r="B108" i="56"/>
  <c r="U14" i="44"/>
  <c r="Y14" i="44" s="1"/>
  <c r="U16" i="44"/>
  <c r="Y16" i="44" s="1"/>
  <c r="U15" i="44"/>
  <c r="Y15" i="44" s="1"/>
  <c r="R9" i="44"/>
  <c r="R2" i="44"/>
  <c r="R8" i="44"/>
  <c r="R7" i="44"/>
  <c r="R6" i="44"/>
  <c r="R17" i="44"/>
  <c r="R12" i="44"/>
  <c r="U10" i="44"/>
  <c r="Y10" i="44" s="1"/>
  <c r="R3" i="44"/>
  <c r="R11" i="44"/>
  <c r="W3" i="44"/>
  <c r="E84" i="60" s="1"/>
  <c r="Y2" i="44"/>
  <c r="U13" i="44"/>
  <c r="Y13" i="44" s="1"/>
  <c r="D631" i="60" l="1"/>
  <c r="D632" i="60"/>
  <c r="L631" i="60"/>
  <c r="L632" i="60"/>
  <c r="E631" i="60"/>
  <c r="E632" i="60"/>
  <c r="H631" i="60"/>
  <c r="H632" i="60"/>
  <c r="X630" i="60"/>
  <c r="H113" i="56" s="1"/>
  <c r="X631" i="60"/>
  <c r="I632" i="60"/>
  <c r="I631" i="60"/>
  <c r="D630" i="60"/>
  <c r="D113" i="56" s="1"/>
  <c r="H630" i="60"/>
  <c r="C113" i="56" s="1"/>
  <c r="L630" i="60"/>
  <c r="E113" i="56" s="1"/>
  <c r="E630" i="60"/>
  <c r="D114" i="56" s="1"/>
  <c r="I630" i="60"/>
  <c r="C114" i="56" s="1"/>
  <c r="T84" i="60"/>
  <c r="Q11" i="57"/>
  <c r="F11" i="57" s="1"/>
  <c r="X642" i="60"/>
  <c r="X634" i="60"/>
  <c r="X641" i="60"/>
  <c r="X633" i="60"/>
  <c r="X636" i="60"/>
  <c r="I633" i="60"/>
  <c r="I641" i="60"/>
  <c r="I642" i="60"/>
  <c r="I636" i="60"/>
  <c r="I634" i="60"/>
  <c r="I635" i="60"/>
  <c r="D636" i="60"/>
  <c r="D635" i="60"/>
  <c r="D634" i="60"/>
  <c r="D642" i="60"/>
  <c r="D633" i="60"/>
  <c r="D641" i="60"/>
  <c r="L642" i="60"/>
  <c r="L641" i="60"/>
  <c r="L633" i="60"/>
  <c r="L635" i="60"/>
  <c r="L636" i="60"/>
  <c r="L634" i="60"/>
  <c r="E642" i="60"/>
  <c r="E633" i="60"/>
  <c r="E641" i="60"/>
  <c r="E634" i="60"/>
  <c r="E635" i="60"/>
  <c r="E636" i="60"/>
  <c r="H642" i="60"/>
  <c r="H636" i="60"/>
  <c r="H635" i="60"/>
  <c r="H633" i="60"/>
  <c r="H641" i="60"/>
  <c r="H634" i="60"/>
  <c r="N11" i="57"/>
  <c r="C11" i="57" s="1"/>
  <c r="F633" i="60"/>
  <c r="F636" i="60"/>
  <c r="F642" i="60"/>
  <c r="F634" i="60"/>
  <c r="F641" i="60"/>
  <c r="F635" i="60"/>
  <c r="R21" i="56"/>
  <c r="D21" i="56" s="1"/>
  <c r="K106" i="56"/>
  <c r="D102" i="56"/>
  <c r="M109" i="56"/>
  <c r="F105" i="56"/>
  <c r="L106" i="56"/>
  <c r="O106" i="56"/>
  <c r="H102" i="56"/>
  <c r="M106" i="56"/>
  <c r="F102" i="56"/>
  <c r="O107" i="56"/>
  <c r="H103" i="56"/>
  <c r="K108" i="56"/>
  <c r="D104" i="56"/>
  <c r="N106" i="56"/>
  <c r="G102" i="56"/>
  <c r="O109" i="56"/>
  <c r="J109" i="56"/>
  <c r="L109" i="56"/>
  <c r="J106" i="56"/>
  <c r="O108" i="56"/>
  <c r="N109" i="56"/>
  <c r="J107" i="56"/>
  <c r="K109" i="56"/>
  <c r="K107" i="56"/>
  <c r="L107" i="56"/>
  <c r="M107" i="56"/>
  <c r="M108" i="56"/>
  <c r="J108" i="56"/>
  <c r="L108" i="56"/>
  <c r="N107" i="56"/>
  <c r="N108" i="56"/>
  <c r="U523" i="60"/>
  <c r="F631" i="60" l="1"/>
  <c r="F632" i="60"/>
  <c r="F630" i="60"/>
  <c r="L638" i="60"/>
  <c r="H643" i="60"/>
  <c r="E638" i="60"/>
  <c r="I637" i="60"/>
  <c r="X637" i="60"/>
  <c r="H637" i="60"/>
  <c r="D637" i="60"/>
  <c r="I638" i="60"/>
  <c r="E640" i="60"/>
  <c r="E644" i="60"/>
  <c r="E643" i="60"/>
  <c r="H640" i="60"/>
  <c r="H644" i="60"/>
  <c r="E637" i="60"/>
  <c r="H638" i="60"/>
  <c r="L637" i="60"/>
  <c r="D643" i="60"/>
  <c r="D640" i="60"/>
  <c r="D644" i="60"/>
  <c r="D638" i="60"/>
  <c r="X638" i="60"/>
  <c r="L643" i="60"/>
  <c r="L640" i="60"/>
  <c r="L644" i="60"/>
  <c r="I640" i="60"/>
  <c r="I643" i="60"/>
  <c r="I644" i="60"/>
  <c r="X640" i="60"/>
  <c r="X643" i="60"/>
  <c r="X644" i="60"/>
  <c r="F644" i="60"/>
  <c r="F643" i="60"/>
  <c r="H6" i="56"/>
  <c r="T523" i="60"/>
  <c r="U419" i="60"/>
  <c r="U315" i="60"/>
  <c r="U211" i="60"/>
  <c r="Q5" i="10"/>
  <c r="W5" i="10" s="1"/>
  <c r="E210" i="60" s="1"/>
  <c r="W631" i="60" l="1"/>
  <c r="W632" i="60"/>
  <c r="D115" i="56"/>
  <c r="F640" i="60"/>
  <c r="F638" i="60"/>
  <c r="F637" i="60"/>
  <c r="W630" i="60"/>
  <c r="C5" i="57"/>
  <c r="T210" i="60"/>
  <c r="S2" i="56"/>
  <c r="E2" i="56" s="1"/>
  <c r="T107" i="60"/>
  <c r="C6" i="56"/>
  <c r="T211" i="60"/>
  <c r="E6" i="56"/>
  <c r="T315" i="60"/>
  <c r="F6" i="56"/>
  <c r="T3" i="60"/>
  <c r="W636" i="60"/>
  <c r="W642" i="60"/>
  <c r="W641" i="60"/>
  <c r="W635" i="60"/>
  <c r="W634" i="60"/>
  <c r="W633" i="60"/>
  <c r="R5" i="10"/>
  <c r="U3" i="60"/>
  <c r="O631" i="60" l="1"/>
  <c r="O632" i="60"/>
  <c r="K632" i="60"/>
  <c r="K631" i="60"/>
  <c r="H112" i="56"/>
  <c r="O630" i="60"/>
  <c r="F112" i="56" s="1"/>
  <c r="K630" i="60"/>
  <c r="E112" i="56" s="1"/>
  <c r="W638" i="60"/>
  <c r="O634" i="60"/>
  <c r="O635" i="60"/>
  <c r="O641" i="60"/>
  <c r="O633" i="60"/>
  <c r="O636" i="60"/>
  <c r="O642" i="60"/>
  <c r="K633" i="60"/>
  <c r="K642" i="60"/>
  <c r="K641" i="60"/>
  <c r="K634" i="60"/>
  <c r="K635" i="60"/>
  <c r="K636" i="60"/>
  <c r="T419" i="60"/>
  <c r="G6" i="56"/>
  <c r="D6" i="56"/>
  <c r="W637" i="60"/>
  <c r="W643" i="60"/>
  <c r="W640" i="60"/>
  <c r="W644" i="60"/>
  <c r="Q4" i="10"/>
  <c r="R4" i="10" s="1"/>
  <c r="Q3" i="10"/>
  <c r="U2" i="10"/>
  <c r="Y2" i="10" s="1"/>
  <c r="K637" i="60" l="1"/>
  <c r="K638" i="60"/>
  <c r="K644" i="60"/>
  <c r="K640" i="60"/>
  <c r="K643" i="60"/>
  <c r="O638" i="60"/>
  <c r="O637" i="60"/>
  <c r="O640" i="60"/>
  <c r="O643" i="60"/>
  <c r="O644" i="60"/>
  <c r="R3" i="10"/>
  <c r="W3" i="10"/>
  <c r="E2" i="60" s="1"/>
  <c r="R2" i="10"/>
  <c r="W2" i="10"/>
  <c r="E418" i="60" s="1"/>
  <c r="W4" i="10"/>
  <c r="E106" i="60" s="1"/>
  <c r="N3" i="57" l="1"/>
  <c r="C3" i="57" s="1"/>
  <c r="T418" i="60"/>
  <c r="U2" i="56"/>
  <c r="G2" i="56" s="1"/>
  <c r="T2" i="60"/>
  <c r="R2" i="56"/>
  <c r="D2" i="56" s="1"/>
  <c r="T106" i="60"/>
  <c r="Q2" i="56"/>
  <c r="C2" i="56" s="1"/>
  <c r="C631" i="60" l="1"/>
  <c r="C632" i="60"/>
  <c r="G632" i="60"/>
  <c r="G631" i="60"/>
  <c r="S631" i="60"/>
  <c r="S632" i="60"/>
  <c r="S630" i="60"/>
  <c r="G112" i="56" s="1"/>
  <c r="G630" i="60"/>
  <c r="C112" i="56" s="1"/>
  <c r="C630" i="60"/>
  <c r="D112" i="56" s="1"/>
  <c r="C57" i="57"/>
  <c r="G641" i="60"/>
  <c r="G636" i="60"/>
  <c r="G634" i="60"/>
  <c r="G642" i="60"/>
  <c r="G635" i="60"/>
  <c r="G633" i="60"/>
  <c r="S642" i="60"/>
  <c r="S641" i="60"/>
  <c r="S635" i="60"/>
  <c r="S636" i="60"/>
  <c r="S634" i="60"/>
  <c r="S633" i="60"/>
  <c r="C636" i="60"/>
  <c r="C641" i="60"/>
  <c r="C634" i="60"/>
  <c r="C642" i="60"/>
  <c r="C635" i="60"/>
  <c r="C633" i="60"/>
  <c r="S637" i="60" l="1"/>
  <c r="C637" i="60"/>
  <c r="G638" i="60"/>
  <c r="S640" i="60"/>
  <c r="S644" i="60"/>
  <c r="S643" i="60"/>
  <c r="G637" i="60"/>
  <c r="C643" i="60"/>
  <c r="C644" i="60"/>
  <c r="C640" i="60"/>
  <c r="C638" i="60"/>
  <c r="S638" i="60"/>
  <c r="G643" i="60"/>
  <c r="G640" i="60"/>
  <c r="G64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Sebastiaan</author>
  </authors>
  <commentList>
    <comment ref="E18" authorId="0" shapeId="0" xr:uid="{F196CE69-B922-4E01-9FB8-A2E91FEC38CB}">
      <text>
        <r>
          <rPr>
            <b/>
            <sz val="9"/>
            <color indexed="81"/>
            <rFont val="Tahoma"/>
            <family val="2"/>
          </rPr>
          <t>Sebastiaan:</t>
        </r>
        <r>
          <rPr>
            <sz val="9"/>
            <color indexed="81"/>
            <rFont val="Tahoma"/>
            <family val="2"/>
          </rPr>
          <t xml:space="preserve">
Ommited from global mean calculations</t>
        </r>
      </text>
    </comment>
    <comment ref="H46" authorId="0" shapeId="0" xr:uid="{E1AD634C-EBDE-4703-8DA8-634D08A8848F}">
      <text>
        <r>
          <rPr>
            <b/>
            <sz val="9"/>
            <color rgb="FF000000"/>
            <rFont val="Tahoma"/>
            <family val="2"/>
          </rPr>
          <t>Sebastiaan:</t>
        </r>
        <r>
          <rPr>
            <sz val="9"/>
            <color rgb="FF000000"/>
            <rFont val="Tahoma"/>
            <family val="2"/>
          </rPr>
          <t xml:space="preserve">
</t>
        </r>
        <r>
          <rPr>
            <sz val="9"/>
            <color rgb="FF000000"/>
            <rFont val="Tahoma"/>
            <family val="2"/>
          </rPr>
          <t>Ommited from global calculations</t>
        </r>
      </text>
    </comment>
  </commentList>
</comments>
</file>

<file path=xl/sharedStrings.xml><?xml version="1.0" encoding="utf-8"?>
<sst xmlns="http://schemas.openxmlformats.org/spreadsheetml/2006/main" count="9373" uniqueCount="965">
  <si>
    <t>kg/m2</t>
  </si>
  <si>
    <t>m3</t>
  </si>
  <si>
    <t xml:space="preserve">Region </t>
  </si>
  <si>
    <t xml:space="preserve">Steel </t>
  </si>
  <si>
    <t xml:space="preserve">Concrete </t>
  </si>
  <si>
    <t xml:space="preserve">Wood </t>
  </si>
  <si>
    <t xml:space="preserve">Copper </t>
  </si>
  <si>
    <t xml:space="preserve">Aluminium </t>
  </si>
  <si>
    <t xml:space="preserve">1 Canada </t>
  </si>
  <si>
    <t xml:space="preserve">5 Brazil </t>
  </si>
  <si>
    <t>2 USA</t>
  </si>
  <si>
    <t xml:space="preserve">3 Mexico </t>
  </si>
  <si>
    <t>4 Rest of Central America</t>
  </si>
  <si>
    <t>6 Rest of South America</t>
  </si>
  <si>
    <t>7 Northern Africa</t>
  </si>
  <si>
    <t xml:space="preserve">13 Turkey </t>
  </si>
  <si>
    <t>14 Ukraine +</t>
  </si>
  <si>
    <t>21 South Eastern Asia</t>
  </si>
  <si>
    <t>22 Indonesia +</t>
  </si>
  <si>
    <t>26 Rest of South Africa</t>
  </si>
  <si>
    <t>25 South Asia</t>
  </si>
  <si>
    <t>24 Oceania</t>
  </si>
  <si>
    <t>23 Japan</t>
  </si>
  <si>
    <t>20 China +</t>
  </si>
  <si>
    <t>19 Korea</t>
  </si>
  <si>
    <t>18 India</t>
  </si>
  <si>
    <t>17 Middle East</t>
  </si>
  <si>
    <t>16 Russia +</t>
  </si>
  <si>
    <t/>
  </si>
  <si>
    <t>Copper (wires)</t>
  </si>
  <si>
    <t>Steel</t>
  </si>
  <si>
    <t>12*120 m2 + 8*168 m2 = 1440 + 1344 = 2784 m2</t>
  </si>
  <si>
    <t>12 smal ppt * 3 people and 8 big apt * 4 people = 36 + 32 = 68 people in total</t>
  </si>
  <si>
    <t>12 double-façade
flats of 120 m² each and 8 triple-façade flats of 168 m² each</t>
  </si>
  <si>
    <t>Continuous reinforced concrete (RC) footings support the ground floor
slab</t>
  </si>
  <si>
    <t>Australian suburban neighbourhood</t>
  </si>
  <si>
    <t>SDH4-2 building</t>
  </si>
  <si>
    <t>Semi-detached house</t>
  </si>
  <si>
    <t>Australia</t>
  </si>
  <si>
    <t>SDH4-1 building</t>
  </si>
  <si>
    <t>One-level
semi-detached house</t>
  </si>
  <si>
    <t>RH3-2 building</t>
  </si>
  <si>
    <t>Two-level row-house</t>
  </si>
  <si>
    <t>Concrete 25 MPa</t>
  </si>
  <si>
    <t>RH3-1 building</t>
  </si>
  <si>
    <t>One-level row-house</t>
  </si>
  <si>
    <t>Individual reinforced concrete (RC) footings on which
a RC slab is cast</t>
  </si>
  <si>
    <t>BC3 building</t>
  </si>
  <si>
    <t>BC4 building</t>
  </si>
  <si>
    <t>Suburban areas</t>
  </si>
  <si>
    <t>Melbourne, Australia</t>
  </si>
  <si>
    <t>Double walls: masonry + bricks
with 8cm insulation</t>
  </si>
  <si>
    <t>Concrete 20 MPa</t>
  </si>
  <si>
    <t>80 m2 per apartment</t>
  </si>
  <si>
    <t>10 for the whole building</t>
  </si>
  <si>
    <t>early 1970s</t>
  </si>
  <si>
    <t>Retrofit apartment alternative to the passive house case study</t>
  </si>
  <si>
    <t>Double fronted adjoined apartment</t>
  </si>
  <si>
    <t>Urban</t>
  </si>
  <si>
    <t>All of the numbers given are representing the material quantities for the whole building (not only 1 floor)</t>
  </si>
  <si>
    <t>Passive house. The sub-structure consists of individual reinforced concrete footings,
linked by a network of concrete beams.</t>
  </si>
  <si>
    <t>A passive house near Brussels, Belgium</t>
  </si>
  <si>
    <t>Outer suburbs</t>
  </si>
  <si>
    <t>Brussels, Belgium</t>
  </si>
  <si>
    <t>Around 150</t>
  </si>
  <si>
    <t>Concrete</t>
  </si>
  <si>
    <t>40 years</t>
  </si>
  <si>
    <t>Wood</t>
  </si>
  <si>
    <t>Since 2006</t>
  </si>
  <si>
    <t>Brick cavity wall insulated, reinforced concrete flooring, flat roof with ins. (new
building)</t>
  </si>
  <si>
    <t>High-rise building</t>
  </si>
  <si>
    <t>Cement</t>
  </si>
  <si>
    <t>30 years</t>
  </si>
  <si>
    <t>Since 1960</t>
  </si>
  <si>
    <t>Brick cavity wall insulated, reinforced concrete flooring, flat roof</t>
  </si>
  <si>
    <t>1950-1990</t>
  </si>
  <si>
    <t>Concrete wall, reinforced concrete flooring, flat roof</t>
  </si>
  <si>
    <t>18 - 104</t>
  </si>
  <si>
    <t>1960-1990</t>
  </si>
  <si>
    <t>Concrete wall insulated, reinforced concrete flooring, flat roof</t>
  </si>
  <si>
    <t>1,8 - 18,2</t>
  </si>
  <si>
    <t>Brick masonry insulated, reinforced concrete flooring, pitched roof with ins. (new
building)</t>
  </si>
  <si>
    <t>18 - 132</t>
  </si>
  <si>
    <t>Since 1980</t>
  </si>
  <si>
    <t>Brick masonry insulated, reinforced concrete flooring, pitched roof</t>
  </si>
  <si>
    <t>Wooden wall insulated, wooden flooring, pitched roof with insulation (new building)</t>
  </si>
  <si>
    <t>6 - 88</t>
  </si>
  <si>
    <t>Since 1970</t>
  </si>
  <si>
    <t>Wooden wall insulated, wooden flooring, pitched roof</t>
  </si>
  <si>
    <t>20 years</t>
  </si>
  <si>
    <t>30 -440</t>
  </si>
  <si>
    <t>Breeze and reinforced concrete wall, reinforced concrete flooring, pitched roof</t>
  </si>
  <si>
    <t>60 - 220</t>
  </si>
  <si>
    <t>1945-1980</t>
  </si>
  <si>
    <t>Brick masonry, reinforced concrete flooring, pitched roof</t>
  </si>
  <si>
    <t>18 - 220</t>
  </si>
  <si>
    <t>1940-1970</t>
  </si>
  <si>
    <t>Wooden wall brick façade, reinforced concrete flooring, pitched roof</t>
  </si>
  <si>
    <t>30 - 440</t>
  </si>
  <si>
    <t>1940-1980</t>
  </si>
  <si>
    <t>Breeze concrete insulated, reinforced concrete flooring, pitched roof</t>
  </si>
  <si>
    <t>12 - 440</t>
  </si>
  <si>
    <t>Until 1940</t>
  </si>
  <si>
    <t>Brick masonry with wooden flooring</t>
  </si>
  <si>
    <t>1,3 - 16,8</t>
  </si>
  <si>
    <t>Wooden frame insulated, wooden flooring, pitched roof with insulation (new building)</t>
  </si>
  <si>
    <t>18 - 352</t>
  </si>
  <si>
    <t>Wooden frame insulated, wooden flooring, pitched roof</t>
  </si>
  <si>
    <t>Brick wall, reinforced concrete flooring, pitched roof with insulation (new building)</t>
  </si>
  <si>
    <t>18 -220</t>
  </si>
  <si>
    <t>Brick wall, reinforced concrete flooring, pitched roof</t>
  </si>
  <si>
    <t>1945-1970</t>
  </si>
  <si>
    <t>Breeze concrete wall, breeze concrete block flooring, pitched roof</t>
  </si>
  <si>
    <t>12 - 220</t>
  </si>
  <si>
    <t>Wooden wall and brick facade, reinforced concrete flooring, pitched roof</t>
  </si>
  <si>
    <t>6 - 220</t>
  </si>
  <si>
    <t>Until 1945</t>
  </si>
  <si>
    <t>Wooden wall, wooden flooring, pitched roof</t>
  </si>
  <si>
    <t>66 - 286</t>
  </si>
  <si>
    <t>Brick masonry with wooden flooring and pitched roof</t>
  </si>
  <si>
    <t>8 - 53.5</t>
  </si>
  <si>
    <t>Brick cavity wall ins., reinforced concrete flooring, flat roof with ins. (new building)</t>
  </si>
  <si>
    <t>8 - 708</t>
  </si>
  <si>
    <t>8 - 1416</t>
  </si>
  <si>
    <t>24 - 1180</t>
  </si>
  <si>
    <t>1970-1990</t>
  </si>
  <si>
    <t>Concrete wall, reinforced concrete flooring, pitched roof</t>
  </si>
  <si>
    <t>0,8 - 77,6</t>
  </si>
  <si>
    <t>Sand lime wall ins., reinforced concrete flooring, pitched roof with ins. (new building)</t>
  </si>
  <si>
    <t>40 - 1180</t>
  </si>
  <si>
    <t>1950-1965</t>
  </si>
  <si>
    <t>Sand lime wall insulated, reinforced concrete flooring, pitched roof</t>
  </si>
  <si>
    <t>Brick masonry ins., reinforced concrete flooring, pitched roof with ins. (new building)</t>
  </si>
  <si>
    <t>4 - 1945</t>
  </si>
  <si>
    <t>Breeze concrete ins., reinforced concrete flooring, pitched roof with ins. (new building)</t>
  </si>
  <si>
    <t>4 - 3890</t>
  </si>
  <si>
    <t>1945-1965</t>
  </si>
  <si>
    <t>10 - 4668</t>
  </si>
  <si>
    <t>Wooden frame with stone filler, wooden flooring, pitched roof</t>
  </si>
  <si>
    <t>4 - 778</t>
  </si>
  <si>
    <t>Until 1900</t>
  </si>
  <si>
    <t>Rubble stone masonry with wooden flooring</t>
  </si>
  <si>
    <t>8 - 3890</t>
  </si>
  <si>
    <t>0,9 - 105,9</t>
  </si>
  <si>
    <t>Sand lime wall, reinforced concrete flooring, pitched roof with ins. (new building)</t>
  </si>
  <si>
    <t>10 - 1945</t>
  </si>
  <si>
    <t>Sand lime wall, reinforced concrete flooring, pitched roof</t>
  </si>
  <si>
    <t>0,9 - 105,1</t>
  </si>
  <si>
    <t>20 - 3890</t>
  </si>
  <si>
    <t>20 - 5120</t>
  </si>
  <si>
    <t>160 to 615</t>
  </si>
  <si>
    <t>Brick masonry, hollow brick flooring, pitched roof</t>
  </si>
  <si>
    <t>4 to 1167</t>
  </si>
  <si>
    <t>Wooden frame with stone filler, reinforced concrete flooring, pitched roof</t>
  </si>
  <si>
    <t>10 to 2560</t>
  </si>
  <si>
    <t>Rubble masonry with wooden flooring and pitched roof</t>
  </si>
  <si>
    <t>40 to 3890</t>
  </si>
  <si>
    <t>371 to 2120</t>
  </si>
  <si>
    <t>371 to 3135</t>
  </si>
  <si>
    <t>Since 1975</t>
  </si>
  <si>
    <t>6.8 to 67.4</t>
  </si>
  <si>
    <t>418 to 590</t>
  </si>
  <si>
    <t>1950-1980</t>
  </si>
  <si>
    <t>106 to 1180</t>
  </si>
  <si>
    <t>Since 1945</t>
  </si>
  <si>
    <t>265 to 1325</t>
  </si>
  <si>
    <t>Since 1965</t>
  </si>
  <si>
    <t>Breeze concrete, reinforced concrete flooring, pitched roof with insulation (new
building)</t>
  </si>
  <si>
    <t>1180 to 1325</t>
  </si>
  <si>
    <t>Since 1950</t>
  </si>
  <si>
    <t>Breeze concrete, reinforced concrete flooring, pitched roof</t>
  </si>
  <si>
    <t>13 to 3975</t>
  </si>
  <si>
    <t>1945-1990</t>
  </si>
  <si>
    <t>Brick cavity wall, reinforced concrete flooring, pitched roof 20°</t>
  </si>
  <si>
    <t>15 to 590</t>
  </si>
  <si>
    <t>1900-1945</t>
  </si>
  <si>
    <t>Limestone/fieldstone masonry with wooden flooring</t>
  </si>
  <si>
    <t>418 - 590</t>
  </si>
  <si>
    <t>20,1 - 101,4</t>
  </si>
  <si>
    <t>Brick masonry insulated, reinforced concrete flooring, pitched roof 20°</t>
  </si>
  <si>
    <t>159 - 1475</t>
  </si>
  <si>
    <t>Brick masonry, reinforced concrete flooring, flat roof</t>
  </si>
  <si>
    <t>795 - 1325</t>
  </si>
  <si>
    <t>Brick masonry, reinforced concrete flooring, pitched roof 20°</t>
  </si>
  <si>
    <t>825 - 2090</t>
  </si>
  <si>
    <t>2120 - 2950</t>
  </si>
  <si>
    <t>26 - 165</t>
  </si>
  <si>
    <t>Limestone/fieldstone masonry, wooden flooring, flat roof</t>
  </si>
  <si>
    <t>Limestone/fieldstone masonry with wooden flooring and pitched roof</t>
  </si>
  <si>
    <t>Time period, structure and region</t>
  </si>
  <si>
    <t>Comment</t>
  </si>
  <si>
    <t>Lifetime</t>
  </si>
  <si>
    <t>Unit</t>
  </si>
  <si>
    <t>Construction material</t>
  </si>
  <si>
    <t>Gross floor area (m2)</t>
  </si>
  <si>
    <t>Number of residents</t>
  </si>
  <si>
    <t>Number of dwellings</t>
  </si>
  <si>
    <t>Number of floors</t>
  </si>
  <si>
    <t>Construction period</t>
  </si>
  <si>
    <t>Structure</t>
  </si>
  <si>
    <t>Residential building type</t>
  </si>
  <si>
    <t>Classification</t>
  </si>
  <si>
    <t>Area</t>
  </si>
  <si>
    <t>City/Country/Region</t>
  </si>
  <si>
    <t>Case study</t>
  </si>
  <si>
    <t>Source</t>
  </si>
  <si>
    <t>ID</t>
  </si>
  <si>
    <t>1990–2010</t>
  </si>
  <si>
    <t>Reinforced-concrete</t>
  </si>
  <si>
    <t>1980–2010</t>
  </si>
  <si>
    <t>Brick-concrete</t>
  </si>
  <si>
    <t>1950–2010</t>
  </si>
  <si>
    <t>Brick-wood</t>
  </si>
  <si>
    <t>1950–2050</t>
  </si>
  <si>
    <t>Adobe-wood</t>
  </si>
  <si>
    <t>Rural</t>
  </si>
  <si>
    <t>1980–1989</t>
  </si>
  <si>
    <t>1975–1979</t>
  </si>
  <si>
    <t>Brick-Concrete</t>
  </si>
  <si>
    <t>1960 - 1979</t>
  </si>
  <si>
    <t>1960–1979</t>
  </si>
  <si>
    <t>1950 - 1959</t>
  </si>
  <si>
    <t>30–40 years for the buildings constructed in 1970s and 1980s, adobe-wood and brick wood buildings are 15 years. Avarage - 50 years.</t>
  </si>
  <si>
    <t>Type of house and construction period</t>
  </si>
  <si>
    <t>Lightweight steel-structure
single-family house</t>
  </si>
  <si>
    <t>Japan</t>
  </si>
  <si>
    <t>Wooden single-family house</t>
  </si>
  <si>
    <t>SRC multi-family house</t>
  </si>
  <si>
    <t>SRC (steel reinforced concrete) multi-family house</t>
  </si>
  <si>
    <t>Construction type</t>
  </si>
  <si>
    <t xml:space="preserve">11 Western Europe </t>
  </si>
  <si>
    <t>12 Central Europe</t>
  </si>
  <si>
    <t>X</t>
  </si>
  <si>
    <t>24 Oceania (Australia, New Zealand)</t>
  </si>
  <si>
    <t>Region (Countries available)</t>
  </si>
  <si>
    <t xml:space="preserve">8 Western Africa </t>
  </si>
  <si>
    <t>9 Eastern Africa</t>
  </si>
  <si>
    <t xml:space="preserve">Urban </t>
  </si>
  <si>
    <t>17 Middle East (Bahrain, Lebanon, Jordan)</t>
  </si>
  <si>
    <t>10 South Africa</t>
  </si>
  <si>
    <t>Reference (from the source)</t>
  </si>
  <si>
    <t>Net floor area (m2)</t>
  </si>
  <si>
    <t>kg/cap</t>
  </si>
  <si>
    <t>Aluminum</t>
  </si>
  <si>
    <t>kg</t>
  </si>
  <si>
    <t xml:space="preserve">60 years </t>
  </si>
  <si>
    <t>Content per floor area kg/m2</t>
  </si>
  <si>
    <t>Environmental performance analysis of residential buildings in Brazil
using LCA</t>
  </si>
  <si>
    <t>50 years</t>
  </si>
  <si>
    <t>CS1 MULTI.16 HS</t>
  </si>
  <si>
    <t>Metal piles foundation, conventional structure in reinforced concrete, masonry in concrete blocks, walls and ceilings coated with PVA paint, floors and facade in ceramic tiles and gypsum ceilings, concrete gutter and metal roof tile.</t>
  </si>
  <si>
    <t xml:space="preserve">Floor area per dwelling (m2) </t>
  </si>
  <si>
    <t>CS2 MULTI.5 SIH</t>
  </si>
  <si>
    <t>57 671</t>
  </si>
  <si>
    <t>10 788</t>
  </si>
  <si>
    <t>CS3 SIN HS</t>
  </si>
  <si>
    <t>CS4 SIN LS</t>
  </si>
  <si>
    <t>Shallow foundation, self-supporting reinforced concrete wall. EPS panel shafts and ceramic blocks in support buildings. Walls coated with gypsum plaster and PVA paint, PVC ceiling cladding and wood structure and ceramic roof tile</t>
  </si>
  <si>
    <t>Shallow foundation, conventional structure in reinforced concrete, masonry in concrete blocks. Walls and ceilings coated with PVA paint, ceramic tile floors and gypsum ceilings cladding. Wood structure and ceramic roof tiles</t>
  </si>
  <si>
    <t>The houses are classified by income class and building type</t>
  </si>
  <si>
    <t>The study proposes a method to estimate the materials in-use in heterogeneous building stocks and applies it to the residential building stock at the city of Rio de Janeiro</t>
  </si>
  <si>
    <t>SFH</t>
  </si>
  <si>
    <t xml:space="preserve">Multi-family building with four apartment’s floors </t>
  </si>
  <si>
    <t xml:space="preserve">Multi-family building with eight apartment’s floors </t>
  </si>
  <si>
    <t>MFB-8F</t>
  </si>
  <si>
    <t>MFB-4F</t>
  </si>
  <si>
    <t>MFB-16F</t>
  </si>
  <si>
    <t xml:space="preserve">Multi-family building with 16 apartment’s floors </t>
  </si>
  <si>
    <t xml:space="preserve">4 flats per floor </t>
  </si>
  <si>
    <t>Before 1904</t>
  </si>
  <si>
    <t>73,21 m2 per apartment</t>
  </si>
  <si>
    <t xml:space="preserve">100 years </t>
  </si>
  <si>
    <t>6 Rest of South America (Chile, Colombia, Peru)</t>
  </si>
  <si>
    <t>7351 for the whole area</t>
  </si>
  <si>
    <t>RC apartment building</t>
  </si>
  <si>
    <t>35519 for the whole area</t>
  </si>
  <si>
    <t>Adobe houses are composed of adobe brick walls, which support roofs composed of wooden joist framework covered with crushed cane and mud</t>
  </si>
  <si>
    <t>Adobe house</t>
  </si>
  <si>
    <t>The study is focused on Chiclayo city, the core orea of the city that includes 12 urban districts</t>
  </si>
  <si>
    <t>64320 for the whole area</t>
  </si>
  <si>
    <t>Clay brick walls confined by RC columns and beams which support floors, formed by a series of RC ribs separated by hollow roof bricks</t>
  </si>
  <si>
    <t>Brick masonry house</t>
  </si>
  <si>
    <t>Building types available in the city, size, material
composition, year of construction</t>
  </si>
  <si>
    <t>The average GFA values were assigned to the entire building stock in the GIS model. Consequently, the overall floor area of buildings in Chiclayo city amounts to 15.2 million m2 or 29m2 per inhabitant, with a large share of brickmasonry houses (71.0%), followed by adobe houses (24.3%) and RC apartment buildings (4.7%).</t>
  </si>
  <si>
    <t>T3</t>
  </si>
  <si>
    <t>Mud-brick house</t>
  </si>
  <si>
    <t>T4</t>
  </si>
  <si>
    <t>Cement-block house</t>
  </si>
  <si>
    <t>(9 m wall – 3 x 0,2 m wall thickness m) * (8 m wall – 3 x 0,2 m wall thickness) (UFA calculation)</t>
  </si>
  <si>
    <t>(12 m wall – 3 x 0,2 m wall thickness m) * (9 m wall – 4 x 0,2 m wall thickness) (UFA calculation)</t>
  </si>
  <si>
    <t>Aluminium</t>
  </si>
  <si>
    <t xml:space="preserve">Info ready </t>
  </si>
  <si>
    <t>Single family house</t>
  </si>
  <si>
    <t>Unit in residential complex</t>
  </si>
  <si>
    <t>The magnitude and spatial distribution of in-use copper stocks in Cape Town, South Africa</t>
  </si>
  <si>
    <t>South European Countries (Malta, Cyprus, Portugal, Greece, Spain, Italy, France)</t>
  </si>
  <si>
    <t>Central European countries (Belgium,The Netherlands, Ireland, Hungary, Slovenia, Luxembourg, Germany, UK, Slovakia, Denmark, Czech Republic, Austria, Poland)</t>
  </si>
  <si>
    <t>6,5 - 2950</t>
  </si>
  <si>
    <t>32,5 - 885</t>
  </si>
  <si>
    <t>0,9 - 105,4</t>
  </si>
  <si>
    <t>19,4 to 106,2</t>
  </si>
  <si>
    <t>6,8 to 67,4</t>
  </si>
  <si>
    <t>6,6 to 2065</t>
  </si>
  <si>
    <t>Z1_SI_001</t>
  </si>
  <si>
    <t>Z1_SI_002</t>
  </si>
  <si>
    <t>Z1_SI_003</t>
  </si>
  <si>
    <t>Z1_SI_004</t>
  </si>
  <si>
    <t>Z1_SI_005_ex</t>
  </si>
  <si>
    <t>Z1_SI_005</t>
  </si>
  <si>
    <t>Z1_SI_006</t>
  </si>
  <si>
    <t>Z1_SI_006_ex</t>
  </si>
  <si>
    <t>Z1_SI_007_ex</t>
  </si>
  <si>
    <t>Z1_SI_007</t>
  </si>
  <si>
    <t>Z1_SI_008</t>
  </si>
  <si>
    <t>Z1_MF_001</t>
  </si>
  <si>
    <t>Z1_MF_002</t>
  </si>
  <si>
    <t>Z1_MF_003</t>
  </si>
  <si>
    <t>Z1_MF_004</t>
  </si>
  <si>
    <t>Z1_MF_005</t>
  </si>
  <si>
    <t>Z1_MF_004_ex</t>
  </si>
  <si>
    <t>Z1_MF_006</t>
  </si>
  <si>
    <t>Z1_MF_006_ex</t>
  </si>
  <si>
    <t>Z1_MF_007</t>
  </si>
  <si>
    <t>Z1_MF_008_ex</t>
  </si>
  <si>
    <t>Z1_MF_008</t>
  </si>
  <si>
    <t>Z1_HR_001_ex</t>
  </si>
  <si>
    <t>Z1_HR_001</t>
  </si>
  <si>
    <t>Z1_HR_002</t>
  </si>
  <si>
    <t>Z2_SI_001</t>
  </si>
  <si>
    <t>Z2_SI_002</t>
  </si>
  <si>
    <t>Z2_SI_003</t>
  </si>
  <si>
    <t>Z2_SI_004</t>
  </si>
  <si>
    <t>Z2_SI_005</t>
  </si>
  <si>
    <t>Z2_SI_006_ex</t>
  </si>
  <si>
    <t>Z2_SI_006</t>
  </si>
  <si>
    <t>Z2_SI_007_ex</t>
  </si>
  <si>
    <t>Z2_SI_007</t>
  </si>
  <si>
    <t>Z2_SI_008_ex</t>
  </si>
  <si>
    <t>Z2_SI_008</t>
  </si>
  <si>
    <t>Z2_MF_001</t>
  </si>
  <si>
    <t>Z2_MF_002</t>
  </si>
  <si>
    <t>Z2_MF_003</t>
  </si>
  <si>
    <t>Z2_MF_004</t>
  </si>
  <si>
    <t>Z2_MF_005_ex</t>
  </si>
  <si>
    <t>Z2_MF_005</t>
  </si>
  <si>
    <t>Z2_MF_006_ex</t>
  </si>
  <si>
    <t>Z2_MF_006</t>
  </si>
  <si>
    <t>Z2_MF_007_ex</t>
  </si>
  <si>
    <t>Z2_MF_007</t>
  </si>
  <si>
    <t>Z2_MF_008</t>
  </si>
  <si>
    <t>Z2_HR_001</t>
  </si>
  <si>
    <t>Z2_HR_002_ex</t>
  </si>
  <si>
    <t>Z2_HR_002</t>
  </si>
  <si>
    <t>Z3_SI_001</t>
  </si>
  <si>
    <t>Z3_SI_002</t>
  </si>
  <si>
    <t>Z3_SI_003</t>
  </si>
  <si>
    <t>Z3_SI_004</t>
  </si>
  <si>
    <t>Z3_SI_005</t>
  </si>
  <si>
    <t>Z3_SI_006_ex</t>
  </si>
  <si>
    <t>Z3_SI_006</t>
  </si>
  <si>
    <t>Z3_SI_007_ex</t>
  </si>
  <si>
    <t>Z3_SI_007</t>
  </si>
  <si>
    <t>Z3_MF_001</t>
  </si>
  <si>
    <t>Z3_MF_002</t>
  </si>
  <si>
    <t>Z3_MF_003</t>
  </si>
  <si>
    <t>Z3_MF_004</t>
  </si>
  <si>
    <t>Z3_MF_005</t>
  </si>
  <si>
    <t>Z3_MF_006_ex</t>
  </si>
  <si>
    <t>Z3_MF_006</t>
  </si>
  <si>
    <t>Z3_MF_007_ex</t>
  </si>
  <si>
    <t>Z3_MF_007</t>
  </si>
  <si>
    <t>Z3_MF_008</t>
  </si>
  <si>
    <t>Z3_HR_001</t>
  </si>
  <si>
    <t>Z3_HR_002_ex</t>
  </si>
  <si>
    <t>Z3_HR_002</t>
  </si>
  <si>
    <t>Single-storey detached house</t>
  </si>
  <si>
    <t>Concrete slab floor and brick veneer external walls. The structural framing is of traditional timber stud construction clad with plasterboard internally</t>
  </si>
  <si>
    <t>Building service life and its effect on the life cycle embodied energy of buildings</t>
  </si>
  <si>
    <t>150 years</t>
  </si>
  <si>
    <t xml:space="preserve">Types of houses and geographical area </t>
  </si>
  <si>
    <t>Reference house</t>
  </si>
  <si>
    <t>Floor: 8 cm gravel or sand, 0,2 cm polyurethane, 7 cm concrete. Ceiling: 0,1 cm corrugated iron, 5 cm expanded polystyrene, timber structure 45x70 mm, 1 cm vulcanite board. Interior walls: 1 cm vulcanite board, timber structure 45x70 mm, 1 cm vulcanite board. Exterior walls: 0,5 cm zinc, 0,1 cm felt, timber structure 45x70 mm, 5 cm glass wool, 1 cm vulcanite board</t>
  </si>
  <si>
    <t>Life cycle assessment model applied to housing in Chile</t>
  </si>
  <si>
    <t>Life cycle assessment of two dwellings: One in Spain, a developed country, and one in Colombia, a country under development</t>
  </si>
  <si>
    <t>Colombian dwelling</t>
  </si>
  <si>
    <t>Timber is Covering/roofing/internal
and external use</t>
  </si>
  <si>
    <t>Mat. content per floor area kg/m2</t>
  </si>
  <si>
    <t>Life cycle assessment: A case study of a dwelling home in Scotland</t>
  </si>
  <si>
    <t>Semi detached three-bedroom house</t>
  </si>
  <si>
    <t>Scotland</t>
  </si>
  <si>
    <t>UK</t>
  </si>
  <si>
    <t>Detached house</t>
  </si>
  <si>
    <t xml:space="preserve">Type of house </t>
  </si>
  <si>
    <t>Traditional build: brick and block</t>
  </si>
  <si>
    <t>90 apartments</t>
  </si>
  <si>
    <t>Gaziantep/Turkey</t>
  </si>
  <si>
    <t xml:space="preserve">Buildings constructed with urban and rural areas </t>
  </si>
  <si>
    <t>Building Type 1 (BT1)</t>
  </si>
  <si>
    <t>The external walls consist of 150 mm concrete block, 24 mm of plaster inside and outside. The internal walls: 100 mm concrete block, 24 mm of
plaster inside and outside. 30 mm
polyurethane and 150 mm concrete roof</t>
  </si>
  <si>
    <t xml:space="preserve">The external walls consist of 150 mm concrete block, 20 mm of plaster
inside and outside. The internal walls: 100 mm concrete block, 20 mm of plaster inside and outside. 140 mm perlite and 150 mm concrete roof. </t>
  </si>
  <si>
    <t>Building Type 2 (BT2)</t>
  </si>
  <si>
    <t>Reducing the total life cycle energy demand of recent residential buildings in Lebanon</t>
  </si>
  <si>
    <t>Case study
apartment building</t>
  </si>
  <si>
    <t>The case study building is supported by a cast in-situ RC (reinforced concrete) structure like most residential buildings of this type in Lebanon. The foundations are shallow consisting mainly of
continuous footings and are relatively small compared to the size of the building as the ground in Mount Lebanon is almost always rocky and provides a very high bearing capacity. This avoids the need for deep foundations as in other countries with poor soil conditions, such as Belgium or the Netherlands. The foundations support RC columns and walls which support the slabs, typically about 250 mm thick. The latter are constituted by embedded primary beams (about 800 mm wide on average) resting on the RC columns and walls which in turn support secondary beams (called ribs) that run perpendicular to the primary beams. These ribs are
about 150mmwide and separated by 400mmwide gaps filled with hollow concrete blocks 180 mm high topped by a 70 mm thick compressive slab. The hollow blocks and reinforcement steel are first placed on the wooden formwork before casting the ready mix concrete. The outer walls are double concrete blocks walls with an air blade in between. They are stone-clad on the outside and rendered with a concrete mortar and painted on the inside. The double glazed windows are installed on an aluminium frame which is not thermally broken.</t>
  </si>
  <si>
    <t xml:space="preserve">Source for density: https://theconstructor.org/building/density-construction-materials/13531/ </t>
  </si>
  <si>
    <t>The density (m3/kg) of the material is multiplied to the volume (m3) in order to obtain the kg</t>
  </si>
  <si>
    <t>Indian Institute of Technology Madras campus in the City of Chennai, India</t>
  </si>
  <si>
    <t>The components like doors/windows and electrical/plumbing are not
analyzed, as they are locally available materials and are required in very less quantities,as these are cost effective houses for low income group,</t>
  </si>
  <si>
    <t xml:space="preserve">India </t>
  </si>
  <si>
    <t>Burnt clay brick masonry based houses</t>
  </si>
  <si>
    <t>Number of stories and types of houses (122 are studied)</t>
  </si>
  <si>
    <t>Plinth areas of these houses vary between 20 m2 and 60 m2</t>
  </si>
  <si>
    <t>HF SEB Block masonry based houses</t>
  </si>
  <si>
    <t>HF Fly Ash Block masonry based houses</t>
  </si>
  <si>
    <t>Copper</t>
  </si>
  <si>
    <t>Net floor area per building (m2)</t>
  </si>
  <si>
    <t>m2/cap</t>
  </si>
  <si>
    <t>Original area data</t>
  </si>
  <si>
    <t>Building code</t>
  </si>
  <si>
    <t xml:space="preserve">Wood (MDF/particleboard) + Softwood (framing) </t>
  </si>
  <si>
    <t xml:space="preserve">Wood (MDF/particleboard) + (MDF/particleboard(structural)) + Softwood (framing) </t>
  </si>
  <si>
    <t>Material Density (kg/m3)</t>
  </si>
  <si>
    <t xml:space="preserve">Concrete 15 and 15 Mpa, Mortar, Precast </t>
  </si>
  <si>
    <t>13 double-façade
flats of 120 m² each and 8 triple-façade flats of 168 m² each</t>
  </si>
  <si>
    <t>15 double-façade
flats of 120 m² each and 8 triple-façade flats of 168 m² each</t>
  </si>
  <si>
    <t>18 double-façade
flats of 120 m² each and 8 triple-façade flats of 168 m² each</t>
  </si>
  <si>
    <t>Low rise apartment building (comprising 12 AP3 and 8 AP4 units)</t>
  </si>
  <si>
    <t xml:space="preserve">50 years </t>
  </si>
  <si>
    <t xml:space="preserve">Detached house </t>
  </si>
  <si>
    <t>Ann Arbor, Michigan area</t>
  </si>
  <si>
    <t>Standard Home (SH)</t>
  </si>
  <si>
    <t>Life Cycle Analysis of a Residential Home in Michigan</t>
  </si>
  <si>
    <t>Occupied since 2008</t>
  </si>
  <si>
    <t>Monmouth County, New Jersey</t>
  </si>
  <si>
    <t>Row house</t>
  </si>
  <si>
    <t xml:space="preserve">Apartment building </t>
  </si>
  <si>
    <t>Typical Minergie-P certified building design, using concrete andbrick for the unheated basement and the below ground garage andlight wood frame construction for the first and second floors</t>
  </si>
  <si>
    <t>Glass</t>
  </si>
  <si>
    <t>Between 50 and 75 years</t>
  </si>
  <si>
    <t xml:space="preserve">Glass </t>
  </si>
  <si>
    <t xml:space="preserve">High-rise building </t>
  </si>
  <si>
    <t>Apartment building</t>
  </si>
  <si>
    <t>60 years</t>
  </si>
  <si>
    <t>Dwelling, part of an existing semidetached house
divided into two storey. The main construction materials are brick, concrete and steel, and the upper ceiling is covered in roof tiles</t>
  </si>
  <si>
    <t>kg/m3</t>
  </si>
  <si>
    <t xml:space="preserve">(29 m/cap for the whole building stock) Consequently, the overall floor area of buildings in Chiclayo city amounts to 15.2 million m2 or 29 m2 per inhabitant, with a large share of brickmasonry houses (71.0%), followed by adobe houses (24.3%) and RC apartment buildings (4.7%). </t>
  </si>
  <si>
    <t>Conctruction materials</t>
  </si>
  <si>
    <t xml:space="preserve">I assume that the Autoclaved aerated concrete blocks' weight is 7 kg
</t>
  </si>
  <si>
    <t>One hollow CC bock weights 23 kg</t>
  </si>
  <si>
    <t xml:space="preserve">http://www.amaarblock.com/hollow.html </t>
  </si>
  <si>
    <t xml:space="preserve">The floor area and number of residents were assumed </t>
  </si>
  <si>
    <t>Total 122 of residential houses, designed and built in different parts of India, for people under low income group have been considered for this study. These houses are very common in India and constitute more than 50% of the total houses built annually in India. Plinth areas of these houses vary between 20 m2 and 60 m2.</t>
  </si>
  <si>
    <t xml:space="preserve">The number of residents was assumed </t>
  </si>
  <si>
    <t xml:space="preserve">The number of residents is assumed </t>
  </si>
  <si>
    <t>The floor area is assumed. It is calculated as average between 50 and 70 m2</t>
  </si>
  <si>
    <t xml:space="preserve">China </t>
  </si>
  <si>
    <t>New Cruciform Block (NCB)</t>
  </si>
  <si>
    <t>The first Harmony Blocks, which have 40 storeys with a usable floor area of 39,040 m2 in each block, were completed in Tin Yiu Estate in 1992. Each block has 16 apartment units per floor with a central service core, which creates an open environment allowing daylight to enter all flats. It has units with one bedroom of 34 m2, two bedrooms of 43 m2 and three bedrooms of 52 m2.</t>
  </si>
  <si>
    <t>40-50 years</t>
  </si>
  <si>
    <t>Harmony Block (H1)</t>
  </si>
  <si>
    <t>Analysis of embodied energy use in the residential building of Hong Kong</t>
  </si>
  <si>
    <t>building code</t>
  </si>
  <si>
    <t>Lightweight steelstructure
singlefamily house No. 2</t>
  </si>
  <si>
    <t>Lightweight steelstructure
singlefamily house No. 1</t>
  </si>
  <si>
    <t>Wooden single-family house No. 4</t>
  </si>
  <si>
    <t>Wooden single-family house No. 3</t>
  </si>
  <si>
    <t>Wooden single-family house No. 2</t>
  </si>
  <si>
    <t>Wooden single-family house No. 1</t>
  </si>
  <si>
    <t>SRC multi-family house No. 2</t>
  </si>
  <si>
    <t>SRC multi-family house No. 1</t>
  </si>
  <si>
    <t>The estimation of energy consumption and CO2 emission due to housing construction in Japan</t>
  </si>
  <si>
    <t>5 person/dwelling</t>
  </si>
  <si>
    <t>4 person/dwelling</t>
  </si>
  <si>
    <t>Sagarmatha National Park/Nepal</t>
  </si>
  <si>
    <t>Bhochhibhoya et al., 2017</t>
  </si>
  <si>
    <t>National Park and its buffer zone</t>
  </si>
  <si>
    <t>Type of houses</t>
  </si>
  <si>
    <t xml:space="preserve">Traditional building </t>
  </si>
  <si>
    <t>Semimodern building</t>
  </si>
  <si>
    <t>The density is taken from the source (not assumed)</t>
  </si>
  <si>
    <t>The number of residents was assumed</t>
  </si>
  <si>
    <t>New Zealand</t>
  </si>
  <si>
    <t>NZIV 1996 Modal House</t>
  </si>
  <si>
    <t>NZIV 1972 Modal House</t>
  </si>
  <si>
    <t>143 years</t>
  </si>
  <si>
    <t>Indonesian residential high rise buildings: A life cycle energy assessment</t>
  </si>
  <si>
    <t>The information is provided for 1 apartment in high-rise apartment building</t>
  </si>
  <si>
    <t xml:space="preserve">Double walls having external walls made from clay bricks, inner walls with
gypsum plasterboard and air gap in between </t>
  </si>
  <si>
    <t>Life cycle energy of single landed houses in Indonesia</t>
  </si>
  <si>
    <t>Clay houses having external walls made from clay bricks and roof enclosure from clay tiles</t>
  </si>
  <si>
    <t>Cement houses with concrete brick walls and concrete roof</t>
  </si>
  <si>
    <t>Type of house</t>
  </si>
  <si>
    <t>Industrialized building system (IBS)</t>
  </si>
  <si>
    <t>Cast in situ</t>
  </si>
  <si>
    <t>The number of residents is assumed</t>
  </si>
  <si>
    <t>PRISMA IBS</t>
  </si>
  <si>
    <t>Nusa Villa Cast In Situ</t>
  </si>
  <si>
    <t>Mat. content per net floor area kg/m2</t>
  </si>
  <si>
    <t>District of Seri Kembangan,
Selangor about 25 km from Kuala Lumpur</t>
  </si>
  <si>
    <t>Lifetime (years)</t>
  </si>
  <si>
    <t>Korea</t>
  </si>
  <si>
    <t>Integrated building life-cycle assessment model to support South Korea's green building certification system (G-SEED)</t>
  </si>
  <si>
    <t>Eight-story passive apartment building</t>
  </si>
  <si>
    <t>Steel-reinforced
concrete</t>
  </si>
  <si>
    <t>The amount of people per dwelling is assumed</t>
  </si>
  <si>
    <t>Concrete products</t>
  </si>
  <si>
    <t xml:space="preserve">15 Central Asia </t>
  </si>
  <si>
    <t>The growth of urban building stock: Unintended lock-in and embedded environmental effects</t>
  </si>
  <si>
    <t>R1: SINGLE FAMILY DETACHED, PRE-1950</t>
  </si>
  <si>
    <t>Before 1950</t>
  </si>
  <si>
    <t>R1: SINGLE FAMILY DETACHED, POST-1990</t>
  </si>
  <si>
    <t>R1: SINGLE FAMILY DETACHED, 1950-1990</t>
  </si>
  <si>
    <t>After 1990</t>
  </si>
  <si>
    <t>R2: MULTI-FAMILY LARGE</t>
  </si>
  <si>
    <t>R1: SINGLE FAMILY DETACHED, PRE-1951</t>
  </si>
  <si>
    <t>R1: SINGLE FAMILY DETACHED, 1950-1991</t>
  </si>
  <si>
    <t>R1: SINGLE FAMILY DETACHED, 1950-1992</t>
  </si>
  <si>
    <t>R1: SINGLE FAMILY DETACHED, POST-1991</t>
  </si>
  <si>
    <t>R1: SINGLE FAMILY DETACHED, POST-1992</t>
  </si>
  <si>
    <t>R3: MULTI-FAMILY SMALL</t>
  </si>
  <si>
    <t>Vancouver Special</t>
  </si>
  <si>
    <t>Material content per building</t>
  </si>
  <si>
    <t xml:space="preserve">Los Angeles, State of California </t>
  </si>
  <si>
    <t>Vancouver, Canada</t>
  </si>
  <si>
    <t>The number of residents is assumed, the number of the floors is assumber to be 1 (the number doesn't influence the materials quantity</t>
  </si>
  <si>
    <t>Cameroon, Africa</t>
  </si>
  <si>
    <t>City of Chiclayo, Peru</t>
  </si>
  <si>
    <t>Punta Arenas City, Chili</t>
  </si>
  <si>
    <t>Pamplona city, Colombia</t>
  </si>
  <si>
    <t xml:space="preserve">Salvador, Brazil </t>
  </si>
  <si>
    <t xml:space="preserve">Camaçari, Brazil </t>
  </si>
  <si>
    <t>Feira de Santana, Brazil</t>
  </si>
  <si>
    <t>Rio de Janeiro, Brazil</t>
  </si>
  <si>
    <t>HRA</t>
  </si>
  <si>
    <t>Estimating Embodied Energy in Residential Buildings in a Nigerian Context</t>
  </si>
  <si>
    <t>Lagos, Nigeria</t>
  </si>
  <si>
    <t>L1</t>
  </si>
  <si>
    <t>Cape Town, South Africa</t>
  </si>
  <si>
    <t>Massive structure with load-bearing masonry brick walls, an air cavity and brick façade, concrete floor slabs and pitched roof</t>
  </si>
  <si>
    <t>2 per apartment</t>
  </si>
  <si>
    <t xml:space="preserve">South European Countries </t>
  </si>
  <si>
    <t>Central European countries</t>
  </si>
  <si>
    <t>North European countries</t>
  </si>
  <si>
    <t>Chur, Switzerland</t>
  </si>
  <si>
    <t>Wood as a building material in the light of environmental assessment of full life cycle of four buildings</t>
  </si>
  <si>
    <t>A1</t>
  </si>
  <si>
    <t xml:space="preserve">Conventional masonry building </t>
  </si>
  <si>
    <t>These buildings differed in material structure, building technology and the energy standard.</t>
  </si>
  <si>
    <t>Poland</t>
  </si>
  <si>
    <t>Passive masonry building</t>
  </si>
  <si>
    <t>A2</t>
  </si>
  <si>
    <t>conventional wooden building</t>
  </si>
  <si>
    <t>B1</t>
  </si>
  <si>
    <t>passive wooden building</t>
  </si>
  <si>
    <t>B2</t>
  </si>
  <si>
    <t>Sehaileh, Lebanon</t>
  </si>
  <si>
    <t>Mount Lebanon district in
the town of Sehaileh in the region of Kesrwan, Lebanon</t>
  </si>
  <si>
    <t>Asif et al., 2017</t>
  </si>
  <si>
    <t>Dhahran, Kingdom of Saudi Arabia</t>
  </si>
  <si>
    <t>The number of residents is assumed.</t>
  </si>
  <si>
    <t>Steel re-bars+Galvanized iron sheets</t>
  </si>
  <si>
    <t>Urban (RCC) house</t>
  </si>
  <si>
    <t xml:space="preserve"> City of Chennai, India</t>
  </si>
  <si>
    <t>Economical</t>
  </si>
  <si>
    <t>Irbid, Jordan</t>
  </si>
  <si>
    <t>El Hanandeh, 2015</t>
  </si>
  <si>
    <t>Typical
limestone</t>
  </si>
  <si>
    <t>It typically consists of two layers of hollow concrete blocks with a 50 mm gap. The wall is cladded on both sides with 25 mm cement plaster</t>
  </si>
  <si>
    <t xml:space="preserve"> A typical limestone façade consists of a limestone cladding 30-50 mm thickness backed by 100 mm concrete wall followed by 100 mm hollow concrete blocks and 25 mm cement plaster</t>
  </si>
  <si>
    <t>A methodology for energy performance classification of residential building stock
of Hamirpur</t>
  </si>
  <si>
    <t>Hamirpur, India</t>
  </si>
  <si>
    <t>Life cycle energy analysis of a residential building with different envelopes and climates in Indian context</t>
  </si>
  <si>
    <t>75 years</t>
  </si>
  <si>
    <t>Solar Energy Park,
Indian Institute of Technology Delhi, New Delhi</t>
  </si>
  <si>
    <t>New Delhi, India</t>
  </si>
  <si>
    <t>Embodied energy analysis of adobe house</t>
  </si>
  <si>
    <t>Estimation of CO2 emission of apartment buildings due to major construction materials in the Republic of Korea</t>
  </si>
  <si>
    <t>Case A</t>
  </si>
  <si>
    <t>Units of apartment buildings in Korea</t>
  </si>
  <si>
    <t>All of th information is given per apartment unit</t>
  </si>
  <si>
    <t>Case B</t>
  </si>
  <si>
    <t>Case C</t>
  </si>
  <si>
    <t>Case D</t>
  </si>
  <si>
    <t>Case E</t>
  </si>
  <si>
    <t>Case F</t>
  </si>
  <si>
    <t>2D takeoff</t>
  </si>
  <si>
    <t>Ready-mixed concrete</t>
  </si>
  <si>
    <t xml:space="preserve">We miss the number of residents, the assumptions would be too broad. </t>
  </si>
  <si>
    <t>Hong Kong, China</t>
  </si>
  <si>
    <t>https://uk.saint-gobain-building-glass.com/en-gb/architects/physical-properties</t>
  </si>
  <si>
    <t>Development of an automated estimator of life-cycle carbon emissions for residential buildings: A case study in Nanjing, China</t>
  </si>
  <si>
    <t>Masonry-concrete residential building</t>
  </si>
  <si>
    <t>Wooden structure</t>
  </si>
  <si>
    <t>Life cycle greenhouse gas emissions and energy analysis of prefabricated
reusable building modules</t>
  </si>
  <si>
    <t>Life-cycle energy analysis of buildings: a case study</t>
  </si>
  <si>
    <t>Green Home</t>
  </si>
  <si>
    <t xml:space="preserve">Brick veneer house designed by
Taylor Oppenheim Architects </t>
  </si>
  <si>
    <t xml:space="preserve">"Green home" with energy saving measures </t>
  </si>
  <si>
    <t>The material density is given by the study (p. 74)</t>
  </si>
  <si>
    <t>Towards a comprehensive energy assessment of residential buildings</t>
  </si>
  <si>
    <t>Study Building</t>
  </si>
  <si>
    <t>Reference Building</t>
  </si>
  <si>
    <t xml:space="preserve">From the GFA we deduct the balcony space </t>
  </si>
  <si>
    <t>Light weight timber frame on concrete
and screw-pile foundations. Exterior walls of rendered phenolic foam panels. Floor system employing
engineered timber joists installed in
‘cassette’ modules. Filled concrete
block lift and stair core.</t>
  </si>
  <si>
    <t>Precast concrete panels installed on a
concrete and pile foundation. Floors of post-tensioned concrete slabs cast insitu. Exterior walls of precast concrete panels. Precast concrete panel lift and stair core.</t>
  </si>
  <si>
    <t>Parkville is an inner-city suburb of Melbourne, Victoria, Australia</t>
  </si>
  <si>
    <t>Parkville, Australia</t>
  </si>
  <si>
    <t>Number of residents is asumed from this article</t>
  </si>
  <si>
    <t>25 South Asia (Sri Lanka, Nepal)</t>
  </si>
  <si>
    <t xml:space="preserve">Apartment Buildings (below 4 floors) </t>
  </si>
  <si>
    <t>High-Rise Buildings (above 4 floors)</t>
  </si>
  <si>
    <t>Detached Houses</t>
  </si>
  <si>
    <t xml:space="preserve">Row Houses </t>
  </si>
  <si>
    <t>Missing information</t>
  </si>
  <si>
    <t>Scarce information</t>
  </si>
  <si>
    <t>Sufficient information</t>
  </si>
  <si>
    <t>At least 3 of the building types are covered</t>
  </si>
  <si>
    <t>8 Western Africa (Cameroon, Nigeria)</t>
  </si>
  <si>
    <t>21 South Eastern Asia (Malaysia, Thailand)</t>
  </si>
  <si>
    <t>A detailed analysis of the embodied energy and carbon emissions of steel-construction residential buildings in China</t>
  </si>
  <si>
    <t>Dujiangyan, Sichuan province, China</t>
  </si>
  <si>
    <t>Luhe district, Nanjing, China</t>
  </si>
  <si>
    <t>The m2/capita is taken from the previous study</t>
  </si>
  <si>
    <t xml:space="preserve">There is no information about the number of residents </t>
  </si>
  <si>
    <t>Disaster reconstruction housing projects after Wenchuan earthquake in May 2008 in China</t>
  </si>
  <si>
    <t>Baiguoba village, Nanchuan District of Chongqing, China</t>
  </si>
  <si>
    <t>The number of residents is assumed. 2 families live in the house.</t>
  </si>
  <si>
    <t>Items classified as iron are summed with steel</t>
  </si>
  <si>
    <t>items classified as iron are assumed to be steel</t>
  </si>
  <si>
    <t>Foam glass used as constuction and insulationmaterial for the foundation</t>
  </si>
  <si>
    <t>Used for region 11 &amp; 12 (West- &amp; Eastern Europe)</t>
  </si>
  <si>
    <t>Traditional wooden house</t>
  </si>
  <si>
    <t>2x4 Wooden house</t>
  </si>
  <si>
    <t>Urban stock over time: spatial material stock analysis using 4d-GIS</t>
  </si>
  <si>
    <t>Reinforced concrete-based</t>
  </si>
  <si>
    <t>RC building</t>
  </si>
  <si>
    <t>R4: CONDOMINIUM</t>
  </si>
  <si>
    <t>Before 1990</t>
  </si>
  <si>
    <t>Comment 2</t>
  </si>
  <si>
    <t>The number of residents is given by the study</t>
  </si>
  <si>
    <t>A case study on life cycle energy use of residential building in Southern India</t>
  </si>
  <si>
    <t>Material flow analysis of the residential building stock at the city of Rio de Janeiro</t>
  </si>
  <si>
    <t>Relative importance of electricity sources and construction practices in residential buildings: A Swiss-US comparison of energy relatedlife-cycle impacts</t>
  </si>
  <si>
    <t>Relative importance of electricity sources and construction practices in residential buildings: A Swiss-US comparison of energy related life-cycle impacts</t>
  </si>
  <si>
    <t>Materials demand and environmental impact of buildings construction and demolition in China based on dynamic material flow analysis</t>
  </si>
  <si>
    <t>Emergy-based life cycle assessment (Em-LCA) of multi-unit and single-family residential buildings in Canada</t>
  </si>
  <si>
    <t>Environmental assessment of popular single-family house construction alternatives in Jordan</t>
  </si>
  <si>
    <t>Building-information-modeling enabled life cycle assessment, a case study on carbon footprint accounting for a residential building in China</t>
  </si>
  <si>
    <t>Life cycle assessment of a single-family residential building in Canada: A case study</t>
  </si>
  <si>
    <t>DOI</t>
  </si>
  <si>
    <t>Kumar, V., Hewage, K., &amp; Sadiq, R. (2015). Life Cycle Assessment of Residential Buildings. A Case Study in Canada. Engineering and Technology International Journal of Energy and Environmental Engineering, 9(8), 1017–1024</t>
  </si>
  <si>
    <t>Zhang, W., Tan, S., Lei, Y., &amp; Wang, S. (2014). Life cycle assessment of a single-family residential building in Canada: A case study. Building Simulation. https://doi.org/10.1007/s12273-013-0159-y</t>
  </si>
  <si>
    <t>Two-story dwelling house with low-pitched roof with rain screen stones on the ground-floor facades and stucco on the second floor</t>
  </si>
  <si>
    <t>Single-family house</t>
  </si>
  <si>
    <t xml:space="preserve"> Multi-unit condominium residential</t>
  </si>
  <si>
    <t>Blanchard &amp; Reppe, 1998</t>
  </si>
  <si>
    <t>Mosteiro-Romero et al., 2014</t>
  </si>
  <si>
    <t>Mosteiro-Romero, M., Krogmann, U., Wallbaum, H., Ostermeyer, Y., Senick, J. S., &amp; Andrews, C. J. (2014). Relative importance of electricity sources and construction practices in residential buildings: A Swiss-US comparison of energy related life-cycle impacts. Energy and Buildings. https://doi.org/10.1016/j.enbuild.2013.09.046</t>
  </si>
  <si>
    <t>Reyna, J. L., &amp; Chester, M. V. (2015). The Growth of Urban Building Stock: Unintended Lock-in and Embedded Environmental Effects. Journal of Industrial Ecology. https://doi.org/10.1111/jiec.12211</t>
  </si>
  <si>
    <t>Reyna &amp; Chester, 2015</t>
  </si>
  <si>
    <t>Evangelista, P. P. A., Kiperstok, A., Torres, E. A., &amp; Gonçalves, J. P. (2018). Environmental performance analysis of residential buildings in Brazil using life cycle assessment (LCA). Construction and Building Materials</t>
  </si>
  <si>
    <t>Condeixa, Haddad, &amp; Boer, 2017</t>
  </si>
  <si>
    <t>Mesta, Kahhat, &amp; Santa-Cruz, 2018</t>
  </si>
  <si>
    <t>Mesta, C., Kahhat, R., &amp; Santa-Cruz, S. (2018). Geospatial Characterization of Material Stock in the Residential Sector of a Latin-American City. Journal of Industrial Ecology. https://doi.org/10.1111/jiec.12723</t>
  </si>
  <si>
    <t>Oyarzo &amp; Peuportier, 2014</t>
  </si>
  <si>
    <t>Oyarzo, J., &amp; Peuportier, B. (2014). Life cycle assessment model applied to housing in Chile. Journal of Cleaner Production, 69(March 2012), 109–116. https://doi.org/10.1016/j.jclepro.2014.01.090</t>
  </si>
  <si>
    <t>Ortiz-Rodríguez, O., Castells, F., &amp; Sonnemann, G. (2010). Life cycle assessment of two dwellings: One in Spain, a developed country, and one in Colombia, a country under development. Science of the Total Environment. https://doi.org/10.1016/j.scitotenv.2010.02.021</t>
  </si>
  <si>
    <t>F.Henry, A., G.Elambo, N., J.H.M., T., E.N.Fabrice, O., &amp; M.Blanche, M. (2014). Embodied Energy and CO2 Analyses of Mud-brick and Cement-block Houses. AIMS Energy. https://doi.org/10.3934/energy.2014.1.18</t>
  </si>
  <si>
    <t>Ezema &amp; Olotuah, 2015</t>
  </si>
  <si>
    <t>Ezema, I. C., &amp; Olotuah, A. O. (2015). Estimating Embodied Energy in Residential Buildings in a Nigerian Context. Article in International Journal of Applied Engineering Research. Retrieved from http://www.ripublication.com</t>
  </si>
  <si>
    <t>Van Beers &amp; Graedel, 2003</t>
  </si>
  <si>
    <t>Van Beers, D., &amp; Graedel, T. E. (2003). The magnitude and spatial distribution of in-use copper stocks in Cape Town, South Africa. South African Journal of Science</t>
  </si>
  <si>
    <t>Nemry &amp; Uihlein, 2008</t>
  </si>
  <si>
    <t>Nemry, F., &amp; Uihlein, A. (2008). Environmental Improvement Potentials of Residential Buildings (IMPRO-Building). https://doi.org/10.2791/38942</t>
  </si>
  <si>
    <t>Asif, Muneer, &amp; Kelley, 2005</t>
  </si>
  <si>
    <t>Asif, M. Ã., Muneer, T., &amp; Kelley, R. (2005). Life cycle assessment : A case study of a dwelling home in Scotland. Building and Environment, 42, 1391–1394</t>
  </si>
  <si>
    <t>Stephan, 2013</t>
  </si>
  <si>
    <t>Stephan, A. (2013). Towards a comprehensive energy assessment of residential buildings. The University of Melbourne, Australia. Retrieved from www.msd.unimelb.edu.au</t>
  </si>
  <si>
    <t>Cuéllar-Franca &amp; Azapagic, 2012</t>
  </si>
  <si>
    <t>Cuéllar-Franca, R. M., &amp; Azapagic, A. (2012). Environmental impacts of the UK residential sector: Life cycle assessment of houses. Building and Environment</t>
  </si>
  <si>
    <t>Buyle, Audenaert, Braet, &amp; Debacker, 2015</t>
  </si>
  <si>
    <t>Buyle, M., Audenaert, A., Braet, J., &amp; Debacker, W. (2015). Towards a More Sustainable Building Stock: Optimizing a Flemish Dwelling Using a Life Cycle Approach. Buildings. https://doi.org/10.3390/buildings5020424</t>
  </si>
  <si>
    <t>Pajchrowski, Noskowiak, Lewandowska, &amp; Strykowski, 2014</t>
  </si>
  <si>
    <t>Pajchrowski, G., Noskowiak, A., Lewandowska, A., &amp; Strykowski, W. (2014). Wood as a building material in the light of environmental assessment of full life cycle of four buildings. Construction and Building Materials</t>
  </si>
  <si>
    <t>Atmaca &amp; Atmaca, 2015</t>
  </si>
  <si>
    <t>Life cycle energy (LCEA) and carbon dioxide emissions (LCCO2A) assessment of two residential buildings in Gaziantep, Turkey</t>
  </si>
  <si>
    <t>Atmaca, A., &amp; Atmaca, N. (2015). Life cycle energy (LCEA) and carbon dioxide emissions (LCCO2A) assessment of two residential buildings in Gaziantep, Turkey. Energy and Buildings https://doi.org/10.1016/j.enbuild.2015.06.008</t>
  </si>
  <si>
    <t>Stephan &amp; Stephan, 2014</t>
  </si>
  <si>
    <t>Stephan, A., &amp; Stephan, L. (2014). Reducing the total life cycle energy demand of recent residential buildings in Lebanon. Energy. https://doi.org/10.1016/j.energy.2014.07.028</t>
  </si>
  <si>
    <t>Asif, M., Dehwah, A., Ashraf, F., Khan, H., Shaukat, M., &amp; Hassan, M. (2017). Life Cycle Assessment of a Three-Bedroom House in Saudi Arabia. Environments. https://doi.org/10.3390/environments4030052</t>
  </si>
  <si>
    <t>El Hanandeh, A. (2015). Environmental assessment of popular single-family house construction alternatives in Jordan. Building and Environment. https://doi.org/10.1016/j.buildenv.2015.04.032</t>
  </si>
  <si>
    <t>Pinky Devi &amp; Palaniappan, 2014</t>
  </si>
  <si>
    <t>Pinky Devi, L., &amp; Palaniappan, S. (2014). A case study on life cycle energy use of residential building in Southern India. Energy and Buildings. https://doi.org/10.1016/j.enbuild.2014.05.034</t>
  </si>
  <si>
    <t>Bansal, Singh, &amp; Sawhney, 2014</t>
  </si>
  <si>
    <t>Bansal, D., Singh, R., &amp; Sawhney, R. L. (2014). Effect of construction materials on embodied energy and cost of buildings - A case study of residential houses in India up to 60 m2of plinth area. Energy and Buildings. https://doi.org/10.1016/j.enbuild.2013.11.006</t>
  </si>
  <si>
    <t>Sharma &amp; Marwaha, 2015</t>
  </si>
  <si>
    <t>Sharma, A., &amp; Marwaha, B. M. (2015). A methodology for energy performance classification of residential building stock of Hamirpur. HBRC Journal. https://doi.org/10.1016/j.hbrcj.2015.11.003</t>
  </si>
  <si>
    <t>Ramesh, Prakash, &amp; Shukla, 2012</t>
  </si>
  <si>
    <t>Ramesh, T., Prakash, R., &amp; Shukla, K. K. (2012). Life cycle energy analysis of a residential building with different envelopes and climates in Indian context. Applied Energy https://doi.org/10.1016/j.apenergy.2011.05.054</t>
  </si>
  <si>
    <t>Shukla, Tiwari, &amp; Sodha, 2009</t>
  </si>
  <si>
    <t>Shukla, A., Tiwari, G. N., &amp; Sodha, M. S. (2009). Embodied energy analysis of adobe house. Renewable Energy. https://doi.org/10.1016/j.renene.2008.04.002</t>
  </si>
  <si>
    <t>Lee, Tae, Gong, &amp; Roh, 2017</t>
  </si>
  <si>
    <t>Lee, N., Tae, S., Gong, Y., &amp; Roh, S. (2017). Integrated building life-cycle assessment model to support South Korea’s green building certification system (G-SEED). Renewable and Sustainable Energy Reviews. https://doi.org/10.1016/j.rser.2017.03.038</t>
  </si>
  <si>
    <t>Jeong, Lee, &amp; Huh, 2012</t>
  </si>
  <si>
    <t>Jeong, Y.-S., Lee, S.-E., &amp; Huh, J.-H. (2012). Estimation of CO 2 emission of apartment buildings due to major construction materials in the Republic of Korea. Energy and Buildings, 49, 437–442. https://doi.org/10.1016/j.enbuild.2012.02.041</t>
  </si>
  <si>
    <t>Lee, Tae, Roh, &amp; Kim, 2015</t>
  </si>
  <si>
    <t>Lee, S., Tae, S., Roh, S., &amp; Kim, T. (2015). Green template for life cycle assessment of buildings based on building information modeling: Focus on embodied environmental impact. Sustainability (Switzerland). https://doi.org/10.3390/su71215830</t>
  </si>
  <si>
    <t>Chen, Burnett, &amp; Chau, 2001</t>
  </si>
  <si>
    <t>Chen, T. Y., Burnett, J., &amp; Chau, C. K. (2001). Analysis of embodied energy use in the residential building of Hong Kong. Energy (Vol. 26). Retrieved from www.elsevier.com/locate/energy</t>
  </si>
  <si>
    <t>Huang, Shi, Tanikawa, Fei, &amp; Han, 2013</t>
  </si>
  <si>
    <t>Huang, T., Shi, F., Tanikawa, H., Fei, J., &amp; Han, J. (2013). Materials demand and environmental impact of buildings construction and demolition in China based on dynamic material flow analysis. Resources, Conservation and Recycling, 72, 91–101. https://doi.org/10.1016/j.resconrec.2012.12.013</t>
  </si>
  <si>
    <t>Li, Cui, &amp; Lu, 2016</t>
  </si>
  <si>
    <t>Li, D., Cui, P., &amp; Lu, Y. (2016). Development of an automated estimator of life-cycle carbon emissions for residential buildings: A case study in Nanjing, China. Habitat International. https://doi.org/10.1016/j.habitatint.2016.07.003</t>
  </si>
  <si>
    <t>Su &amp; Zhang, 2016</t>
  </si>
  <si>
    <t>Su, X., &amp; Zhang, X. (2016). A detailed analysis of the embodied energy and carbon emissions of steel-construction residential buildings in China. Energy and Buildings. https://doi.org/10.1016/j.enbuild.2016.03.070</t>
  </si>
  <si>
    <t>Yang, Hu, Wu, &amp; Zhao, 2018</t>
  </si>
  <si>
    <t>Yang, X., Hu, M., Wu, J., &amp; Zhao, B. (2018). Building-information-modeling enabled life cycle assessment, a case study on carbon footprint accounting for a residential building in China. Journal of Cleaner Production. https://doi.org/10.1016/j.jclepro.2018.02.070</t>
  </si>
  <si>
    <t>Jia Wen, Chin Siong, &amp; Noor, 2015</t>
  </si>
  <si>
    <t>Jia Wen, T., Chin Siong, H., &amp; Noor, Z. Z. (2015). Assessment of embodied energy and global warming potential of building construction using life cycle analysis approach: Case studies of residential buildings in Iskandar Malaysia. Energy and Buildings. https://doi.org/10.1016/j.enbuild.2014.12.002</t>
  </si>
  <si>
    <t>Abd Rashid, Idris, &amp; Yusoff, 2017</t>
  </si>
  <si>
    <t>Abd Rashid, A., Idris, J., &amp; Yusoff, S. (2017). Environmental Impact Analysis on Residential Building in Malaysia Using Life Cycle Assessment. Sustainability. https://doi.org/10.3390/su9030329</t>
  </si>
  <si>
    <t>Utama &amp; Gheewala, 2009</t>
  </si>
  <si>
    <t>Utama, A., &amp; Gheewala, S. H. (2009). Indonesian residential high rise buildings: A life cycle energy assessment. Energy and Buildings. https://doi.org/10.1016/j.enbuild.2009.07.025</t>
  </si>
  <si>
    <t>Utama &amp; Gheewala, 2008</t>
  </si>
  <si>
    <t>Gelang Patah, Johor
Bahru, Malaysia</t>
  </si>
  <si>
    <t>Skudai, Johor Bahru, Malaysia</t>
  </si>
  <si>
    <t>Seri Kembangan, Malaysia</t>
  </si>
  <si>
    <t>Jakarta, Indonesia</t>
  </si>
  <si>
    <t>Semarang, Java, Indonesia</t>
  </si>
  <si>
    <t>Suzuki, Oka, &amp; Okada, 1995</t>
  </si>
  <si>
    <t>Suzuki, M., Oka, T., &amp; Okada, K. (1995). The estimation of energy consumption and CO2 emission due to housing construction in Japan. Energy and Buildings. https://doi.org/10.1016/0378-7788(95)00914-J</t>
  </si>
  <si>
    <t>Tanikawa &amp; Hashimoto, 2009</t>
  </si>
  <si>
    <t>Tanikawa, H., &amp; Hashimoto, S. (2009). Urban stock over time: Spatial material stock analysis using 4d-GIS. Building Research and Information. https://doi.org/10.1080/09613210903169394</t>
  </si>
  <si>
    <t>﻿The global warming potential of building materials: an application of life cycle analysis in Nepal</t>
  </si>
  <si>
    <t>Bhochhibhoya, S., Zanetti, M., Pierobon, F., Gatto, P., Maskey, R. K., &amp; Cavalli, R. (2017). The global warming potential of building materials: an application of life cycle analysis in Nepal. Mountain Research and Development, 37(1), 47–55. https://doi.org/10.1659/MRD-JOURNAL-D-15-00043.1</t>
  </si>
  <si>
    <t>A comparative life cycle assessment of two multi storey residential apartment buildings</t>
  </si>
  <si>
    <t>Rauf &amp; Crawford, 2015</t>
  </si>
  <si>
    <t>Rauf, A., &amp; Crawford, R. H. (2015). Building service life and its effect on the life cycle embodied energy of buildings. Energy. https://doi.org/10.1016/j.energy.2014.10.093</t>
  </si>
  <si>
    <t>Carre, A. (2011). A Comparative Life Cycle Assessment of Alternative Constructions of a Typical Australian House Design (Vol. 61)</t>
  </si>
  <si>
    <t>Carre, 2011</t>
  </si>
  <si>
    <t>Johnstone, 1999</t>
  </si>
  <si>
    <t>Johnstone, I. (1999). Energy and mass flows of housing: a model and example. Building and Environment, 36, 27–41. Retrieved from www.elsevier.com/locate/buildenv</t>
  </si>
  <si>
    <t>Energy and mass flows of housing: a model and example. Building and Environment</t>
  </si>
  <si>
    <t>Aye, Ngo, Crawford, Gammampila, &amp; Mendis, 2011</t>
  </si>
  <si>
    <t>Aye, L., Ngo, T., Crawford, R. H., Gammampila, R., &amp; Mendis, P. (2011). Life cycle greenhouse gas emissions and energy analysis of prefabricated reusable building modules. Energy and Buildings, 47, 159–168. https://doi.org/10.1016/j.enbuild.2011.11.049</t>
  </si>
  <si>
    <t>Fay, Treloar, &amp; Iyer-Raniga, 2000</t>
  </si>
  <si>
    <t>Fay, R., Treloar, G., &amp; Iyer-Raniga, U. (2000). Life-cycle energy analysis of buildings: a case study. Building Research &amp; Information (Vol. 28)</t>
  </si>
  <si>
    <t>Carre &amp; Crossin, 2015</t>
  </si>
  <si>
    <t>Carre, A., &amp; Crossin, E. (2015). A comparative life cycle assessment of two multi storey residential apartment buildings. Retrieved from www.fwpa.com.au</t>
  </si>
  <si>
    <t>﻿Environmental impacts of the UK residential sector: Life cycle assessment of houses</t>
  </si>
  <si>
    <t>Environmental Improvement Potentials of Residential Buildings (IMPRO-Building)</t>
  </si>
  <si>
    <t>Assessment of embodied energy and global warming potential of building construction using life cycle analysis approach: Case studies of residential buildings in Iskandar Malaysia</t>
  </si>
  <si>
    <r>
      <t xml:space="preserve">Stephan, A., &amp; Athanassiadis, A. (2018). Towards a more circular construction sector: Estimating and spatialising current and future non-structural material replacement flows to maintain urban building stocks.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129</t>
    </r>
    <r>
      <rPr>
        <sz val="11"/>
        <color theme="1"/>
        <rFont val="Calibri"/>
        <family val="2"/>
        <scheme val="minor"/>
      </rPr>
      <t>(April 2017), 248–262. https://doi.org/10.1016/j.resconrec.2017.09.022</t>
    </r>
  </si>
  <si>
    <t>Stephan &amp; Athanassiadis, 2018</t>
  </si>
  <si>
    <t>Towards a more sustainable building stock: Optimizing a flemish dwelling using a life cycle approach</t>
  </si>
  <si>
    <t>﻿A spatial analysis of material stock accumulation and demolition waste potential of buildings: A case study of Padua</t>
  </si>
  <si>
    <r>
      <t xml:space="preserve">Miatto, A., Schandl, H., Forlin, L., Ronzani, F., Borin, P., Giordano, A., &amp; Tanikawa, H. (2019). A spatial analysis of material stock accumulation and demolition waste potential of buildings: A case study of Padua. </t>
    </r>
    <r>
      <rPr>
        <i/>
        <sz val="12"/>
        <color theme="1"/>
        <rFont val="Calibri"/>
        <family val="2"/>
        <scheme val="minor"/>
      </rPr>
      <t>Resources, Conservation and Recycling</t>
    </r>
    <r>
      <rPr>
        <sz val="12"/>
        <color theme="1"/>
        <rFont val="Calibri"/>
        <family val="2"/>
        <scheme val="minor"/>
      </rPr>
      <t xml:space="preserve">, </t>
    </r>
    <r>
      <rPr>
        <i/>
        <sz val="12"/>
        <color theme="1"/>
        <rFont val="Calibri"/>
        <family val="2"/>
        <scheme val="minor"/>
      </rPr>
      <t>142</t>
    </r>
    <r>
      <rPr>
        <sz val="12"/>
        <color theme="1"/>
        <rFont val="Calibri"/>
        <family val="2"/>
        <scheme val="minor"/>
      </rPr>
      <t>(July 2018), 245–256. https://doi.org/10.1016/j.resconrec.2018.12.011</t>
    </r>
  </si>
  <si>
    <t>Gontia, Nägeli, Rosado, Kalmykova, &amp; Österbring, 2018</t>
  </si>
  <si>
    <t>Miatto et al., 2019</t>
  </si>
  <si>
    <t>Sweden</t>
  </si>
  <si>
    <t>SF1920</t>
  </si>
  <si>
    <t>SF1930</t>
  </si>
  <si>
    <t>SF1940</t>
  </si>
  <si>
    <t>SF1950</t>
  </si>
  <si>
    <t>SF1960</t>
  </si>
  <si>
    <t>SF1970</t>
  </si>
  <si>
    <t>SF1980</t>
  </si>
  <si>
    <t>SF1990</t>
  </si>
  <si>
    <t>SF2000</t>
  </si>
  <si>
    <t>WMF1920</t>
  </si>
  <si>
    <t>WMF1930</t>
  </si>
  <si>
    <t>WMF1990</t>
  </si>
  <si>
    <t>WBMF1920</t>
  </si>
  <si>
    <t>BMF1920.1</t>
  </si>
  <si>
    <t>BMF1920.2</t>
  </si>
  <si>
    <t>BMF1930.1</t>
  </si>
  <si>
    <t>BMF1930.2</t>
  </si>
  <si>
    <t>BMF1940.1</t>
  </si>
  <si>
    <t>BMF1940.2</t>
  </si>
  <si>
    <t>CMF2000</t>
  </si>
  <si>
    <t>CMF1980.2</t>
  </si>
  <si>
    <t>CMF1980.1</t>
  </si>
  <si>
    <t>CMF1970.3</t>
  </si>
  <si>
    <t>CMF1970.2</t>
  </si>
  <si>
    <t>CMF1970.1</t>
  </si>
  <si>
    <t>CMF1960.4</t>
  </si>
  <si>
    <t>CMF1960.3</t>
  </si>
  <si>
    <t>CMF1960.2</t>
  </si>
  <si>
    <t>CMF1960.1</t>
  </si>
  <si>
    <t xml:space="preserve">CMF1950 </t>
  </si>
  <si>
    <t>CMF1940.2</t>
  </si>
  <si>
    <t>CMF1940.1</t>
  </si>
  <si>
    <t>Padua, Italy</t>
  </si>
  <si>
    <t>Small residential</t>
  </si>
  <si>
    <t xml:space="preserve">Large residential </t>
  </si>
  <si>
    <t>Medium residential</t>
  </si>
  <si>
    <t>up to 2</t>
  </si>
  <si>
    <t>between 3 and 4</t>
  </si>
  <si>
    <t>5 and more</t>
  </si>
  <si>
    <t>Legend</t>
  </si>
  <si>
    <t>Zhang, Tan, Lei, &amp; Wang, 2014</t>
  </si>
  <si>
    <t>Kumar, Hewage, &amp; Sadiq, 2015</t>
  </si>
  <si>
    <t>Reza, Sadiq, &amp; Hewage, 2014</t>
  </si>
  <si>
    <t>https://doi.org/10.1007/s12273-013-0159-y</t>
  </si>
  <si>
    <t>Life cycle assessment of residential buildings: A case study in Canada</t>
  </si>
  <si>
    <t>https://doi.org/10.5281/zenodo.1107700</t>
  </si>
  <si>
    <t>﻿http://dx.doi.org/10.1016/j.ijsbe.2014.09.001</t>
  </si>
  <si>
    <r>
      <t xml:space="preserve">Reza, B., Sadiq, R., &amp; Hewage, K. (2014). Emergy-based life cycle assessment (Em-LCA) of multi-unit and single-family residential buildings in Canada. </t>
    </r>
    <r>
      <rPr>
        <i/>
        <sz val="12"/>
        <color theme="1"/>
        <rFont val="Calibri"/>
        <family val="2"/>
        <scheme val="minor"/>
      </rPr>
      <t>International Journal of Sustainable Built Environment</t>
    </r>
    <r>
      <rPr>
        <sz val="12"/>
        <color theme="1"/>
        <rFont val="Calibri"/>
        <family val="2"/>
        <scheme val="minor"/>
      </rPr>
      <t xml:space="preserve">, </t>
    </r>
    <r>
      <rPr>
        <i/>
        <sz val="12"/>
        <color theme="1"/>
        <rFont val="Calibri"/>
        <family val="2"/>
        <scheme val="minor"/>
      </rPr>
      <t>3</t>
    </r>
    <r>
      <rPr>
        <sz val="12"/>
        <color theme="1"/>
        <rFont val="Calibri"/>
        <family val="2"/>
        <scheme val="minor"/>
      </rPr>
      <t>(2), 207–224. https://doi.org/10.1016/j.ijsbe.2014.09.001</t>
    </r>
  </si>
  <si>
    <t xml:space="preserve">
Concrete columns and beams for structure load bearing, whereas, other houses have traditional strip footing foundations.</t>
  </si>
  <si>
    <t>﻿http://www.umich.edu/~css</t>
  </si>
  <si>
    <t>https://doi.org/10.1016/j.enbuild.2013.09.046</t>
  </si>
  <si>
    <t>https://doi.org/10.1111/jiec.12211</t>
  </si>
  <si>
    <t>https://doi.org/10.1016/j.conbuildmat.2018.02.045</t>
  </si>
  <si>
    <t>Evangelista, Kiperstok, Torres, &amp; Gonçalves, 2018</t>
  </si>
  <si>
    <r>
      <t xml:space="preserve">Condeixa, K., Haddad, A., &amp; Boer, D. (2017). Material flow analysis of the residential building stock at the city of Rio de Janeiro. </t>
    </r>
    <r>
      <rPr>
        <i/>
        <sz val="12"/>
        <color theme="1"/>
        <rFont val="Calibri"/>
        <family val="2"/>
        <scheme val="minor"/>
      </rPr>
      <t>Journal of Cleaner Production</t>
    </r>
    <r>
      <rPr>
        <sz val="12"/>
        <color theme="1"/>
        <rFont val="Calibri"/>
        <family val="2"/>
        <scheme val="minor"/>
      </rPr>
      <t>. https://doi.org/10.1016/j.jclepro.2017.02.080</t>
    </r>
  </si>
  <si>
    <t>https://doi.org/10.1016/j.jclepro.2017.02.080</t>
  </si>
  <si>
    <t>https://doi.org/10.1111/jiec.12723</t>
  </si>
  <si>
    <t>Geospatial characterization of material stock in the residential sector of a Latin-American cty</t>
  </si>
  <si>
    <t>https://doi.org/10.1016/j.jclepro.2014.01.090</t>
  </si>
  <si>
    <t>https://doi.org/10.1016/j.scitotenv.2010.02.021</t>
  </si>
  <si>
    <t>Ortiz-Rodríguez, Castells, &amp; Sonnemann, 2010</t>
  </si>
  <si>
    <t>https://doi.org/10.3934/energy.2014.1.18</t>
  </si>
  <si>
    <t>Embodied energy and CO2 analyses of mud-brick and cement-block houses</t>
  </si>
  <si>
    <t>F.Henry, G.Elambo, J.H.M., E.N.Fabrice, &amp; M.Blanche, 2014</t>
  </si>
  <si>
    <t>http://www.ripublication.com</t>
  </si>
  <si>
    <t>https://hdl.handle.net/10520/EJC97582</t>
  </si>
  <si>
    <t>https://doi.org/10.2791/38942</t>
  </si>
  <si>
    <t>https://doi.org/10.1016/j.enbuild.2015.06.008</t>
  </si>
  <si>
    <t>https://doi.org/10.1016/j.energy.2014.07.028</t>
  </si>
  <si>
    <t>Life cycle assessment of a three-bedroom house in Saudi Arabia</t>
  </si>
  <si>
    <t>between 2008 and 2011</t>
  </si>
  <si>
    <t>between 2008 and 2012</t>
  </si>
  <si>
    <t>https://doi.org/10.1016/j.enbuild.2014.05.034</t>
  </si>
  <si>
    <t>Effect of construction materials on embodied energy and cost of buildings - A case study of residential houses in India up to 60 m2 of plinth area</t>
  </si>
  <si>
    <t>https://doi.org/10.1016/j.enbuild.2013.11.006</t>
  </si>
  <si>
    <t>https://doi.org/10.1016/j.hbrcj.2015.11.003</t>
  </si>
  <si>
    <t>https://doi.org/10.1016/j.apenergy.2011.05.054</t>
  </si>
  <si>
    <t>https://doi.org/10.1016/j.renene.2008.04.002</t>
  </si>
  <si>
    <t>https://doi.org/10.1016/j.rser.2017.03.038</t>
  </si>
  <si>
    <t>https://doi.org/10.1016/j.enbuild.2012.02.041</t>
  </si>
  <si>
    <t>https://doi.org/10.3390/su71215830</t>
  </si>
  <si>
    <t>Green template for life cycle assessment of buildings based on building information modeling: Focus on embodied environmental impact</t>
  </si>
  <si>
    <t>﻿www.elsevier.com/locate/energy</t>
  </si>
  <si>
    <t>https://doi.org/10.1016/j.resconrec.2012.12.013</t>
  </si>
  <si>
    <t>https://doi.org/10.1016/j.habitatint.2016.07.003</t>
  </si>
  <si>
    <t>https://doi.org/10.1016/j.enbuild.2016.03.070</t>
  </si>
  <si>
    <t>https://doi.org/10.1016/j.jclepro.2018.02.070</t>
  </si>
  <si>
    <t>https://doi.org/10.1016/j.enbuild.2014.12.002</t>
  </si>
  <si>
    <t>Environmental impact analysis on residential building in Malaysia using life cycle assessment</t>
  </si>
  <si>
    <t>https://doi.org/10.3390/su9030329</t>
  </si>
  <si>
    <t>https://doi.org/10.1016/j.enbuild.2009.07.025</t>
  </si>
  <si>
    <t>High-rise apartment</t>
  </si>
  <si>
    <t>https://doi.org/10.1016/0378-7788(95)00914-J</t>
  </si>
  <si>
    <t>https://doi.org/10.1080/09613210903169394</t>
  </si>
  <si>
    <t>https://doi.org/10.1016/j.resconrec.2017.09.022</t>
  </si>
  <si>
    <t>https://doi.org/10.1016/j.energy.2014.10.093</t>
  </si>
  <si>
    <t>A comparative life cycle assessment of alternative constructions of a typical Australian house design</t>
  </si>
  <si>
    <t>﻿www.fwpa.com.au</t>
  </si>
  <si>
    <t>www.elsevier.com/locate/buildenv</t>
  </si>
  <si>
    <t>https://doi.org/10.1016/j.enbuild.2011.11.049</t>
  </si>
  <si>
    <t>https://doi.org/10.1080/096132100369073</t>
  </si>
  <si>
    <t>www.fwpa.com.au</t>
  </si>
  <si>
    <t>https://doi.org/10.1659/MRD-JOURNAL-D-15-00043.1</t>
  </si>
  <si>
    <t xml:space="preserve">Global construction materials database and stock analysis of the residential buildings between 1970-2050 </t>
  </si>
  <si>
    <t>Appendix B. Supplementary data: The material quantities database</t>
  </si>
  <si>
    <t>Content</t>
  </si>
  <si>
    <t>Tables</t>
  </si>
  <si>
    <t xml:space="preserve">Database </t>
  </si>
  <si>
    <r>
      <rPr>
        <b/>
        <sz val="12"/>
        <color theme="1"/>
        <rFont val="Calibri"/>
        <family val="2"/>
        <scheme val="minor"/>
      </rPr>
      <t>Table 1.</t>
    </r>
    <r>
      <rPr>
        <sz val="12"/>
        <color theme="1"/>
        <rFont val="Calibri"/>
        <family val="2"/>
        <scheme val="minor"/>
      </rPr>
      <t xml:space="preserve"> Data availability across regions and building types</t>
    </r>
  </si>
  <si>
    <r>
      <rPr>
        <b/>
        <sz val="12"/>
        <color theme="1"/>
        <rFont val="Calibri"/>
        <family val="2"/>
        <scheme val="minor"/>
      </rPr>
      <t>Table 2.</t>
    </r>
    <r>
      <rPr>
        <sz val="12"/>
        <color theme="1"/>
        <rFont val="Calibri"/>
        <family val="2"/>
        <scheme val="minor"/>
      </rPr>
      <t xml:space="preserve"> Data availability across regions and construction materials </t>
    </r>
  </si>
  <si>
    <t>1. Data availability across regions and building types</t>
  </si>
  <si>
    <t xml:space="preserve">2. Data availability across regions and construction materials </t>
  </si>
  <si>
    <r>
      <t>Sylvia Marinova, Sebastiaan Deetman, Ester van der Voet</t>
    </r>
    <r>
      <rPr>
        <sz val="16"/>
        <color theme="1"/>
        <rFont val="Calibri"/>
        <family val="2"/>
        <scheme val="minor"/>
      </rPr>
      <t>, Vassilis Daioglou</t>
    </r>
  </si>
  <si>
    <t>Region</t>
  </si>
  <si>
    <t>Building_type</t>
  </si>
  <si>
    <t>detached</t>
  </si>
  <si>
    <t>row</t>
  </si>
  <si>
    <t>apartments</t>
  </si>
  <si>
    <t>high-rise</t>
  </si>
  <si>
    <t>AVERAGES</t>
  </si>
  <si>
    <t xml:space="preserve">Red = </t>
  </si>
  <si>
    <t>ASSUMPTION MADE</t>
  </si>
  <si>
    <t>Detached houses average m2</t>
  </si>
  <si>
    <t>Row houses average m2</t>
  </si>
  <si>
    <t>Apartment building  average m2</t>
  </si>
  <si>
    <t>High-rise buildings average m2</t>
  </si>
  <si>
    <t>Apartment buildings  average m2</t>
  </si>
  <si>
    <t>Region 11</t>
  </si>
  <si>
    <t>Code</t>
  </si>
  <si>
    <t>MIN</t>
  </si>
  <si>
    <t>MAX</t>
  </si>
  <si>
    <t>MEAN</t>
  </si>
  <si>
    <t>Detached</t>
  </si>
  <si>
    <t>Semi-detached</t>
  </si>
  <si>
    <t>Appartments</t>
  </si>
  <si>
    <t>High-rise</t>
  </si>
  <si>
    <t>STDEV</t>
  </si>
  <si>
    <t>Material</t>
  </si>
  <si>
    <t>Type</t>
  </si>
  <si>
    <t>&lt;-- Number of studies</t>
  </si>
  <si>
    <t>COUNT</t>
  </si>
  <si>
    <t>ERROR_UP</t>
  </si>
  <si>
    <t>ERROR_DN</t>
  </si>
  <si>
    <t>Checked (value seemed an outlier, but is reported correctly)</t>
  </si>
  <si>
    <t>Diff to top</t>
  </si>
  <si>
    <t>BAR</t>
  </si>
  <si>
    <t>PERCENTILE</t>
  </si>
  <si>
    <t xml:space="preserve">Two outliers deleted: </t>
  </si>
  <si>
    <t>-</t>
  </si>
  <si>
    <t>Pajchrowski et al.</t>
  </si>
  <si>
    <t>region 12</t>
  </si>
  <si>
    <t>Glass in Detached houses</t>
  </si>
  <si>
    <t xml:space="preserve">Condeixa et al. </t>
  </si>
  <si>
    <t>region 5</t>
  </si>
  <si>
    <t>Wood in Detached houses</t>
  </si>
  <si>
    <t>Niel, Belgium</t>
  </si>
  <si>
    <t>Heeren et al., 2019</t>
  </si>
  <si>
    <t>Vienna, Austria</t>
  </si>
  <si>
    <t>Case study OBG</t>
  </si>
  <si>
    <t>Final Bill WHA PGH.</t>
  </si>
  <si>
    <t>LCA Data JAS</t>
  </si>
  <si>
    <t>LCA Data IBO1</t>
  </si>
  <si>
    <t>LCA Data IBO2</t>
  </si>
  <si>
    <t>LCA Data IBO3</t>
  </si>
  <si>
    <t>LCA Data IBO4</t>
  </si>
  <si>
    <t>LCA Data IBO5</t>
  </si>
  <si>
    <t>LCA Data IBO6</t>
  </si>
  <si>
    <t>LCA Data IBO7</t>
  </si>
  <si>
    <t>LCA Data IBO8</t>
  </si>
  <si>
    <t>LCA Data IBO9</t>
  </si>
  <si>
    <t>LCA Data IBO10</t>
  </si>
  <si>
    <t>MFH</t>
  </si>
  <si>
    <t>SFH, MFH</t>
  </si>
  <si>
    <t>Grenada</t>
  </si>
  <si>
    <t>Concrete Structure A (Concrete block walls; Concrete slab floor; Concrete pillar foundation; Timber + sheet steel roof)</t>
  </si>
  <si>
    <t>Timber Structure (Timber walls + siding; Timber floor; Concrete footing foundation; Timber + sheet steel roof)</t>
  </si>
  <si>
    <t>Concrete/Timber Mix Structure (Concrete block walls, concrete slab floor, concrete slab foundation; Timber + sheet steel roof)</t>
  </si>
  <si>
    <t>Heeren et al., 2020</t>
  </si>
  <si>
    <t>Heeren et al., 2021</t>
  </si>
  <si>
    <t>Heeren et al., 2022</t>
  </si>
  <si>
    <r>
      <t xml:space="preserve">Blanchard, S., &amp; Reppe, P. (1998). </t>
    </r>
    <r>
      <rPr>
        <sz val="12"/>
        <color theme="1"/>
        <rFont val="Calibri"/>
        <family val="2"/>
        <scheme val="minor"/>
      </rPr>
      <t>Life Cycle Analysis of a Residential Home in Michigan. Retrieved from http://www.umich.edu/~css</t>
    </r>
  </si>
  <si>
    <t>Heeren, N. and Fishman, T. (2019). A database seed for a community-driven material intensity research platform. Scientific Data, 6(1).</t>
  </si>
  <si>
    <t>https://doi.org/10.1038/s41597-019-0021-x</t>
  </si>
  <si>
    <t>A database seed for a community-driven material intensity research platform</t>
  </si>
  <si>
    <t xml:space="preserve">Shallow foundation, conventional structure in reinforced concrete, masonry in ceramic blocks. Walls and ceilings coated with PVA paint, floors and facade – granite, natural rocks and ceramic tiles and gypsum ceilings cladding. Wood structure and fiber  roof tiles </t>
  </si>
  <si>
    <t>RC apartment buildings are composed of structural frames with columns, beams, and shear walls, which support similar floors as the ones described in the brick masonry houses. Typically, interior walls are made of hollow clay bricks</t>
  </si>
  <si>
    <t>The avarage dwelling size is taken from another source. The number of residents is assumed.</t>
  </si>
  <si>
    <t>Comment 1</t>
  </si>
  <si>
    <t>It is assumed that one solid CC block weights 26 kg</t>
  </si>
  <si>
    <t>Residential building, urban, simple</t>
  </si>
  <si>
    <t>Residential building, urban, medium</t>
  </si>
  <si>
    <t>Residential building, urban, luxurious</t>
  </si>
  <si>
    <t>Residential building, urban</t>
  </si>
  <si>
    <t>Bandung, Indonesia</t>
  </si>
  <si>
    <t>Utama, A., &amp; Gheewala, S. H. (2008). Life cycle energy of single landed houses in Indonesia. Energy and Buildings. https://doi.org/10.1016/j.enbuild.2008.04.018</t>
  </si>
  <si>
    <t>https://doi.org/10.1016/j.enbuild.2008.04.018</t>
  </si>
  <si>
    <t>Timber construction</t>
  </si>
  <si>
    <t>Towards a more circular construction sector: Estimating and spatialising current and future non-structural material replacement flows to maintain urban building stocks</t>
  </si>
  <si>
    <t>Each data point represents the mean (average) within a study. If a study has more data point describing the same building type, we use the average within that study.</t>
  </si>
  <si>
    <t>Row houses</t>
  </si>
  <si>
    <t>Apartments</t>
  </si>
  <si>
    <t>MEDIAN</t>
  </si>
  <si>
    <t>MEDIAN_adj</t>
  </si>
  <si>
    <t xml:space="preserve">For regional classification, please see: </t>
  </si>
  <si>
    <t>https://models.pbl.nl/image/index.php/Region_classification_map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</si>
</sst>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color rgb="FFFF0000"/>
      <name val="Calibri"/>
      <family val="2"/>
      <scheme val="minor"/>
    </font>
    <font>
      <b/>
      <sz val="11"/>
      <color rgb="FF000000"/>
      <name val="Calibri"/>
      <family val="2"/>
    </font>
    <font>
      <u/>
      <sz val="11"/>
      <color theme="10"/>
      <name val="Calibri"/>
      <family val="2"/>
      <scheme val="minor"/>
    </font>
    <font>
      <i/>
      <sz val="12"/>
      <color theme="1"/>
      <name val="Calibri"/>
      <family val="2"/>
      <scheme val="minor"/>
    </font>
    <font>
      <i/>
      <sz val="11"/>
      <color theme="1"/>
      <name val="Calibri"/>
      <family val="2"/>
      <scheme val="minor"/>
    </font>
    <font>
      <b/>
      <sz val="11"/>
      <color theme="0"/>
      <name val="Calibri"/>
      <family val="2"/>
      <scheme val="minor"/>
    </font>
    <font>
      <b/>
      <sz val="12"/>
      <color theme="1"/>
      <name val="Calibri"/>
      <family val="2"/>
      <scheme val="minor"/>
    </font>
    <font>
      <vertAlign val="superscript"/>
      <sz val="12"/>
      <color theme="1"/>
      <name val="Calibri"/>
      <family val="2"/>
      <scheme val="minor"/>
    </font>
    <font>
      <sz val="20"/>
      <color rgb="FF365F91"/>
      <name val="Cambria"/>
      <family val="1"/>
    </font>
    <font>
      <sz val="16"/>
      <color theme="1"/>
      <name val="Calibri"/>
      <family val="2"/>
      <scheme val="minor"/>
    </font>
    <font>
      <sz val="11"/>
      <color theme="0" tint="-0.34998626667073579"/>
      <name val="Calibri"/>
      <family val="2"/>
      <scheme val="minor"/>
    </font>
    <font>
      <sz val="9"/>
      <color theme="0" tint="-0.499984740745262"/>
      <name val="Calibri"/>
      <family val="2"/>
      <scheme val="minor"/>
    </font>
    <font>
      <sz val="8"/>
      <color rgb="FF24292E"/>
      <name val="Segoe UI"/>
      <family val="2"/>
    </font>
    <font>
      <sz val="11"/>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i/>
      <sz val="16"/>
      <color theme="1"/>
      <name val="Calibri"/>
      <family val="2"/>
      <scheme val="minor"/>
    </font>
  </fonts>
  <fills count="15">
    <fill>
      <patternFill patternType="none"/>
    </fill>
    <fill>
      <patternFill patternType="gray125"/>
    </fill>
    <fill>
      <patternFill patternType="solid">
        <fgColor rgb="FFC0C0C0"/>
        <bgColor rgb="FFC0C0C0"/>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5"/>
        <bgColor theme="5"/>
      </patternFill>
    </fill>
    <fill>
      <patternFill patternType="solid">
        <fgColor theme="4"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rgb="FFFFFFFF"/>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EEECE1"/>
      </left>
      <right style="thin">
        <color rgb="FFEEECE1"/>
      </right>
      <top style="thin">
        <color rgb="FFEEECE1"/>
      </top>
      <bottom style="thin">
        <color rgb="FFEEECE1"/>
      </bottom>
      <diagonal/>
    </border>
    <border>
      <left style="thin">
        <color rgb="FFEEECE1"/>
      </left>
      <right style="thin">
        <color rgb="FFEEECE1"/>
      </right>
      <top/>
      <bottom/>
      <diagonal/>
    </border>
    <border>
      <left/>
      <right style="thin">
        <color rgb="FFC00000"/>
      </right>
      <top/>
      <bottom/>
      <diagonal/>
    </border>
    <border>
      <left style="thin">
        <color rgb="FFC00000"/>
      </left>
      <right style="thin">
        <color rgb="FFC00000"/>
      </right>
      <top/>
      <bottom/>
      <diagonal/>
    </border>
    <border>
      <left style="thin">
        <color rgb="FFC00000"/>
      </left>
      <right style="thin">
        <color rgb="FFC00000"/>
      </right>
      <top style="thin">
        <color rgb="FFC00000"/>
      </top>
      <bottom style="thin">
        <color rgb="FFC00000"/>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style="thin">
        <color rgb="FFC00000"/>
      </left>
      <right/>
      <top/>
      <bottom/>
      <diagonal/>
    </border>
    <border>
      <left/>
      <right style="thin">
        <color rgb="FFC00000"/>
      </right>
      <top/>
      <bottom style="thin">
        <color rgb="FFC00000"/>
      </bottom>
      <diagonal/>
    </border>
    <border>
      <left/>
      <right style="thin">
        <color rgb="FFC00000"/>
      </right>
      <top style="thin">
        <color rgb="FFC00000"/>
      </top>
      <bottom style="thin">
        <color rgb="FFC00000"/>
      </bottom>
      <diagonal/>
    </border>
    <border>
      <left/>
      <right/>
      <top style="thin">
        <color rgb="FFC00000"/>
      </top>
      <bottom style="thin">
        <color rgb="FFC00000"/>
      </bottom>
      <diagonal/>
    </border>
    <border>
      <left/>
      <right/>
      <top style="thin">
        <color rgb="FFC00000"/>
      </top>
      <bottom/>
      <diagonal/>
    </border>
    <border>
      <left/>
      <right style="thin">
        <color indexed="64"/>
      </right>
      <top/>
      <bottom/>
      <diagonal/>
    </border>
    <border>
      <left/>
      <right style="thin">
        <color rgb="FFC00000"/>
      </right>
      <top style="thin">
        <color rgb="FFC00000"/>
      </top>
      <bottom/>
      <diagonal/>
    </border>
    <border>
      <left/>
      <right/>
      <top/>
      <bottom style="thin">
        <color rgb="FFC00000"/>
      </bottom>
      <diagonal/>
    </border>
    <border>
      <left style="thin">
        <color rgb="FFC00000"/>
      </left>
      <right/>
      <top style="thin">
        <color rgb="FFC00000"/>
      </top>
      <bottom style="thin">
        <color rgb="FFC00000"/>
      </bottom>
      <diagonal/>
    </border>
    <border>
      <left style="thin">
        <color indexed="64"/>
      </left>
      <right style="thin">
        <color rgb="FFC00000"/>
      </right>
      <top/>
      <bottom style="thin">
        <color rgb="FFC00000"/>
      </bottom>
      <diagonal/>
    </border>
    <border>
      <left style="medium">
        <color rgb="FFDFE2E5"/>
      </left>
      <right style="medium">
        <color rgb="FFDFE2E5"/>
      </right>
      <top style="medium">
        <color rgb="FFDFE2E5"/>
      </top>
      <bottom style="medium">
        <color rgb="FFDFE2E5"/>
      </bottom>
      <diagonal/>
    </border>
  </borders>
  <cellStyleXfs count="2">
    <xf numFmtId="0" fontId="0" fillId="0" borderId="0"/>
    <xf numFmtId="0" fontId="8" fillId="0" borderId="0" applyNumberFormat="0" applyFill="0" applyBorder="0" applyAlignment="0" applyProtection="0"/>
  </cellStyleXfs>
  <cellXfs count="123">
    <xf numFmtId="0" fontId="0" fillId="0" borderId="0" xfId="0"/>
    <xf numFmtId="0" fontId="0" fillId="0" borderId="0" xfId="0" applyBorder="1"/>
    <xf numFmtId="0" fontId="0" fillId="0" borderId="0" xfId="0" applyAlignment="1">
      <alignment horizontal="center"/>
    </xf>
    <xf numFmtId="0" fontId="3" fillId="0" borderId="0" xfId="0" applyFont="1" applyAlignment="1"/>
    <xf numFmtId="0" fontId="4" fillId="0" borderId="2" xfId="0" applyFont="1" applyFill="1" applyBorder="1" applyAlignment="1" applyProtection="1">
      <alignment horizontal="left" vertical="center" wrapText="1"/>
    </xf>
    <xf numFmtId="0" fontId="0" fillId="0" borderId="0" xfId="0" applyAlignment="1">
      <alignment vertical="center"/>
    </xf>
    <xf numFmtId="0" fontId="0" fillId="0" borderId="0" xfId="0" applyAlignment="1">
      <alignment horizontal="center" vertical="center"/>
    </xf>
    <xf numFmtId="0" fontId="5" fillId="2" borderId="1" xfId="0" applyFont="1" applyFill="1" applyBorder="1" applyAlignment="1" applyProtection="1">
      <alignment horizontal="center"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left"/>
    </xf>
    <xf numFmtId="0" fontId="0" fillId="0" borderId="0" xfId="0" applyProtection="1"/>
    <xf numFmtId="0" fontId="0" fillId="0" borderId="0" xfId="0" applyBorder="1" applyAlignment="1">
      <alignment horizontal="center" vertical="center" wrapText="1"/>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2" fontId="0" fillId="0" borderId="0"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2" fontId="0" fillId="0" borderId="10" xfId="0" applyNumberFormat="1" applyBorder="1" applyAlignment="1">
      <alignment horizontal="center" vertical="center"/>
    </xf>
    <xf numFmtId="2" fontId="0" fillId="0" borderId="6" xfId="0" applyNumberFormat="1" applyBorder="1" applyAlignment="1">
      <alignment horizontal="center" vertical="center"/>
    </xf>
    <xf numFmtId="0" fontId="0" fillId="0" borderId="5" xfId="0" applyBorder="1" applyAlignment="1">
      <alignment horizontal="left" vertical="center"/>
    </xf>
    <xf numFmtId="0" fontId="6" fillId="0" borderId="8" xfId="0" applyFont="1" applyBorder="1" applyAlignment="1">
      <alignment horizontal="left" vertical="center"/>
    </xf>
    <xf numFmtId="0" fontId="0" fillId="0" borderId="6" xfId="0" applyBorder="1" applyAlignment="1">
      <alignment horizontal="left" vertical="center"/>
    </xf>
    <xf numFmtId="0" fontId="0" fillId="3" borderId="7" xfId="0" applyFill="1" applyBorder="1"/>
    <xf numFmtId="2" fontId="0" fillId="0" borderId="11" xfId="0" applyNumberFormat="1" applyBorder="1" applyAlignment="1">
      <alignment horizontal="center" vertical="center"/>
    </xf>
    <xf numFmtId="2" fontId="0" fillId="0" borderId="12" xfId="0" applyNumberFormat="1" applyBorder="1" applyAlignment="1">
      <alignment horizontal="center" vertical="center"/>
    </xf>
    <xf numFmtId="0" fontId="0" fillId="0" borderId="6" xfId="0" applyBorder="1" applyAlignment="1">
      <alignment horizontal="left" vertical="center" wrapText="1"/>
    </xf>
    <xf numFmtId="0" fontId="6" fillId="0" borderId="6" xfId="0" applyFont="1" applyBorder="1" applyAlignment="1">
      <alignment horizontal="left" vertical="center"/>
    </xf>
    <xf numFmtId="0" fontId="0" fillId="3" borderId="6" xfId="0" applyFill="1" applyBorder="1"/>
    <xf numFmtId="0" fontId="0" fillId="0" borderId="4" xfId="0" applyBorder="1" applyAlignment="1">
      <alignment vertical="center"/>
    </xf>
    <xf numFmtId="0" fontId="0" fillId="0" borderId="4" xfId="0" applyFill="1" applyBorder="1" applyAlignment="1">
      <alignment vertical="center"/>
    </xf>
    <xf numFmtId="2" fontId="0" fillId="0" borderId="0" xfId="0" applyNumberFormat="1" applyAlignment="1">
      <alignment horizontal="center" vertical="center" wrapText="1"/>
    </xf>
    <xf numFmtId="0" fontId="0" fillId="0" borderId="0" xfId="0" applyFill="1" applyAlignment="1">
      <alignment horizontal="center" vertical="center" wrapText="1"/>
    </xf>
    <xf numFmtId="0" fontId="4" fillId="0" borderId="0" xfId="0" applyFont="1" applyFill="1" applyBorder="1" applyAlignment="1" applyProtection="1">
      <alignment horizontal="left" vertical="center" wrapText="1"/>
    </xf>
    <xf numFmtId="1" fontId="0" fillId="0" borderId="0" xfId="0" applyNumberFormat="1" applyAlignment="1">
      <alignment horizontal="center" vertical="center" wrapText="1"/>
    </xf>
    <xf numFmtId="0" fontId="0" fillId="0" borderId="0" xfId="0" applyAlignment="1">
      <alignment horizontal="left" wrapText="1"/>
    </xf>
    <xf numFmtId="0" fontId="8" fillId="0" borderId="0" xfId="1" applyAlignment="1">
      <alignment horizontal="left" vertical="center" wrapText="1"/>
    </xf>
    <xf numFmtId="0" fontId="0" fillId="0" borderId="0" xfId="0" applyAlignment="1">
      <alignment horizontal="center" wrapText="1"/>
    </xf>
    <xf numFmtId="0" fontId="4" fillId="0" borderId="3" xfId="0" applyFont="1" applyFill="1" applyBorder="1" applyAlignment="1" applyProtection="1">
      <alignment horizontal="left" vertical="center" wrapText="1"/>
    </xf>
    <xf numFmtId="0" fontId="0" fillId="0" borderId="0" xfId="0" applyFill="1" applyAlignment="1">
      <alignment horizontal="left" vertical="center" wrapText="1"/>
    </xf>
    <xf numFmtId="0" fontId="0" fillId="5" borderId="6" xfId="0" applyFill="1" applyBorder="1"/>
    <xf numFmtId="0" fontId="0" fillId="4" borderId="6" xfId="0" applyFill="1" applyBorder="1"/>
    <xf numFmtId="0" fontId="0" fillId="6" borderId="6" xfId="0" applyFill="1" applyBorder="1"/>
    <xf numFmtId="0" fontId="0" fillId="3" borderId="5" xfId="0" applyFill="1" applyBorder="1"/>
    <xf numFmtId="0" fontId="0" fillId="6" borderId="8" xfId="0" applyFill="1" applyBorder="1"/>
    <xf numFmtId="0" fontId="6" fillId="0" borderId="6" xfId="0" applyFont="1" applyFill="1" applyBorder="1" applyAlignment="1">
      <alignment horizontal="left" vertical="center"/>
    </xf>
    <xf numFmtId="2" fontId="0" fillId="0" borderId="11" xfId="0" applyNumberFormat="1" applyFill="1" applyBorder="1" applyAlignment="1">
      <alignment horizontal="center" vertical="center"/>
    </xf>
    <xf numFmtId="2" fontId="0" fillId="0" borderId="12" xfId="0" applyNumberFormat="1" applyFill="1" applyBorder="1" applyAlignment="1">
      <alignment horizontal="center" vertical="center"/>
    </xf>
    <xf numFmtId="2" fontId="0" fillId="0" borderId="6" xfId="0" applyNumberFormat="1" applyFill="1" applyBorder="1" applyAlignment="1">
      <alignment horizontal="center" vertical="center"/>
    </xf>
    <xf numFmtId="0" fontId="0" fillId="0" borderId="0" xfId="0" applyFont="1" applyFill="1" applyAlignment="1">
      <alignment horizontal="center" vertical="center" wrapText="1"/>
    </xf>
    <xf numFmtId="1" fontId="0" fillId="0" borderId="0" xfId="0" applyNumberFormat="1" applyAlignment="1">
      <alignment horizontal="left" vertical="center" wrapText="1"/>
    </xf>
    <xf numFmtId="2" fontId="0" fillId="0" borderId="0" xfId="0" applyNumberFormat="1" applyAlignment="1">
      <alignment horizontal="left" vertical="center" wrapText="1"/>
    </xf>
    <xf numFmtId="2" fontId="0" fillId="0" borderId="0" xfId="0" applyNumberFormat="1" applyBorder="1" applyAlignment="1">
      <alignment horizontal="left" vertical="center" wrapText="1"/>
    </xf>
    <xf numFmtId="0" fontId="5" fillId="2" borderId="1" xfId="0" applyFont="1" applyFill="1" applyBorder="1" applyAlignment="1" applyProtection="1">
      <alignment horizontal="left" vertical="center" wrapText="1"/>
    </xf>
    <xf numFmtId="0" fontId="7" fillId="2" borderId="1" xfId="0" applyFont="1" applyFill="1" applyBorder="1" applyAlignment="1" applyProtection="1">
      <alignment horizontal="left" vertical="center" wrapText="1"/>
    </xf>
    <xf numFmtId="1" fontId="0" fillId="0" borderId="0" xfId="0" applyNumberFormat="1" applyFill="1" applyAlignment="1">
      <alignment horizontal="left" vertical="center" wrapText="1"/>
    </xf>
    <xf numFmtId="0" fontId="7" fillId="2" borderId="1" xfId="0" applyFont="1" applyFill="1" applyBorder="1" applyAlignment="1" applyProtection="1">
      <alignment horizontal="left" vertical="center"/>
    </xf>
    <xf numFmtId="2" fontId="0" fillId="0" borderId="0" xfId="0" applyNumberFormat="1" applyAlignment="1">
      <alignment horizontal="left" vertical="center"/>
    </xf>
    <xf numFmtId="164" fontId="0" fillId="0" borderId="0" xfId="0" applyNumberFormat="1" applyAlignment="1">
      <alignment horizontal="left" vertical="center" wrapText="1"/>
    </xf>
    <xf numFmtId="0" fontId="5" fillId="2" borderId="1" xfId="0" applyFont="1" applyFill="1" applyBorder="1" applyAlignment="1" applyProtection="1">
      <alignment horizontal="left" vertical="center"/>
    </xf>
    <xf numFmtId="1" fontId="0" fillId="0" borderId="0" xfId="0" applyNumberFormat="1" applyAlignment="1">
      <alignment horizontal="left" vertical="center"/>
    </xf>
    <xf numFmtId="0" fontId="3" fillId="0" borderId="0" xfId="0" applyFont="1" applyAlignment="1">
      <alignment horizontal="left" vertical="center" wrapText="1"/>
    </xf>
    <xf numFmtId="0" fontId="0" fillId="0" borderId="0" xfId="0" applyFont="1" applyFill="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2" fontId="0" fillId="0" borderId="0" xfId="0" applyNumberFormat="1" applyFont="1" applyAlignment="1">
      <alignment horizontal="left" vertical="center" wrapText="1"/>
    </xf>
    <xf numFmtId="0" fontId="0" fillId="0" borderId="13" xfId="0" applyBorder="1"/>
    <xf numFmtId="0" fontId="0" fillId="0" borderId="0" xfId="0" applyFont="1" applyAlignment="1">
      <alignment horizontal="left"/>
    </xf>
    <xf numFmtId="16" fontId="0" fillId="0" borderId="0" xfId="0" applyNumberFormat="1" applyAlignment="1">
      <alignment horizontal="left" vertical="center" wrapText="1"/>
    </xf>
    <xf numFmtId="0" fontId="0" fillId="0" borderId="4" xfId="0" applyBorder="1"/>
    <xf numFmtId="0" fontId="0" fillId="0" borderId="7" xfId="0" applyBorder="1"/>
    <xf numFmtId="0" fontId="0" fillId="0" borderId="8" xfId="0" applyBorder="1"/>
    <xf numFmtId="0" fontId="0" fillId="0" borderId="6" xfId="0" applyBorder="1"/>
    <xf numFmtId="0" fontId="0" fillId="0" borderId="11" xfId="0" applyBorder="1"/>
    <xf numFmtId="2" fontId="0" fillId="0" borderId="14" xfId="0" applyNumberFormat="1" applyBorder="1" applyAlignment="1">
      <alignment horizontal="center"/>
    </xf>
    <xf numFmtId="2" fontId="0" fillId="0" borderId="11" xfId="0" applyNumberFormat="1" applyBorder="1" applyAlignment="1">
      <alignment horizontal="center"/>
    </xf>
    <xf numFmtId="0" fontId="0" fillId="0" borderId="16" xfId="0" applyBorder="1" applyAlignment="1">
      <alignment horizontal="center"/>
    </xf>
    <xf numFmtId="2" fontId="0" fillId="0" borderId="4" xfId="0" applyNumberFormat="1" applyBorder="1" applyAlignment="1">
      <alignment horizontal="center"/>
    </xf>
    <xf numFmtId="2" fontId="0" fillId="0" borderId="10" xfId="0" applyNumberFormat="1" applyBorder="1" applyAlignment="1">
      <alignment horizontal="center"/>
    </xf>
    <xf numFmtId="0" fontId="0" fillId="0" borderId="15" xfId="0" applyBorder="1" applyAlignment="1">
      <alignment horizontal="left"/>
    </xf>
    <xf numFmtId="0" fontId="0" fillId="0" borderId="4" xfId="0" applyBorder="1" applyAlignment="1">
      <alignment horizontal="left"/>
    </xf>
    <xf numFmtId="0" fontId="0" fillId="0" borderId="10" xfId="0" applyBorder="1" applyAlignment="1">
      <alignment horizontal="left"/>
    </xf>
    <xf numFmtId="2" fontId="0" fillId="0" borderId="5" xfId="0" applyNumberFormat="1" applyBorder="1" applyAlignment="1">
      <alignment horizontal="center"/>
    </xf>
    <xf numFmtId="2" fontId="0" fillId="0" borderId="18" xfId="0" applyNumberFormat="1" applyBorder="1" applyAlignment="1">
      <alignment horizontal="center" vertical="center"/>
    </xf>
    <xf numFmtId="0" fontId="8" fillId="0" borderId="0" xfId="1" applyAlignment="1">
      <alignment horizontal="left" wrapText="1"/>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4" fillId="0" borderId="0" xfId="0" applyFont="1"/>
    <xf numFmtId="0" fontId="2" fillId="0" borderId="0" xfId="0" applyFont="1" applyAlignment="1">
      <alignment horizontal="left" vertical="center"/>
    </xf>
    <xf numFmtId="164" fontId="0" fillId="0" borderId="0" xfId="0" applyNumberFormat="1"/>
    <xf numFmtId="0" fontId="0" fillId="8" borderId="0" xfId="0" applyFill="1"/>
    <xf numFmtId="0" fontId="0" fillId="10" borderId="0" xfId="0" applyFill="1"/>
    <xf numFmtId="2" fontId="0" fillId="0" borderId="0" xfId="0" applyNumberFormat="1"/>
    <xf numFmtId="0" fontId="0" fillId="12" borderId="0" xfId="0" applyFill="1"/>
    <xf numFmtId="0" fontId="0" fillId="0" borderId="0" xfId="0" applyFill="1"/>
    <xf numFmtId="0" fontId="16" fillId="0" borderId="0" xfId="0" applyFont="1" applyAlignment="1">
      <alignment horizontal="center" vertical="center" wrapText="1"/>
    </xf>
    <xf numFmtId="0" fontId="0" fillId="13" borderId="0" xfId="0" applyFill="1" applyAlignment="1">
      <alignment horizontal="center" vertical="center"/>
    </xf>
    <xf numFmtId="0" fontId="0" fillId="9" borderId="0" xfId="0" applyFill="1" applyAlignment="1">
      <alignment horizontal="center" vertical="center"/>
    </xf>
    <xf numFmtId="0" fontId="0" fillId="9" borderId="0" xfId="0" applyFill="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2" fontId="16" fillId="0" borderId="0" xfId="0" applyNumberFormat="1" applyFont="1" applyAlignment="1">
      <alignment horizontal="center" vertical="center" wrapText="1"/>
    </xf>
    <xf numFmtId="0" fontId="0" fillId="13" borderId="0" xfId="0" applyFill="1"/>
    <xf numFmtId="2" fontId="0" fillId="0" borderId="0" xfId="0" applyNumberFormat="1" applyAlignment="1">
      <alignment horizontal="center" vertical="center"/>
    </xf>
    <xf numFmtId="2" fontId="0" fillId="11" borderId="0" xfId="0" applyNumberFormat="1" applyFill="1" applyAlignment="1">
      <alignment horizontal="center" vertical="center"/>
    </xf>
    <xf numFmtId="0" fontId="17" fillId="0" borderId="0" xfId="0" applyFont="1"/>
    <xf numFmtId="0" fontId="6" fillId="0" borderId="0" xfId="0" applyFont="1"/>
    <xf numFmtId="0" fontId="0" fillId="4" borderId="0" xfId="0" applyFill="1"/>
    <xf numFmtId="0" fontId="18" fillId="14" borderId="19" xfId="0" applyFont="1" applyFill="1" applyBorder="1" applyAlignment="1">
      <alignment vertical="center" wrapText="1"/>
    </xf>
    <xf numFmtId="0" fontId="19" fillId="0" borderId="6" xfId="0" applyFont="1" applyFill="1" applyBorder="1" applyAlignment="1">
      <alignment horizontal="left" vertical="center"/>
    </xf>
    <xf numFmtId="0" fontId="19" fillId="0" borderId="0" xfId="0" applyFont="1"/>
    <xf numFmtId="2" fontId="6" fillId="0" borderId="0" xfId="0" applyNumberFormat="1" applyFont="1"/>
    <xf numFmtId="2" fontId="0" fillId="0" borderId="0" xfId="0" applyNumberFormat="1" applyFill="1"/>
    <xf numFmtId="0" fontId="3" fillId="0" borderId="16" xfId="0" applyFont="1" applyBorder="1" applyAlignment="1">
      <alignment horizontal="center"/>
    </xf>
    <xf numFmtId="0" fontId="11" fillId="7" borderId="17"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24" fillId="0" borderId="0" xfId="0" applyFont="1" applyAlignment="1">
      <alignment vertical="center"/>
    </xf>
    <xf numFmtId="0" fontId="10" fillId="0" borderId="0" xfId="0" applyFont="1"/>
    <xf numFmtId="0" fontId="24" fillId="0" borderId="0" xfId="0" applyFont="1"/>
  </cellXfs>
  <cellStyles count="2">
    <cellStyle name="Hyperlink" xfId="1" builtinId="8"/>
    <cellStyle name="Normal" xfId="0" builtinId="0"/>
  </cellStyles>
  <dxfs count="20">
    <dxf>
      <font>
        <color rgb="FF00B050"/>
      </font>
    </dxf>
    <dxf>
      <numFmt numFmtId="2" formatCode="0.00"/>
      <alignment horizontal="center" vertical="bottom" textRotation="0" wrapText="0" indent="0" justifyLastLine="0" shrinkToFit="0" readingOrder="0"/>
      <border diagonalUp="0" diagonalDown="0">
        <left style="thin">
          <color indexed="64"/>
        </left>
        <right style="thin">
          <color indexed="64"/>
        </right>
        <top/>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rgb="FFC00000"/>
        </right>
        <top/>
        <bottom/>
        <vertical/>
      </border>
    </dxf>
    <dxf>
      <numFmt numFmtId="2" formatCode="0.00"/>
      <alignment horizontal="center" vertical="bottom" textRotation="0" wrapText="0" indent="0" justifyLastLine="0" shrinkToFit="0" readingOrder="0"/>
      <border diagonalUp="0" diagonalDown="0">
        <left style="thin">
          <color indexed="64"/>
        </left>
        <right style="thin">
          <color rgb="FFC00000"/>
        </right>
        <top/>
        <bottom/>
        <vertical/>
      </border>
    </dxf>
    <dxf>
      <numFmt numFmtId="2" formatCode="0.00"/>
      <alignment horizontal="center" vertical="bottom" textRotation="0" wrapText="0" indent="0" justifyLastLine="0" shrinkToFit="0" readingOrder="0"/>
      <border diagonalUp="0" diagonalDown="0">
        <left style="thin">
          <color indexed="64"/>
        </left>
        <right style="thin">
          <color rgb="FFC00000"/>
        </right>
        <top/>
        <bottom/>
        <vertical/>
      </border>
    </dxf>
    <dxf>
      <numFmt numFmtId="2" formatCode="0.00"/>
      <alignment horizontal="center" vertical="bottom" textRotation="0" wrapText="0" indent="0" justifyLastLine="0" shrinkToFit="0" readingOrder="0"/>
      <border diagonalUp="0" diagonalDown="0">
        <left style="thin">
          <color indexed="64"/>
        </left>
        <right style="thin">
          <color rgb="FFC00000"/>
        </right>
        <top/>
        <bottom/>
        <vertical/>
      </border>
    </dxf>
    <dxf>
      <numFmt numFmtId="2" formatCode="0.00"/>
      <alignment horizontal="center" vertical="bottom" textRotation="0" wrapText="0" indent="0" justifyLastLine="0" shrinkToFit="0" readingOrder="0"/>
      <border diagonalUp="0" diagonalDown="0">
        <left style="thin">
          <color indexed="64"/>
        </left>
        <right style="thin">
          <color rgb="FFC00000"/>
        </right>
        <top/>
        <bottom/>
        <vertical/>
      </border>
    </dxf>
    <dxf>
      <alignment horizontal="center" vertical="bottom" textRotation="0" wrapText="0" indent="0" justifyLastLine="0" shrinkToFit="0" readingOrder="0"/>
      <border diagonalUp="0" diagonalDown="0">
        <left style="thin">
          <color indexed="64"/>
        </left>
        <right style="thin">
          <color rgb="FFC00000"/>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center" textRotation="0" wrapText="0" indent="0" justifyLastLine="0" shrinkToFit="0" readingOrder="0"/>
      <border diagonalUp="0" diagonalDown="0">
        <left style="thin">
          <color auto="1"/>
        </left>
        <right style="thin">
          <color rgb="FFC00000"/>
        </right>
        <top/>
        <bottom/>
        <vertical style="thin">
          <color auto="1"/>
        </vertical>
        <horizontal/>
      </border>
    </dxf>
    <dxf>
      <numFmt numFmtId="2" formatCode="0.00"/>
      <alignment horizontal="center" vertical="center" textRotation="0" wrapText="0" indent="0" justifyLastLine="0" shrinkToFit="0" readingOrder="0"/>
      <border diagonalUp="0" diagonalDown="0">
        <left style="thin">
          <color rgb="FFC00000"/>
        </left>
        <right style="thin">
          <color auto="1"/>
        </right>
        <top/>
        <bottom/>
        <vertical style="thin">
          <color auto="1"/>
        </vertical>
        <horizontal/>
      </border>
    </dxf>
    <dxf>
      <numFmt numFmtId="2" formatCode="0.00"/>
      <alignment horizontal="center" vertical="center" textRotation="0" wrapText="0" indent="0" justifyLastLine="0" shrinkToFit="0" readingOrder="0"/>
      <border diagonalUp="0" diagonalDown="0">
        <left style="thin">
          <color rgb="FFC00000"/>
        </left>
        <right style="thin">
          <color rgb="FFC00000"/>
        </right>
        <top/>
        <bottom/>
        <vertical/>
        <horizontal/>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bottom/>
      </border>
    </dxf>
    <dxf>
      <numFmt numFmtId="2" formatCode="0.00"/>
      <alignment horizontal="center" vertical="center" textRotation="0" wrapText="0" indent="0" justifyLastLine="0" shrinkToFit="0" readingOrder="0"/>
      <border diagonalUp="0" diagonalDown="0">
        <left/>
        <right style="thin">
          <color rgb="FFC00000"/>
        </right>
        <top/>
        <bottom/>
        <vertical/>
        <horizontal/>
      </border>
    </dxf>
    <dxf>
      <alignment horizontal="left"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D81A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039685824108896"/>
          <c:y val="3.4684666782582779E-2"/>
          <c:w val="0.66772909971062344"/>
          <c:h val="0.64414984045959955"/>
        </c:manualLayout>
      </c:layout>
      <c:barChart>
        <c:barDir val="col"/>
        <c:grouping val="stacked"/>
        <c:varyColors val="0"/>
        <c:ser>
          <c:idx val="0"/>
          <c:order val="1"/>
          <c:tx>
            <c:strRef>
              <c:f>Boxplots!$B$641</c:f>
              <c:strCache>
                <c:ptCount val="1"/>
                <c:pt idx="0">
                  <c:v>PERCENTILE</c:v>
                </c:pt>
              </c:strCache>
            </c:strRef>
          </c:tx>
          <c:spPr>
            <a:noFill/>
            <a:ln>
              <a:noFill/>
            </a:ln>
            <a:effectLst/>
          </c:spPr>
          <c:invertIfNegative val="0"/>
          <c:cat>
            <c:multiLvlStrRef>
              <c:f>Boxplots!$C$628:$F$629</c:f>
              <c:multiLvlStrCache>
                <c:ptCount val="4"/>
                <c:lvl>
                  <c:pt idx="0">
                    <c:v>Detached</c:v>
                  </c:pt>
                  <c:pt idx="1">
                    <c:v>Row houses</c:v>
                  </c:pt>
                  <c:pt idx="2">
                    <c:v>Apartments</c:v>
                  </c:pt>
                  <c:pt idx="3">
                    <c:v>High-rise</c:v>
                  </c:pt>
                </c:lvl>
                <c:lvl>
                  <c:pt idx="0">
                    <c:v>Concrete</c:v>
                  </c:pt>
                </c:lvl>
              </c:multiLvlStrCache>
            </c:multiLvlStrRef>
          </c:cat>
          <c:val>
            <c:numRef>
              <c:f>Boxplots!$C$641:$F$641</c:f>
              <c:numCache>
                <c:formatCode>General</c:formatCode>
                <c:ptCount val="4"/>
                <c:pt idx="0">
                  <c:v>246.32796224404763</c:v>
                </c:pt>
                <c:pt idx="1">
                  <c:v>815.75619047619045</c:v>
                </c:pt>
                <c:pt idx="2">
                  <c:v>585.94433862433868</c:v>
                </c:pt>
                <c:pt idx="3">
                  <c:v>568.80755555555561</c:v>
                </c:pt>
              </c:numCache>
            </c:numRef>
          </c:val>
          <c:extLst>
            <c:ext xmlns:c16="http://schemas.microsoft.com/office/drawing/2014/chart" uri="{C3380CC4-5D6E-409C-BE32-E72D297353CC}">
              <c16:uniqueId val="{00000001-F12A-41E6-B230-45AB537A2725}"/>
            </c:ext>
          </c:extLst>
        </c:ser>
        <c:ser>
          <c:idx val="1"/>
          <c:order val="2"/>
          <c:tx>
            <c:strRef>
              <c:f>Boxplots!$B$643</c:f>
              <c:strCache>
                <c:ptCount val="1"/>
                <c:pt idx="0">
                  <c:v>BAR</c:v>
                </c:pt>
              </c:strCache>
            </c:strRef>
          </c:tx>
          <c:spPr>
            <a:solidFill>
              <a:schemeClr val="tx2">
                <a:lumMod val="60000"/>
                <a:lumOff val="40000"/>
              </a:schemeClr>
            </a:solidFill>
            <a:ln>
              <a:noFill/>
            </a:ln>
            <a:effectLst/>
          </c:spPr>
          <c:invertIfNegative val="0"/>
          <c:cat>
            <c:multiLvlStrRef>
              <c:f>Boxplots!$C$628:$F$629</c:f>
              <c:multiLvlStrCache>
                <c:ptCount val="4"/>
                <c:lvl>
                  <c:pt idx="0">
                    <c:v>Detached</c:v>
                  </c:pt>
                  <c:pt idx="1">
                    <c:v>Row houses</c:v>
                  </c:pt>
                  <c:pt idx="2">
                    <c:v>Apartments</c:v>
                  </c:pt>
                  <c:pt idx="3">
                    <c:v>High-rise</c:v>
                  </c:pt>
                </c:lvl>
                <c:lvl>
                  <c:pt idx="0">
                    <c:v>Concrete</c:v>
                  </c:pt>
                </c:lvl>
              </c:multiLvlStrCache>
            </c:multiLvlStrRef>
          </c:cat>
          <c:val>
            <c:numRef>
              <c:f>Boxplots!$C$643:$F$643</c:f>
              <c:numCache>
                <c:formatCode>General</c:formatCode>
                <c:ptCount val="4"/>
                <c:pt idx="0">
                  <c:v>856.43630230621727</c:v>
                </c:pt>
                <c:pt idx="1">
                  <c:v>478.46603174603172</c:v>
                </c:pt>
                <c:pt idx="2">
                  <c:v>784.24547955748005</c:v>
                </c:pt>
                <c:pt idx="3">
                  <c:v>565.22066514896369</c:v>
                </c:pt>
              </c:numCache>
            </c:numRef>
          </c:val>
          <c:extLst>
            <c:ext xmlns:c16="http://schemas.microsoft.com/office/drawing/2014/chart" uri="{C3380CC4-5D6E-409C-BE32-E72D297353CC}">
              <c16:uniqueId val="{00000002-F12A-41E6-B230-45AB537A2725}"/>
            </c:ext>
          </c:extLst>
        </c:ser>
        <c:ser>
          <c:idx val="4"/>
          <c:order val="3"/>
          <c:tx>
            <c:strRef>
              <c:f>Boxplots!$B$644</c:f>
              <c:strCache>
                <c:ptCount val="1"/>
                <c:pt idx="0">
                  <c:v>Diff to top</c:v>
                </c:pt>
              </c:strCache>
            </c:strRef>
          </c:tx>
          <c:spPr>
            <a:noFill/>
            <a:ln w="25400">
              <a:noFill/>
            </a:ln>
            <a:effectLst/>
          </c:spPr>
          <c:invertIfNegative val="0"/>
          <c:dLbls>
            <c:dLbl>
              <c:idx val="0"/>
              <c:tx>
                <c:rich>
                  <a:bodyPr/>
                  <a:lstStyle/>
                  <a:p>
                    <a:fld id="{3EA2175B-14BE-4AA4-95D1-82451244DC46}"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12A-41E6-B230-45AB537A2725}"/>
                </c:ext>
              </c:extLst>
            </c:dLbl>
            <c:dLbl>
              <c:idx val="1"/>
              <c:tx>
                <c:rich>
                  <a:bodyPr/>
                  <a:lstStyle/>
                  <a:p>
                    <a:fld id="{DB1B6809-FF96-4C50-A8A8-FC082C5D7B5E}"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12A-41E6-B230-45AB537A2725}"/>
                </c:ext>
              </c:extLst>
            </c:dLbl>
            <c:dLbl>
              <c:idx val="2"/>
              <c:tx>
                <c:rich>
                  <a:bodyPr/>
                  <a:lstStyle/>
                  <a:p>
                    <a:fld id="{654CEF59-DCAA-42A4-8086-7DF4B6C138BB}"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12A-41E6-B230-45AB537A2725}"/>
                </c:ext>
              </c:extLst>
            </c:dLbl>
            <c:dLbl>
              <c:idx val="3"/>
              <c:tx>
                <c:rich>
                  <a:bodyPr/>
                  <a:lstStyle/>
                  <a:p>
                    <a:fld id="{1961B291-58F6-497C-BB06-182D37BECA82}"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12A-41E6-B230-45AB537A2725}"/>
                </c:ext>
              </c:extLst>
            </c:dLbl>
            <c:spPr>
              <a:noFill/>
              <a:ln>
                <a:noFill/>
              </a:ln>
              <a:effectLst/>
            </c:spPr>
            <c:txPr>
              <a:bodyPr rot="0" spcFirstLastPara="1" vertOverflow="overflow" horzOverflow="overflow" vert="horz" wrap="square" lIns="38100" tIns="0" rIns="38100" bIns="0" anchor="b" anchorCtr="0">
                <a:spAutoFit/>
              </a:bodyPr>
              <a:lstStyle/>
              <a:p>
                <a:pPr>
                  <a:defRPr sz="1000" b="1" i="0" u="none" strike="noStrike" kern="1200" baseline="0">
                    <a:solidFill>
                      <a:schemeClr val="accent1"/>
                    </a:solidFill>
                    <a:latin typeface="+mn-lt"/>
                    <a:ea typeface="+mn-ea"/>
                    <a:cs typeface="+mn-cs"/>
                  </a:defRPr>
                </a:pPr>
                <a:endParaRPr lang="nl-NL"/>
              </a:p>
            </c:txPr>
            <c:dLblPos val="in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multiLvlStrRef>
              <c:f>Boxplots!$C$628:$F$629</c:f>
              <c:multiLvlStrCache>
                <c:ptCount val="4"/>
                <c:lvl>
                  <c:pt idx="0">
                    <c:v>Detached</c:v>
                  </c:pt>
                  <c:pt idx="1">
                    <c:v>Row houses</c:v>
                  </c:pt>
                  <c:pt idx="2">
                    <c:v>Apartments</c:v>
                  </c:pt>
                  <c:pt idx="3">
                    <c:v>High-rise</c:v>
                  </c:pt>
                </c:lvl>
                <c:lvl>
                  <c:pt idx="0">
                    <c:v>Concrete</c:v>
                  </c:pt>
                </c:lvl>
              </c:multiLvlStrCache>
            </c:multiLvlStrRef>
          </c:cat>
          <c:val>
            <c:numRef>
              <c:f>Boxplots!$C$644:$F$644</c:f>
              <c:numCache>
                <c:formatCode>General</c:formatCode>
                <c:ptCount val="4"/>
                <c:pt idx="0">
                  <c:v>2397.2357354497353</c:v>
                </c:pt>
                <c:pt idx="1">
                  <c:v>2205.7777777777778</c:v>
                </c:pt>
                <c:pt idx="2">
                  <c:v>2129.8101818181813</c:v>
                </c:pt>
                <c:pt idx="3">
                  <c:v>2365.9717792954807</c:v>
                </c:pt>
              </c:numCache>
            </c:numRef>
          </c:val>
          <c:extLst>
            <c:ext xmlns:c15="http://schemas.microsoft.com/office/drawing/2012/chart" uri="{02D57815-91ED-43cb-92C2-25804820EDAC}">
              <c15:datalabelsRange>
                <c15:f>Boxplots!$C$636:$F$636</c15:f>
                <c15:dlblRangeCache>
                  <c:ptCount val="4"/>
                  <c:pt idx="0">
                    <c:v>33</c:v>
                  </c:pt>
                  <c:pt idx="1">
                    <c:v>7</c:v>
                  </c:pt>
                  <c:pt idx="2">
                    <c:v>13</c:v>
                  </c:pt>
                  <c:pt idx="3">
                    <c:v>18</c:v>
                  </c:pt>
                </c15:dlblRangeCache>
              </c15:datalabelsRange>
            </c:ext>
            <c:ext xmlns:c16="http://schemas.microsoft.com/office/drawing/2014/chart" uri="{C3380CC4-5D6E-409C-BE32-E72D297353CC}">
              <c16:uniqueId val="{00000007-F12A-41E6-B230-45AB537A2725}"/>
            </c:ext>
          </c:extLst>
        </c:ser>
        <c:dLbls>
          <c:showLegendKey val="0"/>
          <c:showVal val="0"/>
          <c:showCatName val="0"/>
          <c:showSerName val="0"/>
          <c:showPercent val="0"/>
          <c:showBubbleSize val="0"/>
        </c:dLbls>
        <c:gapWidth val="112"/>
        <c:overlap val="100"/>
        <c:axId val="641117624"/>
        <c:axId val="641117952"/>
      </c:barChart>
      <c:scatterChart>
        <c:scatterStyle val="lineMarker"/>
        <c:varyColors val="0"/>
        <c:ser>
          <c:idx val="2"/>
          <c:order val="0"/>
          <c:tx>
            <c:strRef>
              <c:f>Boxplots!$B$630</c:f>
              <c:strCache>
                <c:ptCount val="1"/>
                <c:pt idx="0">
                  <c:v>MEAN</c:v>
                </c:pt>
              </c:strCache>
            </c:strRef>
          </c:tx>
          <c:spPr>
            <a:ln w="25400" cap="rnd">
              <a:noFill/>
              <a:round/>
            </a:ln>
            <a:effectLst/>
          </c:spPr>
          <c:marker>
            <c:symbol val="circle"/>
            <c:size val="5"/>
            <c:spPr>
              <a:solidFill>
                <a:schemeClr val="tx1"/>
              </a:solidFill>
              <a:ln w="12700">
                <a:noFill/>
              </a:ln>
              <a:effectLst/>
            </c:spPr>
          </c:marker>
          <c:errBars>
            <c:errDir val="y"/>
            <c:errBarType val="both"/>
            <c:errValType val="cust"/>
            <c:noEndCap val="0"/>
            <c:plus>
              <c:numRef>
                <c:f>Boxplots!$C$637:$F$637</c:f>
                <c:numCache>
                  <c:formatCode>General</c:formatCode>
                  <c:ptCount val="4"/>
                  <c:pt idx="0">
                    <c:v>2216.0788218338175</c:v>
                  </c:pt>
                  <c:pt idx="1">
                    <c:v>1521.3791032235276</c:v>
                  </c:pt>
                  <c:pt idx="2">
                    <c:v>1323.2582006536879</c:v>
                  </c:pt>
                  <c:pt idx="3">
                    <c:v>960.79427706564047</c:v>
                  </c:pt>
                </c:numCache>
              </c:numRef>
            </c:plus>
            <c:minus>
              <c:numRef>
                <c:f>Boxplots!$C$638:$F$638</c:f>
                <c:numCache>
                  <c:formatCode>General</c:formatCode>
                  <c:ptCount val="4"/>
                  <c:pt idx="0">
                    <c:v>820.55353515562513</c:v>
                  </c:pt>
                  <c:pt idx="1">
                    <c:v>745.60350743591152</c:v>
                  </c:pt>
                  <c:pt idx="2">
                    <c:v>948.40336291234996</c:v>
                  </c:pt>
                  <c:pt idx="3">
                    <c:v>740.19790369363477</c:v>
                  </c:pt>
                </c:numCache>
              </c:numRef>
            </c:minus>
            <c:spPr>
              <a:noFill/>
              <a:ln w="9525" cap="flat" cmpd="sng" algn="ctr">
                <a:solidFill>
                  <a:schemeClr val="tx1">
                    <a:lumMod val="65000"/>
                    <a:lumOff val="35000"/>
                  </a:schemeClr>
                </a:solidFill>
                <a:round/>
              </a:ln>
              <a:effectLst/>
            </c:spPr>
          </c:errBars>
          <c:xVal>
            <c:multiLvlStrRef>
              <c:f>Boxplots!$C$628:$F$629</c:f>
              <c:multiLvlStrCache>
                <c:ptCount val="4"/>
                <c:lvl>
                  <c:pt idx="0">
                    <c:v>Detached</c:v>
                  </c:pt>
                  <c:pt idx="1">
                    <c:v>Row houses</c:v>
                  </c:pt>
                  <c:pt idx="2">
                    <c:v>Apartments</c:v>
                  </c:pt>
                  <c:pt idx="3">
                    <c:v>High-rise</c:v>
                  </c:pt>
                </c:lvl>
                <c:lvl>
                  <c:pt idx="0">
                    <c:v>Concrete</c:v>
                  </c:pt>
                </c:lvl>
              </c:multiLvlStrCache>
            </c:multiLvlStrRef>
          </c:xVal>
          <c:yVal>
            <c:numRef>
              <c:f>Boxplots!$C$630:$F$630</c:f>
              <c:numCache>
                <c:formatCode>General</c:formatCode>
                <c:ptCount val="4"/>
                <c:pt idx="0">
                  <c:v>846.3285351556251</c:v>
                </c:pt>
                <c:pt idx="1">
                  <c:v>1208.1312852136894</c:v>
                </c:pt>
                <c:pt idx="2">
                  <c:v>995.91852899196533</c:v>
                </c:pt>
                <c:pt idx="3">
                  <c:v>910.20572293435953</c:v>
                </c:pt>
              </c:numCache>
            </c:numRef>
          </c:yVal>
          <c:smooth val="0"/>
          <c:extLst>
            <c:ext xmlns:c16="http://schemas.microsoft.com/office/drawing/2014/chart" uri="{C3380CC4-5D6E-409C-BE32-E72D297353CC}">
              <c16:uniqueId val="{00000008-F12A-41E6-B230-45AB537A2725}"/>
            </c:ext>
          </c:extLst>
        </c:ser>
        <c:ser>
          <c:idx val="3"/>
          <c:order val="4"/>
          <c:tx>
            <c:v>MEDIAN</c:v>
          </c:tx>
          <c:spPr>
            <a:ln w="25400" cap="rnd">
              <a:noFill/>
              <a:round/>
            </a:ln>
            <a:effectLst/>
          </c:spPr>
          <c:marker>
            <c:symbol val="dash"/>
            <c:size val="6"/>
            <c:spPr>
              <a:solidFill>
                <a:schemeClr val="tx2">
                  <a:lumMod val="20000"/>
                  <a:lumOff val="80000"/>
                </a:schemeClr>
              </a:solidFill>
              <a:ln w="9525">
                <a:noFill/>
              </a:ln>
              <a:effectLst/>
            </c:spPr>
          </c:marker>
          <c:xVal>
            <c:strRef>
              <c:f>Boxplots!$C$629:$F$629</c:f>
              <c:strCache>
                <c:ptCount val="4"/>
                <c:pt idx="0">
                  <c:v>Detached</c:v>
                </c:pt>
                <c:pt idx="1">
                  <c:v>Row houses</c:v>
                </c:pt>
                <c:pt idx="2">
                  <c:v>Apartments</c:v>
                </c:pt>
                <c:pt idx="3">
                  <c:v>High-rise</c:v>
                </c:pt>
              </c:strCache>
            </c:strRef>
          </c:xVal>
          <c:yVal>
            <c:numRef>
              <c:f>Boxplots!$C$631:$F$631</c:f>
              <c:numCache>
                <c:formatCode>General</c:formatCode>
                <c:ptCount val="4"/>
                <c:pt idx="0">
                  <c:v>790.11232323232332</c:v>
                </c:pt>
                <c:pt idx="1">
                  <c:v>1047.931623931624</c:v>
                </c:pt>
                <c:pt idx="2">
                  <c:v>933</c:v>
                </c:pt>
                <c:pt idx="3">
                  <c:v>927.62892874278396</c:v>
                </c:pt>
              </c:numCache>
            </c:numRef>
          </c:yVal>
          <c:smooth val="0"/>
          <c:extLst>
            <c:ext xmlns:c16="http://schemas.microsoft.com/office/drawing/2014/chart" uri="{C3380CC4-5D6E-409C-BE32-E72D297353CC}">
              <c16:uniqueId val="{00000000-575C-4BAD-B1E8-3424F8F0F74A}"/>
            </c:ext>
          </c:extLst>
        </c:ser>
        <c:dLbls>
          <c:showLegendKey val="0"/>
          <c:showVal val="0"/>
          <c:showCatName val="0"/>
          <c:showSerName val="0"/>
          <c:showPercent val="0"/>
          <c:showBubbleSize val="0"/>
        </c:dLbls>
        <c:axId val="641117624"/>
        <c:axId val="641117952"/>
      </c:scatterChart>
      <c:catAx>
        <c:axId val="64111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nl-NL"/>
          </a:p>
        </c:txPr>
        <c:crossAx val="641117952"/>
        <c:crosses val="autoZero"/>
        <c:auto val="1"/>
        <c:lblAlgn val="ctr"/>
        <c:lblOffset val="100"/>
        <c:noMultiLvlLbl val="0"/>
      </c:catAx>
      <c:valAx>
        <c:axId val="641117952"/>
        <c:scaling>
          <c:orientation val="minMax"/>
          <c:max val="3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Material</a:t>
                </a:r>
                <a:r>
                  <a:rPr lang="en-US" sz="1400" b="1" baseline="0"/>
                  <a:t> content (kg/m</a:t>
                </a:r>
                <a:r>
                  <a:rPr lang="en-US" sz="1400" b="1" baseline="30000"/>
                  <a:t>2</a:t>
                </a:r>
                <a:r>
                  <a:rPr lang="en-US" sz="1400" b="1" baseline="0"/>
                  <a:t>)</a:t>
                </a:r>
                <a:endParaRPr lang="en-US" sz="1400" b="1"/>
              </a:p>
            </c:rich>
          </c:tx>
          <c:layout>
            <c:manualLayout>
              <c:xMode val="edge"/>
              <c:yMode val="edge"/>
              <c:x val="2.7866802651528404E-2"/>
              <c:y val="2.0227269179364449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nl-N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nl-NL"/>
          </a:p>
        </c:txPr>
        <c:crossAx val="64111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1708630057941"/>
          <c:y val="3.4684666782582779E-2"/>
          <c:w val="0.71695521008499896"/>
          <c:h val="0.66491693191227519"/>
        </c:manualLayout>
      </c:layout>
      <c:barChart>
        <c:barDir val="col"/>
        <c:grouping val="stacked"/>
        <c:varyColors val="0"/>
        <c:ser>
          <c:idx val="0"/>
          <c:order val="1"/>
          <c:tx>
            <c:strRef>
              <c:f>Boxplots!$B$641</c:f>
              <c:strCache>
                <c:ptCount val="1"/>
                <c:pt idx="0">
                  <c:v>PERCENTILE</c:v>
                </c:pt>
              </c:strCache>
            </c:strRef>
          </c:tx>
          <c:spPr>
            <a:noFill/>
            <a:ln>
              <a:noFill/>
            </a:ln>
            <a:effectLst/>
          </c:spPr>
          <c:invertIfNegative val="0"/>
          <c:cat>
            <c:multiLvlStrRef>
              <c:f>Boxplots!$G$628:$N$629</c:f>
              <c:multiLvlStrCache>
                <c:ptCount val="8"/>
                <c:lvl>
                  <c:pt idx="0">
                    <c:v>Detached</c:v>
                  </c:pt>
                  <c:pt idx="1">
                    <c:v>Row houses</c:v>
                  </c:pt>
                  <c:pt idx="2">
                    <c:v>Apartments</c:v>
                  </c:pt>
                  <c:pt idx="3">
                    <c:v>High-rise</c:v>
                  </c:pt>
                  <c:pt idx="4">
                    <c:v>Detached</c:v>
                  </c:pt>
                  <c:pt idx="5">
                    <c:v>Row houses</c:v>
                  </c:pt>
                  <c:pt idx="6">
                    <c:v>Apartments</c:v>
                  </c:pt>
                  <c:pt idx="7">
                    <c:v>High-rise</c:v>
                  </c:pt>
                </c:lvl>
                <c:lvl>
                  <c:pt idx="0">
                    <c:v>Steel</c:v>
                  </c:pt>
                  <c:pt idx="4">
                    <c:v>Wood</c:v>
                  </c:pt>
                </c:lvl>
              </c:multiLvlStrCache>
            </c:multiLvlStrRef>
          </c:cat>
          <c:val>
            <c:numRef>
              <c:f>Boxplots!$G$641:$N$641</c:f>
              <c:numCache>
                <c:formatCode>General</c:formatCode>
                <c:ptCount val="8"/>
                <c:pt idx="0">
                  <c:v>8.9345216411166355</c:v>
                </c:pt>
                <c:pt idx="1">
                  <c:v>26.526495726495728</c:v>
                </c:pt>
                <c:pt idx="2">
                  <c:v>29.615037037037041</c:v>
                </c:pt>
                <c:pt idx="3">
                  <c:v>45.685609105474747</c:v>
                </c:pt>
                <c:pt idx="4">
                  <c:v>23.68972602739726</c:v>
                </c:pt>
                <c:pt idx="5">
                  <c:v>20.041666666666668</c:v>
                </c:pt>
                <c:pt idx="6">
                  <c:v>10.918545454545455</c:v>
                </c:pt>
                <c:pt idx="7">
                  <c:v>8.6521346153846164</c:v>
                </c:pt>
              </c:numCache>
            </c:numRef>
          </c:val>
          <c:extLst>
            <c:ext xmlns:c16="http://schemas.microsoft.com/office/drawing/2014/chart" uri="{C3380CC4-5D6E-409C-BE32-E72D297353CC}">
              <c16:uniqueId val="{00000000-CDA0-491F-BE4B-77869F9E2CEA}"/>
            </c:ext>
          </c:extLst>
        </c:ser>
        <c:ser>
          <c:idx val="1"/>
          <c:order val="2"/>
          <c:tx>
            <c:strRef>
              <c:f>Boxplots!$B$643</c:f>
              <c:strCache>
                <c:ptCount val="1"/>
                <c:pt idx="0">
                  <c:v>BAR</c:v>
                </c:pt>
              </c:strCache>
            </c:strRef>
          </c:tx>
          <c:spPr>
            <a:solidFill>
              <a:schemeClr val="tx2">
                <a:lumMod val="60000"/>
                <a:lumOff val="40000"/>
              </a:schemeClr>
            </a:solidFill>
            <a:ln>
              <a:noFill/>
            </a:ln>
            <a:effectLst/>
          </c:spPr>
          <c:invertIfNegative val="0"/>
          <c:cat>
            <c:multiLvlStrRef>
              <c:f>Boxplots!$G$628:$N$629</c:f>
              <c:multiLvlStrCache>
                <c:ptCount val="8"/>
                <c:lvl>
                  <c:pt idx="0">
                    <c:v>Detached</c:v>
                  </c:pt>
                  <c:pt idx="1">
                    <c:v>Row houses</c:v>
                  </c:pt>
                  <c:pt idx="2">
                    <c:v>Apartments</c:v>
                  </c:pt>
                  <c:pt idx="3">
                    <c:v>High-rise</c:v>
                  </c:pt>
                  <c:pt idx="4">
                    <c:v>Detached</c:v>
                  </c:pt>
                  <c:pt idx="5">
                    <c:v>Row houses</c:v>
                  </c:pt>
                  <c:pt idx="6">
                    <c:v>Apartments</c:v>
                  </c:pt>
                  <c:pt idx="7">
                    <c:v>High-rise</c:v>
                  </c:pt>
                </c:lvl>
                <c:lvl>
                  <c:pt idx="0">
                    <c:v>Steel</c:v>
                  </c:pt>
                  <c:pt idx="4">
                    <c:v>Wood</c:v>
                  </c:pt>
                </c:lvl>
              </c:multiLvlStrCache>
            </c:multiLvlStrRef>
          </c:cat>
          <c:val>
            <c:numRef>
              <c:f>Boxplots!$G$643:$N$643</c:f>
              <c:numCache>
                <c:formatCode>General</c:formatCode>
                <c:ptCount val="8"/>
                <c:pt idx="0">
                  <c:v>38.40566100728519</c:v>
                </c:pt>
                <c:pt idx="1">
                  <c:v>11.672977753953358</c:v>
                </c:pt>
                <c:pt idx="2">
                  <c:v>76.74931317072911</c:v>
                </c:pt>
                <c:pt idx="3">
                  <c:v>100.48191078715303</c:v>
                </c:pt>
                <c:pt idx="4">
                  <c:v>57.754792041430193</c:v>
                </c:pt>
                <c:pt idx="5">
                  <c:v>30.394629629629637</c:v>
                </c:pt>
                <c:pt idx="6">
                  <c:v>56.228583677179813</c:v>
                </c:pt>
                <c:pt idx="7">
                  <c:v>61.848601794840086</c:v>
                </c:pt>
              </c:numCache>
            </c:numRef>
          </c:val>
          <c:extLst>
            <c:ext xmlns:c16="http://schemas.microsoft.com/office/drawing/2014/chart" uri="{C3380CC4-5D6E-409C-BE32-E72D297353CC}">
              <c16:uniqueId val="{00000001-CDA0-491F-BE4B-77869F9E2CEA}"/>
            </c:ext>
          </c:extLst>
        </c:ser>
        <c:ser>
          <c:idx val="4"/>
          <c:order val="3"/>
          <c:tx>
            <c:strRef>
              <c:f>Boxplots!$B$644</c:f>
              <c:strCache>
                <c:ptCount val="1"/>
                <c:pt idx="0">
                  <c:v>Diff to top</c:v>
                </c:pt>
              </c:strCache>
            </c:strRef>
          </c:tx>
          <c:spPr>
            <a:noFill/>
            <a:ln w="25400">
              <a:noFill/>
            </a:ln>
            <a:effectLst/>
          </c:spPr>
          <c:invertIfNegative val="0"/>
          <c:dLbls>
            <c:dLbl>
              <c:idx val="0"/>
              <c:tx>
                <c:rich>
                  <a:bodyPr/>
                  <a:lstStyle/>
                  <a:p>
                    <a:fld id="{4FDBEDF1-94B0-4537-9D9B-B352386A8C3A}"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DA0-491F-BE4B-77869F9E2CEA}"/>
                </c:ext>
              </c:extLst>
            </c:dLbl>
            <c:dLbl>
              <c:idx val="1"/>
              <c:tx>
                <c:rich>
                  <a:bodyPr/>
                  <a:lstStyle/>
                  <a:p>
                    <a:fld id="{08409EE9-A37F-4A38-A4B1-B76A4DCA479C}"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DA0-491F-BE4B-77869F9E2CEA}"/>
                </c:ext>
              </c:extLst>
            </c:dLbl>
            <c:dLbl>
              <c:idx val="2"/>
              <c:tx>
                <c:rich>
                  <a:bodyPr/>
                  <a:lstStyle/>
                  <a:p>
                    <a:fld id="{550C3353-971A-4828-9638-8BB561C44106}"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DA0-491F-BE4B-77869F9E2CEA}"/>
                </c:ext>
              </c:extLst>
            </c:dLbl>
            <c:dLbl>
              <c:idx val="3"/>
              <c:tx>
                <c:rich>
                  <a:bodyPr/>
                  <a:lstStyle/>
                  <a:p>
                    <a:fld id="{F9D511EF-F57E-413C-BFE1-7956E524E777}"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DA0-491F-BE4B-77869F9E2CEA}"/>
                </c:ext>
              </c:extLst>
            </c:dLbl>
            <c:dLbl>
              <c:idx val="4"/>
              <c:tx>
                <c:rich>
                  <a:bodyPr/>
                  <a:lstStyle/>
                  <a:p>
                    <a:fld id="{F70613FE-07A6-4C59-9FBC-E3ACB364F855}"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DA0-491F-BE4B-77869F9E2CEA}"/>
                </c:ext>
              </c:extLst>
            </c:dLbl>
            <c:dLbl>
              <c:idx val="5"/>
              <c:tx>
                <c:rich>
                  <a:bodyPr/>
                  <a:lstStyle/>
                  <a:p>
                    <a:fld id="{73C1468C-F4D0-4658-B08B-D36DDD7439B8}"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DA0-491F-BE4B-77869F9E2CEA}"/>
                </c:ext>
              </c:extLst>
            </c:dLbl>
            <c:dLbl>
              <c:idx val="6"/>
              <c:tx>
                <c:rich>
                  <a:bodyPr/>
                  <a:lstStyle/>
                  <a:p>
                    <a:fld id="{0CF93C59-AEA6-4E7F-9355-235B0166805B}"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DA0-491F-BE4B-77869F9E2CEA}"/>
                </c:ext>
              </c:extLst>
            </c:dLbl>
            <c:dLbl>
              <c:idx val="7"/>
              <c:tx>
                <c:rich>
                  <a:bodyPr/>
                  <a:lstStyle/>
                  <a:p>
                    <a:fld id="{8F08243A-5269-423D-A05A-1F113EE50F04}"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DA0-491F-BE4B-77869F9E2CEA}"/>
                </c:ext>
              </c:extLst>
            </c:dLbl>
            <c:spPr>
              <a:noFill/>
              <a:ln>
                <a:noFill/>
              </a:ln>
              <a:effectLst/>
            </c:spPr>
            <c:txPr>
              <a:bodyPr rot="0" spcFirstLastPara="1" vertOverflow="ellipsis" vert="horz" wrap="square" anchor="ctr" anchorCtr="1"/>
              <a:lstStyle/>
              <a:p>
                <a:pPr>
                  <a:defRPr sz="1050" b="1" i="0" u="none" strike="noStrike" kern="1200" baseline="0">
                    <a:solidFill>
                      <a:schemeClr val="accent1"/>
                    </a:solidFill>
                    <a:latin typeface="+mn-lt"/>
                    <a:ea typeface="+mn-ea"/>
                    <a:cs typeface="+mn-cs"/>
                  </a:defRPr>
                </a:pPr>
                <a:endParaRPr lang="nl-NL"/>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Boxplots!$G$628:$N$629</c:f>
              <c:multiLvlStrCache>
                <c:ptCount val="8"/>
                <c:lvl>
                  <c:pt idx="0">
                    <c:v>Detached</c:v>
                  </c:pt>
                  <c:pt idx="1">
                    <c:v>Row houses</c:v>
                  </c:pt>
                  <c:pt idx="2">
                    <c:v>Apartments</c:v>
                  </c:pt>
                  <c:pt idx="3">
                    <c:v>High-rise</c:v>
                  </c:pt>
                  <c:pt idx="4">
                    <c:v>Detached</c:v>
                  </c:pt>
                  <c:pt idx="5">
                    <c:v>Row houses</c:v>
                  </c:pt>
                  <c:pt idx="6">
                    <c:v>Apartments</c:v>
                  </c:pt>
                  <c:pt idx="7">
                    <c:v>High-rise</c:v>
                  </c:pt>
                </c:lvl>
                <c:lvl>
                  <c:pt idx="0">
                    <c:v>Steel</c:v>
                  </c:pt>
                  <c:pt idx="4">
                    <c:v>Wood</c:v>
                  </c:pt>
                </c:lvl>
              </c:multiLvlStrCache>
            </c:multiLvlStrRef>
          </c:cat>
          <c:val>
            <c:numRef>
              <c:f>Boxplots!$G$644:$N$644</c:f>
              <c:numCache>
                <c:formatCode>General</c:formatCode>
                <c:ptCount val="8"/>
                <c:pt idx="0">
                  <c:v>402.65981735159818</c:v>
                </c:pt>
                <c:pt idx="1">
                  <c:v>411.80052651955089</c:v>
                </c:pt>
                <c:pt idx="2">
                  <c:v>343.63564979223383</c:v>
                </c:pt>
                <c:pt idx="3">
                  <c:v>303.83248010737225</c:v>
                </c:pt>
                <c:pt idx="4">
                  <c:v>368.55548193117255</c:v>
                </c:pt>
                <c:pt idx="5">
                  <c:v>399.56370370370371</c:v>
                </c:pt>
                <c:pt idx="6">
                  <c:v>382.85287086827475</c:v>
                </c:pt>
                <c:pt idx="7">
                  <c:v>379.4992635897753</c:v>
                </c:pt>
              </c:numCache>
            </c:numRef>
          </c:val>
          <c:extLst>
            <c:ext xmlns:c15="http://schemas.microsoft.com/office/drawing/2012/chart" uri="{02D57815-91ED-43cb-92C2-25804820EDAC}">
              <c15:datalabelsRange>
                <c15:f>Boxplots!$G$636:$N$636</c15:f>
                <c15:dlblRangeCache>
                  <c:ptCount val="8"/>
                  <c:pt idx="0">
                    <c:v>26</c:v>
                  </c:pt>
                  <c:pt idx="1">
                    <c:v>5</c:v>
                  </c:pt>
                  <c:pt idx="2">
                    <c:v>13</c:v>
                  </c:pt>
                  <c:pt idx="3">
                    <c:v>15</c:v>
                  </c:pt>
                  <c:pt idx="4">
                    <c:v>32</c:v>
                  </c:pt>
                  <c:pt idx="5">
                    <c:v>7</c:v>
                  </c:pt>
                  <c:pt idx="6">
                    <c:v>10</c:v>
                  </c:pt>
                  <c:pt idx="7">
                    <c:v>12</c:v>
                  </c:pt>
                </c15:dlblRangeCache>
              </c15:datalabelsRange>
            </c:ext>
            <c:ext xmlns:c16="http://schemas.microsoft.com/office/drawing/2014/chart" uri="{C3380CC4-5D6E-409C-BE32-E72D297353CC}">
              <c16:uniqueId val="{0000000A-CDA0-491F-BE4B-77869F9E2CEA}"/>
            </c:ext>
          </c:extLst>
        </c:ser>
        <c:dLbls>
          <c:showLegendKey val="0"/>
          <c:showVal val="0"/>
          <c:showCatName val="0"/>
          <c:showSerName val="0"/>
          <c:showPercent val="0"/>
          <c:showBubbleSize val="0"/>
        </c:dLbls>
        <c:gapWidth val="150"/>
        <c:overlap val="100"/>
        <c:axId val="641117624"/>
        <c:axId val="641117952"/>
      </c:barChart>
      <c:scatterChart>
        <c:scatterStyle val="lineMarker"/>
        <c:varyColors val="0"/>
        <c:ser>
          <c:idx val="2"/>
          <c:order val="0"/>
          <c:tx>
            <c:strRef>
              <c:f>Boxplots!$B$630</c:f>
              <c:strCache>
                <c:ptCount val="1"/>
                <c:pt idx="0">
                  <c:v>MEAN</c:v>
                </c:pt>
              </c:strCache>
            </c:strRef>
          </c:tx>
          <c:spPr>
            <a:ln w="25400" cap="rnd">
              <a:noFill/>
              <a:round/>
            </a:ln>
            <a:effectLst/>
          </c:spPr>
          <c:marker>
            <c:symbol val="circle"/>
            <c:size val="5"/>
            <c:spPr>
              <a:solidFill>
                <a:schemeClr val="tx1"/>
              </a:solidFill>
              <a:ln w="12700">
                <a:noFill/>
              </a:ln>
              <a:effectLst/>
            </c:spPr>
          </c:marker>
          <c:errBars>
            <c:errDir val="y"/>
            <c:errBarType val="both"/>
            <c:errValType val="cust"/>
            <c:noEndCap val="0"/>
            <c:plus>
              <c:numRef>
                <c:f>Boxplots!$G$637:$N$637</c:f>
                <c:numCache>
                  <c:formatCode>General</c:formatCode>
                  <c:ptCount val="8"/>
                  <c:pt idx="0">
                    <c:v>69.923842851469317</c:v>
                  </c:pt>
                  <c:pt idx="1">
                    <c:v>6.3997602420163417</c:v>
                  </c:pt>
                  <c:pt idx="2">
                    <c:v>276.93867375285026</c:v>
                  </c:pt>
                  <c:pt idx="3">
                    <c:v>310.01788619424093</c:v>
                  </c:pt>
                  <c:pt idx="4">
                    <c:v>92.81319155836502</c:v>
                  </c:pt>
                  <c:pt idx="5">
                    <c:v>19.686519246014022</c:v>
                  </c:pt>
                  <c:pt idx="6">
                    <c:v>64.834769841617799</c:v>
                  </c:pt>
                  <c:pt idx="7">
                    <c:v>226.18939302695014</c:v>
                  </c:pt>
                </c:numCache>
              </c:numRef>
            </c:plus>
            <c:minus>
              <c:numRef>
                <c:f>Boxplots!$G$638:$N$638</c:f>
                <c:numCache>
                  <c:formatCode>General</c:formatCode>
                  <c:ptCount val="8"/>
                  <c:pt idx="0">
                    <c:v>29.926336486208385</c:v>
                  </c:pt>
                  <c:pt idx="1">
                    <c:v>8.2534754112193092</c:v>
                  </c:pt>
                  <c:pt idx="2">
                    <c:v>96.122885496807413</c:v>
                  </c:pt>
                  <c:pt idx="3">
                    <c:v>92.134891583536842</c:v>
                  </c:pt>
                  <c:pt idx="4">
                    <c:v>47.264189394015922</c:v>
                  </c:pt>
                  <c:pt idx="5">
                    <c:v>25.173080503829631</c:v>
                  </c:pt>
                  <c:pt idx="6">
                    <c:v>34.465230158382205</c:v>
                  </c:pt>
                  <c:pt idx="7">
                    <c:v>51.938836569997058</c:v>
                  </c:pt>
                </c:numCache>
              </c:numRef>
            </c:minus>
            <c:spPr>
              <a:noFill/>
              <a:ln w="9525" cap="flat" cmpd="sng" algn="ctr">
                <a:solidFill>
                  <a:schemeClr val="tx1">
                    <a:lumMod val="65000"/>
                    <a:lumOff val="35000"/>
                  </a:schemeClr>
                </a:solidFill>
                <a:round/>
              </a:ln>
              <a:effectLst/>
            </c:spPr>
          </c:errBars>
          <c:xVal>
            <c:multiLvlStrRef>
              <c:f>Boxplots!$G$628:$N$629</c:f>
              <c:multiLvlStrCache>
                <c:ptCount val="8"/>
                <c:lvl>
                  <c:pt idx="0">
                    <c:v>Detached</c:v>
                  </c:pt>
                  <c:pt idx="1">
                    <c:v>Row houses</c:v>
                  </c:pt>
                  <c:pt idx="2">
                    <c:v>Apartments</c:v>
                  </c:pt>
                  <c:pt idx="3">
                    <c:v>High-rise</c:v>
                  </c:pt>
                  <c:pt idx="4">
                    <c:v>Detached</c:v>
                  </c:pt>
                  <c:pt idx="5">
                    <c:v>Row houses</c:v>
                  </c:pt>
                  <c:pt idx="6">
                    <c:v>Apartments</c:v>
                  </c:pt>
                  <c:pt idx="7">
                    <c:v>High-rise</c:v>
                  </c:pt>
                </c:lvl>
                <c:lvl>
                  <c:pt idx="0">
                    <c:v>Steel</c:v>
                  </c:pt>
                  <c:pt idx="4">
                    <c:v>Wood</c:v>
                  </c:pt>
                </c:lvl>
              </c:multiLvlStrCache>
            </c:multiLvlStrRef>
          </c:xVal>
          <c:yVal>
            <c:numRef>
              <c:f>Boxplots!$G$630:$N$630</c:f>
              <c:numCache>
                <c:formatCode>General</c:formatCode>
                <c:ptCount val="8"/>
                <c:pt idx="0">
                  <c:v>32.629322892548593</c:v>
                </c:pt>
                <c:pt idx="1">
                  <c:v>32.885954043697943</c:v>
                </c:pt>
                <c:pt idx="2">
                  <c:v>97.359592534321166</c:v>
                </c:pt>
                <c:pt idx="3">
                  <c:v>116.98211380575906</c:v>
                </c:pt>
                <c:pt idx="4">
                  <c:v>53.069744949571479</c:v>
                </c:pt>
                <c:pt idx="5">
                  <c:v>34.967952298701427</c:v>
                </c:pt>
                <c:pt idx="6">
                  <c:v>37.165230158382208</c:v>
                </c:pt>
                <c:pt idx="7">
                  <c:v>54.476766411717499</c:v>
                </c:pt>
              </c:numCache>
            </c:numRef>
          </c:yVal>
          <c:smooth val="0"/>
          <c:extLst>
            <c:ext xmlns:c16="http://schemas.microsoft.com/office/drawing/2014/chart" uri="{C3380CC4-5D6E-409C-BE32-E72D297353CC}">
              <c16:uniqueId val="{0000000B-CDA0-491F-BE4B-77869F9E2CEA}"/>
            </c:ext>
          </c:extLst>
        </c:ser>
        <c:ser>
          <c:idx val="3"/>
          <c:order val="4"/>
          <c:tx>
            <c:v>MEDIAN</c:v>
          </c:tx>
          <c:spPr>
            <a:ln w="25400" cap="rnd">
              <a:noFill/>
              <a:round/>
            </a:ln>
            <a:effectLst/>
          </c:spPr>
          <c:marker>
            <c:symbol val="dash"/>
            <c:size val="6"/>
            <c:spPr>
              <a:solidFill>
                <a:schemeClr val="tx2">
                  <a:lumMod val="20000"/>
                  <a:lumOff val="80000"/>
                </a:schemeClr>
              </a:solidFill>
              <a:ln w="9525">
                <a:noFill/>
              </a:ln>
              <a:effectLst/>
            </c:spPr>
          </c:marker>
          <c:xVal>
            <c:strRef>
              <c:f>Boxplots!$G$629:$N$629</c:f>
              <c:strCache>
                <c:ptCount val="8"/>
                <c:pt idx="0">
                  <c:v>Detached</c:v>
                </c:pt>
                <c:pt idx="1">
                  <c:v>Row houses</c:v>
                </c:pt>
                <c:pt idx="2">
                  <c:v>Apartments</c:v>
                </c:pt>
                <c:pt idx="3">
                  <c:v>High-rise</c:v>
                </c:pt>
                <c:pt idx="4">
                  <c:v>Detached</c:v>
                </c:pt>
                <c:pt idx="5">
                  <c:v>Row houses</c:v>
                </c:pt>
                <c:pt idx="6">
                  <c:v>Apartments</c:v>
                </c:pt>
                <c:pt idx="7">
                  <c:v>High-rise</c:v>
                </c:pt>
              </c:strCache>
            </c:strRef>
          </c:xVal>
          <c:yVal>
            <c:numRef>
              <c:f>Boxplots!$G$631:$N$631</c:f>
              <c:numCache>
                <c:formatCode>General</c:formatCode>
                <c:ptCount val="8"/>
                <c:pt idx="0">
                  <c:v>28.693750000000001</c:v>
                </c:pt>
                <c:pt idx="1">
                  <c:v>35.583664021164019</c:v>
                </c:pt>
                <c:pt idx="2">
                  <c:v>49.412515964240107</c:v>
                </c:pt>
                <c:pt idx="3">
                  <c:v>81.331100616505807</c:v>
                </c:pt>
                <c:pt idx="4">
                  <c:v>40.705857692307688</c:v>
                </c:pt>
                <c:pt idx="5">
                  <c:v>40</c:v>
                </c:pt>
                <c:pt idx="6">
                  <c:v>22.474076420614232</c:v>
                </c:pt>
                <c:pt idx="7">
                  <c:v>20.059444444444445</c:v>
                </c:pt>
              </c:numCache>
            </c:numRef>
          </c:yVal>
          <c:smooth val="0"/>
          <c:extLst>
            <c:ext xmlns:c16="http://schemas.microsoft.com/office/drawing/2014/chart" uri="{C3380CC4-5D6E-409C-BE32-E72D297353CC}">
              <c16:uniqueId val="{00000000-6F3C-494C-9540-895BF09E05AC}"/>
            </c:ext>
          </c:extLst>
        </c:ser>
        <c:dLbls>
          <c:showLegendKey val="0"/>
          <c:showVal val="0"/>
          <c:showCatName val="0"/>
          <c:showSerName val="0"/>
          <c:showPercent val="0"/>
          <c:showBubbleSize val="0"/>
        </c:dLbls>
        <c:axId val="641117624"/>
        <c:axId val="641117952"/>
      </c:scatterChart>
      <c:catAx>
        <c:axId val="64111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nl-NL"/>
          </a:p>
        </c:txPr>
        <c:crossAx val="641117952"/>
        <c:crosses val="autoZero"/>
        <c:auto val="1"/>
        <c:lblAlgn val="ctr"/>
        <c:lblOffset val="100"/>
        <c:noMultiLvlLbl val="0"/>
      </c:catAx>
      <c:valAx>
        <c:axId val="641117952"/>
        <c:scaling>
          <c:orientation val="minMax"/>
          <c:max val="4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Material content (kg/m2)</a:t>
                </a:r>
              </a:p>
            </c:rich>
          </c:tx>
          <c:layout>
            <c:manualLayout>
              <c:xMode val="edge"/>
              <c:yMode val="edge"/>
              <c:x val="2.7718432786263163E-2"/>
              <c:y val="1.7193724830197751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nl-N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nl-NL"/>
          </a:p>
        </c:txPr>
        <c:crossAx val="641117624"/>
        <c:crosses val="autoZero"/>
        <c:crossBetween val="between"/>
        <c:majorUnit val="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71842376024797"/>
          <c:y val="3.4684666782582779E-2"/>
          <c:w val="0.83276415902296785"/>
          <c:h val="0.633837681318423"/>
        </c:manualLayout>
      </c:layout>
      <c:barChart>
        <c:barDir val="col"/>
        <c:grouping val="stacked"/>
        <c:varyColors val="0"/>
        <c:ser>
          <c:idx val="0"/>
          <c:order val="1"/>
          <c:tx>
            <c:strRef>
              <c:f>Boxplots!$B$641</c:f>
              <c:strCache>
                <c:ptCount val="1"/>
                <c:pt idx="0">
                  <c:v>PERCENTILE</c:v>
                </c:pt>
              </c:strCache>
            </c:strRef>
          </c:tx>
          <c:spPr>
            <a:noFill/>
            <a:ln>
              <a:noFill/>
            </a:ln>
            <a:effectLst/>
          </c:spPr>
          <c:invertIfNegative val="0"/>
          <c:cat>
            <c:multiLvlStrRef>
              <c:f>Boxplots!$O$628:$Z$629</c:f>
              <c:multiLvlStrCache>
                <c:ptCount val="12"/>
                <c:lvl>
                  <c:pt idx="0">
                    <c:v>Detached</c:v>
                  </c:pt>
                  <c:pt idx="1">
                    <c:v>Row houses</c:v>
                  </c:pt>
                  <c:pt idx="2">
                    <c:v>Apartments</c:v>
                  </c:pt>
                  <c:pt idx="3">
                    <c:v>High-rise</c:v>
                  </c:pt>
                  <c:pt idx="4">
                    <c:v>Detached</c:v>
                  </c:pt>
                  <c:pt idx="5">
                    <c:v>Row houses</c:v>
                  </c:pt>
                  <c:pt idx="6">
                    <c:v>Apartments</c:v>
                  </c:pt>
                  <c:pt idx="7">
                    <c:v>High-rise</c:v>
                  </c:pt>
                  <c:pt idx="8">
                    <c:v>Detached</c:v>
                  </c:pt>
                  <c:pt idx="9">
                    <c:v>Row houses</c:v>
                  </c:pt>
                  <c:pt idx="10">
                    <c:v>Apartments</c:v>
                  </c:pt>
                  <c:pt idx="11">
                    <c:v>High-rise</c:v>
                  </c:pt>
                </c:lvl>
                <c:lvl>
                  <c:pt idx="0">
                    <c:v>Copper</c:v>
                  </c:pt>
                  <c:pt idx="4">
                    <c:v>Aluminium</c:v>
                  </c:pt>
                  <c:pt idx="8">
                    <c:v>Glass</c:v>
                  </c:pt>
                </c:lvl>
              </c:multiLvlStrCache>
            </c:multiLvlStrRef>
          </c:cat>
          <c:val>
            <c:numRef>
              <c:f>Boxplots!$O$641:$Z$641</c:f>
              <c:numCache>
                <c:formatCode>General</c:formatCode>
                <c:ptCount val="12"/>
                <c:pt idx="0">
                  <c:v>0.20370370370370369</c:v>
                </c:pt>
                <c:pt idx="1">
                  <c:v>7.8927836566725466E-3</c:v>
                </c:pt>
                <c:pt idx="2">
                  <c:v>0.11837452191790943</c:v>
                </c:pt>
                <c:pt idx="3">
                  <c:v>1.3888888888888888E-2</c:v>
                </c:pt>
                <c:pt idx="4">
                  <c:v>0.98811023835603506</c:v>
                </c:pt>
                <c:pt idx="5">
                  <c:v>0.23425925925925928</c:v>
                </c:pt>
                <c:pt idx="6">
                  <c:v>0.44944976218461541</c:v>
                </c:pt>
                <c:pt idx="7">
                  <c:v>1.331764705882353</c:v>
                </c:pt>
                <c:pt idx="8">
                  <c:v>0.89665517241379322</c:v>
                </c:pt>
                <c:pt idx="9">
                  <c:v>1.0714285714285714</c:v>
                </c:pt>
                <c:pt idx="10">
                  <c:v>1.5960000000000001</c:v>
                </c:pt>
                <c:pt idx="11">
                  <c:v>1.1031473102061335</c:v>
                </c:pt>
              </c:numCache>
            </c:numRef>
          </c:val>
          <c:extLst>
            <c:ext xmlns:c16="http://schemas.microsoft.com/office/drawing/2014/chart" uri="{C3380CC4-5D6E-409C-BE32-E72D297353CC}">
              <c16:uniqueId val="{00000000-1727-4186-8642-A353560414E1}"/>
            </c:ext>
          </c:extLst>
        </c:ser>
        <c:ser>
          <c:idx val="1"/>
          <c:order val="2"/>
          <c:tx>
            <c:strRef>
              <c:f>Boxplots!$B$643</c:f>
              <c:strCache>
                <c:ptCount val="1"/>
                <c:pt idx="0">
                  <c:v>BAR</c:v>
                </c:pt>
              </c:strCache>
            </c:strRef>
          </c:tx>
          <c:spPr>
            <a:solidFill>
              <a:schemeClr val="tx2">
                <a:lumMod val="60000"/>
                <a:lumOff val="40000"/>
              </a:schemeClr>
            </a:solidFill>
            <a:ln>
              <a:noFill/>
            </a:ln>
            <a:effectLst/>
          </c:spPr>
          <c:invertIfNegative val="0"/>
          <c:cat>
            <c:multiLvlStrRef>
              <c:f>Boxplots!$O$628:$Z$629</c:f>
              <c:multiLvlStrCache>
                <c:ptCount val="12"/>
                <c:lvl>
                  <c:pt idx="0">
                    <c:v>Detached</c:v>
                  </c:pt>
                  <c:pt idx="1">
                    <c:v>Row houses</c:v>
                  </c:pt>
                  <c:pt idx="2">
                    <c:v>Apartments</c:v>
                  </c:pt>
                  <c:pt idx="3">
                    <c:v>High-rise</c:v>
                  </c:pt>
                  <c:pt idx="4">
                    <c:v>Detached</c:v>
                  </c:pt>
                  <c:pt idx="5">
                    <c:v>Row houses</c:v>
                  </c:pt>
                  <c:pt idx="6">
                    <c:v>Apartments</c:v>
                  </c:pt>
                  <c:pt idx="7">
                    <c:v>High-rise</c:v>
                  </c:pt>
                  <c:pt idx="8">
                    <c:v>Detached</c:v>
                  </c:pt>
                  <c:pt idx="9">
                    <c:v>Row houses</c:v>
                  </c:pt>
                  <c:pt idx="10">
                    <c:v>Apartments</c:v>
                  </c:pt>
                  <c:pt idx="11">
                    <c:v>High-rise</c:v>
                  </c:pt>
                </c:lvl>
                <c:lvl>
                  <c:pt idx="0">
                    <c:v>Copper</c:v>
                  </c:pt>
                  <c:pt idx="4">
                    <c:v>Aluminium</c:v>
                  </c:pt>
                  <c:pt idx="8">
                    <c:v>Glass</c:v>
                  </c:pt>
                </c:lvl>
              </c:multiLvlStrCache>
            </c:multiLvlStrRef>
          </c:cat>
          <c:val>
            <c:numRef>
              <c:f>Boxplots!$O$643:$Z$643</c:f>
              <c:numCache>
                <c:formatCode>General</c:formatCode>
                <c:ptCount val="12"/>
                <c:pt idx="0">
                  <c:v>2.1975880078140571</c:v>
                </c:pt>
                <c:pt idx="1">
                  <c:v>0</c:v>
                </c:pt>
                <c:pt idx="2">
                  <c:v>0.34038590917087108</c:v>
                </c:pt>
                <c:pt idx="3">
                  <c:v>0</c:v>
                </c:pt>
                <c:pt idx="4">
                  <c:v>4.176343129927897</c:v>
                </c:pt>
                <c:pt idx="5">
                  <c:v>0</c:v>
                </c:pt>
                <c:pt idx="6">
                  <c:v>2.6892980169267084</c:v>
                </c:pt>
                <c:pt idx="7">
                  <c:v>1.8695702617046395</c:v>
                </c:pt>
                <c:pt idx="8">
                  <c:v>3.3602687913069884</c:v>
                </c:pt>
                <c:pt idx="9">
                  <c:v>0</c:v>
                </c:pt>
                <c:pt idx="10">
                  <c:v>6.3411755971641046</c:v>
                </c:pt>
                <c:pt idx="11">
                  <c:v>6.4003472480944721</c:v>
                </c:pt>
              </c:numCache>
            </c:numRef>
          </c:val>
          <c:extLst>
            <c:ext xmlns:c16="http://schemas.microsoft.com/office/drawing/2014/chart" uri="{C3380CC4-5D6E-409C-BE32-E72D297353CC}">
              <c16:uniqueId val="{00000001-1727-4186-8642-A353560414E1}"/>
            </c:ext>
          </c:extLst>
        </c:ser>
        <c:ser>
          <c:idx val="4"/>
          <c:order val="3"/>
          <c:tx>
            <c:strRef>
              <c:f>Boxplots!$B$644</c:f>
              <c:strCache>
                <c:ptCount val="1"/>
                <c:pt idx="0">
                  <c:v>Diff to top</c:v>
                </c:pt>
              </c:strCache>
            </c:strRef>
          </c:tx>
          <c:spPr>
            <a:noFill/>
            <a:ln w="25400">
              <a:noFill/>
            </a:ln>
            <a:effectLst/>
          </c:spPr>
          <c:invertIfNegative val="0"/>
          <c:dLbls>
            <c:dLbl>
              <c:idx val="0"/>
              <c:tx>
                <c:rich>
                  <a:bodyPr/>
                  <a:lstStyle/>
                  <a:p>
                    <a:fld id="{DC138513-A5D6-49FC-8647-8FE99A3A0003}"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727-4186-8642-A353560414E1}"/>
                </c:ext>
              </c:extLst>
            </c:dLbl>
            <c:dLbl>
              <c:idx val="1"/>
              <c:tx>
                <c:rich>
                  <a:bodyPr/>
                  <a:lstStyle/>
                  <a:p>
                    <a:fld id="{04ED9D75-EB1A-4D36-BBDD-EED45BC3D9CF}"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727-4186-8642-A353560414E1}"/>
                </c:ext>
              </c:extLst>
            </c:dLbl>
            <c:dLbl>
              <c:idx val="2"/>
              <c:tx>
                <c:rich>
                  <a:bodyPr/>
                  <a:lstStyle/>
                  <a:p>
                    <a:fld id="{B39F8AB8-5F7A-474F-BCC2-BA65462CBE00}"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727-4186-8642-A353560414E1}"/>
                </c:ext>
              </c:extLst>
            </c:dLbl>
            <c:dLbl>
              <c:idx val="3"/>
              <c:tx>
                <c:rich>
                  <a:bodyPr/>
                  <a:lstStyle/>
                  <a:p>
                    <a:fld id="{339575BF-CF2B-4DA3-9248-789B3EEA5502}"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727-4186-8642-A353560414E1}"/>
                </c:ext>
              </c:extLst>
            </c:dLbl>
            <c:dLbl>
              <c:idx val="4"/>
              <c:tx>
                <c:rich>
                  <a:bodyPr/>
                  <a:lstStyle/>
                  <a:p>
                    <a:fld id="{14AE4D8B-3C4A-4212-8239-87C36B94CE3F}"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727-4186-8642-A353560414E1}"/>
                </c:ext>
              </c:extLst>
            </c:dLbl>
            <c:dLbl>
              <c:idx val="5"/>
              <c:tx>
                <c:rich>
                  <a:bodyPr/>
                  <a:lstStyle/>
                  <a:p>
                    <a:fld id="{8AF17D4B-2B67-42E7-9CBC-3038A199C25D}"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727-4186-8642-A353560414E1}"/>
                </c:ext>
              </c:extLst>
            </c:dLbl>
            <c:dLbl>
              <c:idx val="6"/>
              <c:tx>
                <c:rich>
                  <a:bodyPr/>
                  <a:lstStyle/>
                  <a:p>
                    <a:fld id="{A2749C87-E13F-450F-9927-84DA3206E861}"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727-4186-8642-A353560414E1}"/>
                </c:ext>
              </c:extLst>
            </c:dLbl>
            <c:dLbl>
              <c:idx val="7"/>
              <c:tx>
                <c:rich>
                  <a:bodyPr/>
                  <a:lstStyle/>
                  <a:p>
                    <a:fld id="{2DA99D49-78C6-422B-A916-F7D2F80C497B}"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727-4186-8642-A353560414E1}"/>
                </c:ext>
              </c:extLst>
            </c:dLbl>
            <c:dLbl>
              <c:idx val="8"/>
              <c:tx>
                <c:rich>
                  <a:bodyPr/>
                  <a:lstStyle/>
                  <a:p>
                    <a:fld id="{CFDBF00E-80B0-44E5-B5E8-1479DE16756C}"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727-4186-8642-A353560414E1}"/>
                </c:ext>
              </c:extLst>
            </c:dLbl>
            <c:dLbl>
              <c:idx val="9"/>
              <c:tx>
                <c:rich>
                  <a:bodyPr/>
                  <a:lstStyle/>
                  <a:p>
                    <a:fld id="{B68ED59E-033C-4A22-BDF9-41691836AF8C}"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727-4186-8642-A353560414E1}"/>
                </c:ext>
              </c:extLst>
            </c:dLbl>
            <c:dLbl>
              <c:idx val="10"/>
              <c:tx>
                <c:rich>
                  <a:bodyPr/>
                  <a:lstStyle/>
                  <a:p>
                    <a:fld id="{7C8987F3-9AF6-4A01-87D0-248A6849D3A4}"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727-4186-8642-A353560414E1}"/>
                </c:ext>
              </c:extLst>
            </c:dLbl>
            <c:dLbl>
              <c:idx val="11"/>
              <c:tx>
                <c:rich>
                  <a:bodyPr/>
                  <a:lstStyle/>
                  <a:p>
                    <a:fld id="{106C09B0-59D0-45C9-B036-8D749D35DC2B}"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727-4186-8642-A353560414E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nl-NL"/>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Boxplots!$O$628:$Z$629</c:f>
              <c:multiLvlStrCache>
                <c:ptCount val="12"/>
                <c:lvl>
                  <c:pt idx="0">
                    <c:v>Detached</c:v>
                  </c:pt>
                  <c:pt idx="1">
                    <c:v>Row houses</c:v>
                  </c:pt>
                  <c:pt idx="2">
                    <c:v>Apartments</c:v>
                  </c:pt>
                  <c:pt idx="3">
                    <c:v>High-rise</c:v>
                  </c:pt>
                  <c:pt idx="4">
                    <c:v>Detached</c:v>
                  </c:pt>
                  <c:pt idx="5">
                    <c:v>Row houses</c:v>
                  </c:pt>
                  <c:pt idx="6">
                    <c:v>Apartments</c:v>
                  </c:pt>
                  <c:pt idx="7">
                    <c:v>High-rise</c:v>
                  </c:pt>
                  <c:pt idx="8">
                    <c:v>Detached</c:v>
                  </c:pt>
                  <c:pt idx="9">
                    <c:v>Row houses</c:v>
                  </c:pt>
                  <c:pt idx="10">
                    <c:v>Apartments</c:v>
                  </c:pt>
                  <c:pt idx="11">
                    <c:v>High-rise</c:v>
                  </c:pt>
                </c:lvl>
                <c:lvl>
                  <c:pt idx="0">
                    <c:v>Copper</c:v>
                  </c:pt>
                  <c:pt idx="4">
                    <c:v>Aluminium</c:v>
                  </c:pt>
                  <c:pt idx="8">
                    <c:v>Glass</c:v>
                  </c:pt>
                </c:lvl>
              </c:multiLvlStrCache>
            </c:multiLvlStrRef>
          </c:cat>
          <c:val>
            <c:numRef>
              <c:f>Boxplots!$O$644:$Z$644</c:f>
              <c:numCache>
                <c:formatCode>General</c:formatCode>
                <c:ptCount val="12"/>
                <c:pt idx="0">
                  <c:v>12.598708288482239</c:v>
                </c:pt>
                <c:pt idx="1">
                  <c:v>14.992107216343328</c:v>
                </c:pt>
                <c:pt idx="2">
                  <c:v>14.541239568911219</c:v>
                </c:pt>
                <c:pt idx="3">
                  <c:v>14.986111111111111</c:v>
                </c:pt>
                <c:pt idx="4">
                  <c:v>9.8355466317160669</c:v>
                </c:pt>
                <c:pt idx="5">
                  <c:v>14.765740740740741</c:v>
                </c:pt>
                <c:pt idx="6">
                  <c:v>11.861252220888677</c:v>
                </c:pt>
                <c:pt idx="7">
                  <c:v>11.798665032413007</c:v>
                </c:pt>
                <c:pt idx="8">
                  <c:v>10.743076036279218</c:v>
                </c:pt>
                <c:pt idx="9">
                  <c:v>13.928571428571429</c:v>
                </c:pt>
                <c:pt idx="10">
                  <c:v>7.0628244028358953</c:v>
                </c:pt>
                <c:pt idx="11">
                  <c:v>7.4965054416993944</c:v>
                </c:pt>
              </c:numCache>
            </c:numRef>
          </c:val>
          <c:extLst>
            <c:ext xmlns:c15="http://schemas.microsoft.com/office/drawing/2012/chart" uri="{02D57815-91ED-43cb-92C2-25804820EDAC}">
              <c15:datalabelsRange>
                <c15:f>Boxplots!$O$636:$Z$636</c15:f>
                <c15:dlblRangeCache>
                  <c:ptCount val="12"/>
                  <c:pt idx="0">
                    <c:v>11</c:v>
                  </c:pt>
                  <c:pt idx="1">
                    <c:v>1</c:v>
                  </c:pt>
                  <c:pt idx="2">
                    <c:v>5</c:v>
                  </c:pt>
                  <c:pt idx="3">
                    <c:v>1</c:v>
                  </c:pt>
                  <c:pt idx="4">
                    <c:v>13</c:v>
                  </c:pt>
                  <c:pt idx="5">
                    <c:v>1</c:v>
                  </c:pt>
                  <c:pt idx="6">
                    <c:v>3</c:v>
                  </c:pt>
                  <c:pt idx="7">
                    <c:v>4</c:v>
                  </c:pt>
                  <c:pt idx="8">
                    <c:v>17</c:v>
                  </c:pt>
                  <c:pt idx="9">
                    <c:v>1</c:v>
                  </c:pt>
                  <c:pt idx="10">
                    <c:v>5</c:v>
                  </c:pt>
                  <c:pt idx="11">
                    <c:v>10</c:v>
                  </c:pt>
                </c15:dlblRangeCache>
              </c15:datalabelsRange>
            </c:ext>
            <c:ext xmlns:c16="http://schemas.microsoft.com/office/drawing/2014/chart" uri="{C3380CC4-5D6E-409C-BE32-E72D297353CC}">
              <c16:uniqueId val="{0000000E-1727-4186-8642-A353560414E1}"/>
            </c:ext>
          </c:extLst>
        </c:ser>
        <c:dLbls>
          <c:showLegendKey val="0"/>
          <c:showVal val="0"/>
          <c:showCatName val="0"/>
          <c:showSerName val="0"/>
          <c:showPercent val="0"/>
          <c:showBubbleSize val="0"/>
        </c:dLbls>
        <c:gapWidth val="150"/>
        <c:overlap val="100"/>
        <c:axId val="641117624"/>
        <c:axId val="641117952"/>
      </c:barChart>
      <c:scatterChart>
        <c:scatterStyle val="lineMarker"/>
        <c:varyColors val="0"/>
        <c:ser>
          <c:idx val="2"/>
          <c:order val="0"/>
          <c:tx>
            <c:strRef>
              <c:f>Boxplots!$B$630</c:f>
              <c:strCache>
                <c:ptCount val="1"/>
                <c:pt idx="0">
                  <c:v>MEAN</c:v>
                </c:pt>
              </c:strCache>
            </c:strRef>
          </c:tx>
          <c:spPr>
            <a:ln w="25400" cap="rnd">
              <a:noFill/>
              <a:round/>
            </a:ln>
            <a:effectLst/>
          </c:spPr>
          <c:marker>
            <c:symbol val="circle"/>
            <c:size val="5"/>
            <c:spPr>
              <a:solidFill>
                <a:schemeClr val="tx1"/>
              </a:solidFill>
              <a:ln w="12700">
                <a:noFill/>
              </a:ln>
              <a:effectLst/>
            </c:spPr>
          </c:marker>
          <c:errBars>
            <c:errDir val="y"/>
            <c:errBarType val="both"/>
            <c:errValType val="cust"/>
            <c:noEndCap val="0"/>
            <c:plus>
              <c:numRef>
                <c:f>Boxplots!$O$637:$Z$637</c:f>
                <c:numCache>
                  <c:formatCode>General</c:formatCode>
                  <c:ptCount val="12"/>
                  <c:pt idx="0">
                    <c:v>7.2722294426412564</c:v>
                  </c:pt>
                  <c:pt idx="1">
                    <c:v>0</c:v>
                  </c:pt>
                  <c:pt idx="2">
                    <c:v>0.42666100649663785</c:v>
                  </c:pt>
                  <c:pt idx="3">
                    <c:v>0</c:v>
                  </c:pt>
                  <c:pt idx="4">
                    <c:v>10.890699879612146</c:v>
                  </c:pt>
                  <c:pt idx="5">
                    <c:v>0</c:v>
                  </c:pt>
                  <c:pt idx="6">
                    <c:v>2.9802341058758293</c:v>
                  </c:pt>
                  <c:pt idx="7">
                    <c:v>1.2299971917360741</c:v>
                  </c:pt>
                  <c:pt idx="8">
                    <c:v>5.1402181687008373</c:v>
                  </c:pt>
                  <c:pt idx="9">
                    <c:v>0</c:v>
                  </c:pt>
                  <c:pt idx="10">
                    <c:v>14.666035721989742</c:v>
                  </c:pt>
                  <c:pt idx="11">
                    <c:v>8.1199035882393655</c:v>
                  </c:pt>
                </c:numCache>
              </c:numRef>
            </c:plus>
            <c:minus>
              <c:numRef>
                <c:f>Boxplots!$O$638:$Z$638</c:f>
                <c:numCache>
                  <c:formatCode>General</c:formatCode>
                  <c:ptCount val="12"/>
                  <c:pt idx="0">
                    <c:v>1.7210365506247365</c:v>
                  </c:pt>
                  <c:pt idx="1">
                    <c:v>0</c:v>
                  </c:pt>
                  <c:pt idx="2">
                    <c:v>0.29818341914008106</c:v>
                  </c:pt>
                  <c:pt idx="3">
                    <c:v>0</c:v>
                  </c:pt>
                  <c:pt idx="4">
                    <c:v>3.2062574776836219</c:v>
                  </c:pt>
                  <c:pt idx="5">
                    <c:v>0</c:v>
                  </c:pt>
                  <c:pt idx="6">
                    <c:v>1.5019292556686841</c:v>
                  </c:pt>
                  <c:pt idx="7">
                    <c:v>1.8728525374567251</c:v>
                  </c:pt>
                  <c:pt idx="8">
                    <c:v>2.6412054523860591</c:v>
                  </c:pt>
                  <c:pt idx="9">
                    <c:v>0</c:v>
                  </c:pt>
                  <c:pt idx="10">
                    <c:v>5.5731755971641013</c:v>
                  </c:pt>
                  <c:pt idx="11">
                    <c:v>3.76038556954598</c:v>
                  </c:pt>
                </c:numCache>
              </c:numRef>
            </c:minus>
            <c:spPr>
              <a:noFill/>
              <a:ln w="9525" cap="flat" cmpd="sng" algn="ctr">
                <a:solidFill>
                  <a:schemeClr val="tx1">
                    <a:lumMod val="65000"/>
                    <a:lumOff val="35000"/>
                  </a:schemeClr>
                </a:solidFill>
                <a:round/>
              </a:ln>
              <a:effectLst/>
            </c:spPr>
          </c:errBars>
          <c:xVal>
            <c:multiLvlStrRef>
              <c:f>Boxplots!$O$628:$Z$629</c:f>
              <c:multiLvlStrCache>
                <c:ptCount val="12"/>
                <c:lvl>
                  <c:pt idx="0">
                    <c:v>Detached</c:v>
                  </c:pt>
                  <c:pt idx="1">
                    <c:v>Row houses</c:v>
                  </c:pt>
                  <c:pt idx="2">
                    <c:v>Apartments</c:v>
                  </c:pt>
                  <c:pt idx="3">
                    <c:v>High-rise</c:v>
                  </c:pt>
                  <c:pt idx="4">
                    <c:v>Detached</c:v>
                  </c:pt>
                  <c:pt idx="5">
                    <c:v>Row houses</c:v>
                  </c:pt>
                  <c:pt idx="6">
                    <c:v>Apartments</c:v>
                  </c:pt>
                  <c:pt idx="7">
                    <c:v>High-rise</c:v>
                  </c:pt>
                  <c:pt idx="8">
                    <c:v>Detached</c:v>
                  </c:pt>
                  <c:pt idx="9">
                    <c:v>Row houses</c:v>
                  </c:pt>
                  <c:pt idx="10">
                    <c:v>Apartments</c:v>
                  </c:pt>
                  <c:pt idx="11">
                    <c:v>High-rise</c:v>
                  </c:pt>
                </c:lvl>
                <c:lvl>
                  <c:pt idx="0">
                    <c:v>Copper</c:v>
                  </c:pt>
                  <c:pt idx="4">
                    <c:v>Aluminium</c:v>
                  </c:pt>
                  <c:pt idx="8">
                    <c:v>Glass</c:v>
                  </c:pt>
                </c:lvl>
              </c:multiLvlStrCache>
            </c:multiLvlStrRef>
          </c:xVal>
          <c:yVal>
            <c:numRef>
              <c:f>Boxplots!$O$630:$Z$630</c:f>
              <c:numCache>
                <c:formatCode>General</c:formatCode>
                <c:ptCount val="12"/>
                <c:pt idx="0">
                  <c:v>1.7277705573587432</c:v>
                </c:pt>
                <c:pt idx="1">
                  <c:v>7.8927836566725466E-3</c:v>
                </c:pt>
                <c:pt idx="2">
                  <c:v>0.30616553919116662</c:v>
                </c:pt>
                <c:pt idx="3">
                  <c:v>1.3888888888888888E-2</c:v>
                </c:pt>
                <c:pt idx="4">
                  <c:v>3.5634436415305828</c:v>
                </c:pt>
                <c:pt idx="5">
                  <c:v>0.23425925925925928</c:v>
                </c:pt>
                <c:pt idx="6">
                  <c:v>1.9419292556686842</c:v>
                </c:pt>
                <c:pt idx="7">
                  <c:v>2.2022643021626074</c:v>
                </c:pt>
                <c:pt idx="8">
                  <c:v>2.6766873055027003</c:v>
                </c:pt>
                <c:pt idx="9">
                  <c:v>1.0714285714285714</c:v>
                </c:pt>
                <c:pt idx="10">
                  <c:v>6.3531755971641015</c:v>
                </c:pt>
                <c:pt idx="11">
                  <c:v>4.4237189028793136</c:v>
                </c:pt>
              </c:numCache>
            </c:numRef>
          </c:yVal>
          <c:smooth val="0"/>
          <c:extLst>
            <c:ext xmlns:c16="http://schemas.microsoft.com/office/drawing/2014/chart" uri="{C3380CC4-5D6E-409C-BE32-E72D297353CC}">
              <c16:uniqueId val="{0000000F-1727-4186-8642-A353560414E1}"/>
            </c:ext>
          </c:extLst>
        </c:ser>
        <c:ser>
          <c:idx val="3"/>
          <c:order val="4"/>
          <c:tx>
            <c:strRef>
              <c:f>Boxplots!$B$631</c:f>
              <c:strCache>
                <c:ptCount val="1"/>
                <c:pt idx="0">
                  <c:v>MEDIAN</c:v>
                </c:pt>
              </c:strCache>
            </c:strRef>
          </c:tx>
          <c:spPr>
            <a:ln w="25400" cap="rnd">
              <a:noFill/>
              <a:round/>
            </a:ln>
            <a:effectLst/>
          </c:spPr>
          <c:marker>
            <c:symbol val="dash"/>
            <c:size val="6"/>
            <c:spPr>
              <a:solidFill>
                <a:schemeClr val="tx2">
                  <a:lumMod val="20000"/>
                  <a:lumOff val="80000"/>
                </a:schemeClr>
              </a:solidFill>
              <a:ln w="9525">
                <a:noFill/>
              </a:ln>
              <a:effectLst/>
            </c:spPr>
          </c:marker>
          <c:xVal>
            <c:strRef>
              <c:f>Boxplots!$O$629:$Z$629</c:f>
              <c:strCache>
                <c:ptCount val="12"/>
                <c:pt idx="0">
                  <c:v>Detached</c:v>
                </c:pt>
                <c:pt idx="1">
                  <c:v>Row houses</c:v>
                </c:pt>
                <c:pt idx="2">
                  <c:v>Apartments</c:v>
                </c:pt>
                <c:pt idx="3">
                  <c:v>High-rise</c:v>
                </c:pt>
                <c:pt idx="4">
                  <c:v>Detached</c:v>
                </c:pt>
                <c:pt idx="5">
                  <c:v>Row houses</c:v>
                </c:pt>
                <c:pt idx="6">
                  <c:v>Apartments</c:v>
                </c:pt>
                <c:pt idx="7">
                  <c:v>High-rise</c:v>
                </c:pt>
                <c:pt idx="8">
                  <c:v>Detached</c:v>
                </c:pt>
                <c:pt idx="9">
                  <c:v>Row houses</c:v>
                </c:pt>
                <c:pt idx="10">
                  <c:v>Apartments</c:v>
                </c:pt>
                <c:pt idx="11">
                  <c:v>High-rise</c:v>
                </c:pt>
              </c:strCache>
            </c:strRef>
          </c:xVal>
          <c:yVal>
            <c:numRef>
              <c:f>Boxplots!$O$632:$Z$632</c:f>
              <c:numCache>
                <c:formatCode>General</c:formatCode>
                <c:ptCount val="12"/>
                <c:pt idx="0">
                  <c:v>0.76585365853658538</c:v>
                </c:pt>
                <c:pt idx="1">
                  <c:v>20</c:v>
                </c:pt>
                <c:pt idx="2">
                  <c:v>0.25380250539330323</c:v>
                </c:pt>
                <c:pt idx="3">
                  <c:v>20</c:v>
                </c:pt>
                <c:pt idx="4">
                  <c:v>1.5</c:v>
                </c:pt>
                <c:pt idx="5">
                  <c:v>20</c:v>
                </c:pt>
                <c:pt idx="6">
                  <c:v>0.46362440546153844</c:v>
                </c:pt>
                <c:pt idx="7">
                  <c:v>2.523691975022933</c:v>
                </c:pt>
                <c:pt idx="8">
                  <c:v>2.1958041958041958</c:v>
                </c:pt>
                <c:pt idx="9">
                  <c:v>20</c:v>
                </c:pt>
                <c:pt idx="10">
                  <c:v>3.5</c:v>
                </c:pt>
                <c:pt idx="11">
                  <c:v>2.7777777777777777</c:v>
                </c:pt>
              </c:numCache>
            </c:numRef>
          </c:yVal>
          <c:smooth val="0"/>
          <c:extLst>
            <c:ext xmlns:c16="http://schemas.microsoft.com/office/drawing/2014/chart" uri="{C3380CC4-5D6E-409C-BE32-E72D297353CC}">
              <c16:uniqueId val="{00000000-3CEF-4BD5-A2C7-D8BBDEB701A0}"/>
            </c:ext>
          </c:extLst>
        </c:ser>
        <c:dLbls>
          <c:showLegendKey val="0"/>
          <c:showVal val="0"/>
          <c:showCatName val="0"/>
          <c:showSerName val="0"/>
          <c:showPercent val="0"/>
          <c:showBubbleSize val="0"/>
        </c:dLbls>
        <c:axId val="641117624"/>
        <c:axId val="641117952"/>
      </c:scatterChart>
      <c:catAx>
        <c:axId val="64111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nl-NL"/>
          </a:p>
        </c:txPr>
        <c:crossAx val="641117952"/>
        <c:crosses val="autoZero"/>
        <c:auto val="1"/>
        <c:lblAlgn val="ctr"/>
        <c:lblOffset val="100"/>
        <c:noMultiLvlLbl val="0"/>
      </c:catAx>
      <c:valAx>
        <c:axId val="641117952"/>
        <c:scaling>
          <c:orientation val="minMax"/>
          <c:max val="1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Material</a:t>
                </a:r>
                <a:r>
                  <a:rPr lang="en-US" sz="1400" b="1" baseline="0"/>
                  <a:t> content (kg/m</a:t>
                </a:r>
                <a:r>
                  <a:rPr lang="en-US" sz="1400" b="1" baseline="30000"/>
                  <a:t>2</a:t>
                </a:r>
                <a:r>
                  <a:rPr lang="en-US" sz="1400" b="1" baseline="0"/>
                  <a:t>)</a:t>
                </a:r>
                <a:endParaRPr lang="en-US" sz="1400" b="1"/>
              </a:p>
            </c:rich>
          </c:tx>
          <c:layout>
            <c:manualLayout>
              <c:xMode val="edge"/>
              <c:yMode val="edge"/>
              <c:x val="2.2007144039009958E-2"/>
              <c:y val="2.3291236966766622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nl-N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nl-NL"/>
          </a:p>
        </c:txPr>
        <c:crossAx val="641117624"/>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Legend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manualLayout>
          <c:layoutTarget val="inner"/>
          <c:xMode val="edge"/>
          <c:yMode val="edge"/>
          <c:x val="0.19643365540006194"/>
          <c:y val="0.11039444596239352"/>
          <c:w val="0.16631066420703408"/>
          <c:h val="0.69915040511240445"/>
        </c:manualLayout>
      </c:layout>
      <c:barChart>
        <c:barDir val="col"/>
        <c:grouping val="stacked"/>
        <c:varyColors val="0"/>
        <c:ser>
          <c:idx val="0"/>
          <c:order val="1"/>
          <c:tx>
            <c:strRef>
              <c:f>Boxplots!$B$641</c:f>
              <c:strCache>
                <c:ptCount val="1"/>
                <c:pt idx="0">
                  <c:v>PERCENTILE</c:v>
                </c:pt>
              </c:strCache>
            </c:strRef>
          </c:tx>
          <c:spPr>
            <a:noFill/>
            <a:ln>
              <a:noFill/>
            </a:ln>
            <a:effectLst/>
          </c:spPr>
          <c:invertIfNegative val="0"/>
          <c:cat>
            <c:strRef>
              <c:f>Boxplots!$E$628:$E$629</c:f>
              <c:strCache>
                <c:ptCount val="2"/>
                <c:pt idx="1">
                  <c:v>Apartments</c:v>
                </c:pt>
              </c:strCache>
            </c:strRef>
          </c:cat>
          <c:val>
            <c:numRef>
              <c:f>Boxplots!$E$641</c:f>
              <c:numCache>
                <c:formatCode>General</c:formatCode>
                <c:ptCount val="1"/>
                <c:pt idx="0">
                  <c:v>585.94433862433868</c:v>
                </c:pt>
              </c:numCache>
            </c:numRef>
          </c:val>
          <c:extLst>
            <c:ext xmlns:c16="http://schemas.microsoft.com/office/drawing/2014/chart" uri="{C3380CC4-5D6E-409C-BE32-E72D297353CC}">
              <c16:uniqueId val="{00000001-9063-4D99-B3FC-FB31E36072B3}"/>
            </c:ext>
          </c:extLst>
        </c:ser>
        <c:ser>
          <c:idx val="1"/>
          <c:order val="2"/>
          <c:tx>
            <c:strRef>
              <c:f>Boxplots!$B$643</c:f>
              <c:strCache>
                <c:ptCount val="1"/>
                <c:pt idx="0">
                  <c:v>BAR</c:v>
                </c:pt>
              </c:strCache>
            </c:strRef>
          </c:tx>
          <c:spPr>
            <a:solidFill>
              <a:schemeClr val="tx2">
                <a:lumMod val="60000"/>
                <a:lumOff val="40000"/>
              </a:schemeClr>
            </a:solidFill>
            <a:ln>
              <a:noFill/>
            </a:ln>
            <a:effectLst/>
          </c:spPr>
          <c:invertIfNegative val="0"/>
          <c:cat>
            <c:strRef>
              <c:f>Boxplots!$E$628:$E$629</c:f>
              <c:strCache>
                <c:ptCount val="2"/>
                <c:pt idx="1">
                  <c:v>Apartments</c:v>
                </c:pt>
              </c:strCache>
            </c:strRef>
          </c:cat>
          <c:val>
            <c:numRef>
              <c:f>Boxplots!$E$643</c:f>
              <c:numCache>
                <c:formatCode>General</c:formatCode>
                <c:ptCount val="1"/>
                <c:pt idx="0">
                  <c:v>784.24547955748005</c:v>
                </c:pt>
              </c:numCache>
            </c:numRef>
          </c:val>
          <c:extLst>
            <c:ext xmlns:c16="http://schemas.microsoft.com/office/drawing/2014/chart" uri="{C3380CC4-5D6E-409C-BE32-E72D297353CC}">
              <c16:uniqueId val="{00000002-9063-4D99-B3FC-FB31E36072B3}"/>
            </c:ext>
          </c:extLst>
        </c:ser>
        <c:ser>
          <c:idx val="4"/>
          <c:order val="3"/>
          <c:tx>
            <c:strRef>
              <c:f>Boxplots!$B$644</c:f>
              <c:strCache>
                <c:ptCount val="1"/>
                <c:pt idx="0">
                  <c:v>Diff to top</c:v>
                </c:pt>
              </c:strCache>
            </c:strRef>
          </c:tx>
          <c:spPr>
            <a:noFill/>
            <a:ln w="25400">
              <a:noFill/>
            </a:ln>
            <a:effectLst/>
          </c:spPr>
          <c:invertIfNegative val="0"/>
          <c:dLbls>
            <c:dLbl>
              <c:idx val="0"/>
              <c:tx>
                <c:rich>
                  <a:bodyPr/>
                  <a:lstStyle/>
                  <a:p>
                    <a:fld id="{FBA57BCC-75CD-4E16-95A6-078028B7158B}" type="CELLRANGE">
                      <a:rPr lang="nl-NL"/>
                      <a:pPr/>
                      <a:t>[CELLRANGE]</a:t>
                    </a:fld>
                    <a:endParaRPr lang="nl-NL"/>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063-4D99-B3FC-FB31E36072B3}"/>
                </c:ext>
              </c:extLst>
            </c:dLbl>
            <c:spPr>
              <a:noFill/>
              <a:ln>
                <a:noFill/>
              </a:ln>
              <a:effectLst/>
            </c:spPr>
            <c:txPr>
              <a:bodyPr rot="0" spcFirstLastPara="1" vertOverflow="overflow" horzOverflow="overflow" vert="horz" wrap="square" lIns="38100" tIns="0" rIns="38100" bIns="0" anchor="b" anchorCtr="0">
                <a:spAutoFit/>
              </a:bodyPr>
              <a:lstStyle/>
              <a:p>
                <a:pPr>
                  <a:defRPr sz="1000" b="1" i="0" u="none" strike="noStrike" kern="1200" baseline="0">
                    <a:solidFill>
                      <a:schemeClr val="accent1"/>
                    </a:solidFill>
                    <a:latin typeface="+mn-lt"/>
                    <a:ea typeface="+mn-ea"/>
                    <a:cs typeface="+mn-cs"/>
                  </a:defRPr>
                </a:pPr>
                <a:endParaRPr lang="nl-NL"/>
              </a:p>
            </c:txPr>
            <c:dLblPos val="in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Boxplots!$E$628:$E$629</c:f>
              <c:strCache>
                <c:ptCount val="2"/>
                <c:pt idx="1">
                  <c:v>Apartments</c:v>
                </c:pt>
              </c:strCache>
            </c:strRef>
          </c:cat>
          <c:val>
            <c:numRef>
              <c:f>Boxplots!$D$642</c:f>
              <c:numCache>
                <c:formatCode>General</c:formatCode>
                <c:ptCount val="1"/>
                <c:pt idx="0">
                  <c:v>1294.2222222222222</c:v>
                </c:pt>
              </c:numCache>
            </c:numRef>
          </c:val>
          <c:extLst>
            <c:ext xmlns:c15="http://schemas.microsoft.com/office/drawing/2012/chart" uri="{02D57815-91ED-43cb-92C2-25804820EDAC}">
              <c15:datalabelsRange>
                <c15:f>Boxplots!$C$636:$F$636</c15:f>
                <c15:dlblRangeCache>
                  <c:ptCount val="4"/>
                  <c:pt idx="0">
                    <c:v>33</c:v>
                  </c:pt>
                  <c:pt idx="1">
                    <c:v>7</c:v>
                  </c:pt>
                  <c:pt idx="2">
                    <c:v>13</c:v>
                  </c:pt>
                  <c:pt idx="3">
                    <c:v>18</c:v>
                  </c:pt>
                </c15:dlblRangeCache>
              </c15:datalabelsRange>
            </c:ext>
            <c:ext xmlns:c16="http://schemas.microsoft.com/office/drawing/2014/chart" uri="{C3380CC4-5D6E-409C-BE32-E72D297353CC}">
              <c16:uniqueId val="{00000007-9063-4D99-B3FC-FB31E36072B3}"/>
            </c:ext>
          </c:extLst>
        </c:ser>
        <c:dLbls>
          <c:showLegendKey val="0"/>
          <c:showVal val="0"/>
          <c:showCatName val="0"/>
          <c:showSerName val="0"/>
          <c:showPercent val="0"/>
          <c:showBubbleSize val="0"/>
        </c:dLbls>
        <c:gapWidth val="112"/>
        <c:overlap val="100"/>
        <c:axId val="641117624"/>
        <c:axId val="641117952"/>
      </c:barChart>
      <c:scatterChart>
        <c:scatterStyle val="lineMarker"/>
        <c:varyColors val="0"/>
        <c:ser>
          <c:idx val="2"/>
          <c:order val="0"/>
          <c:tx>
            <c:strRef>
              <c:f>Boxplots!$B$630</c:f>
              <c:strCache>
                <c:ptCount val="1"/>
                <c:pt idx="0">
                  <c:v>MEAN</c:v>
                </c:pt>
              </c:strCache>
            </c:strRef>
          </c:tx>
          <c:spPr>
            <a:ln w="25400" cap="rnd">
              <a:noFill/>
              <a:round/>
            </a:ln>
            <a:effectLst/>
          </c:spPr>
          <c:marker>
            <c:symbol val="circle"/>
            <c:size val="5"/>
            <c:spPr>
              <a:solidFill>
                <a:schemeClr val="tx1"/>
              </a:solidFill>
              <a:ln w="12700">
                <a:noFill/>
              </a:ln>
              <a:effectLst/>
            </c:spPr>
          </c:marker>
          <c:errBars>
            <c:errDir val="y"/>
            <c:errBarType val="both"/>
            <c:errValType val="cust"/>
            <c:noEndCap val="0"/>
            <c:plus>
              <c:numRef>
                <c:f>Boxplots!$E$637</c:f>
                <c:numCache>
                  <c:formatCode>General</c:formatCode>
                  <c:ptCount val="1"/>
                  <c:pt idx="0">
                    <c:v>1323.2582006536879</c:v>
                  </c:pt>
                </c:numCache>
              </c:numRef>
            </c:plus>
            <c:minus>
              <c:numRef>
                <c:f>Boxplots!$E$638</c:f>
                <c:numCache>
                  <c:formatCode>General</c:formatCode>
                  <c:ptCount val="1"/>
                  <c:pt idx="0">
                    <c:v>948.40336291234996</c:v>
                  </c:pt>
                </c:numCache>
              </c:numRef>
            </c:minus>
            <c:spPr>
              <a:noFill/>
              <a:ln w="9525" cap="flat" cmpd="sng" algn="ctr">
                <a:solidFill>
                  <a:schemeClr val="tx1">
                    <a:lumMod val="65000"/>
                    <a:lumOff val="35000"/>
                  </a:schemeClr>
                </a:solidFill>
                <a:round/>
              </a:ln>
              <a:effectLst/>
            </c:spPr>
          </c:errBars>
          <c:xVal>
            <c:strRef>
              <c:f>Boxplots!$E$628:$E$629</c:f>
              <c:strCache>
                <c:ptCount val="2"/>
                <c:pt idx="1">
                  <c:v>Apartments</c:v>
                </c:pt>
              </c:strCache>
            </c:strRef>
          </c:xVal>
          <c:yVal>
            <c:numRef>
              <c:f>Boxplots!$E$630</c:f>
              <c:numCache>
                <c:formatCode>General</c:formatCode>
                <c:ptCount val="1"/>
                <c:pt idx="0">
                  <c:v>995.91852899196533</c:v>
                </c:pt>
              </c:numCache>
            </c:numRef>
          </c:yVal>
          <c:smooth val="0"/>
          <c:extLst>
            <c:ext xmlns:c16="http://schemas.microsoft.com/office/drawing/2014/chart" uri="{C3380CC4-5D6E-409C-BE32-E72D297353CC}">
              <c16:uniqueId val="{00000008-9063-4D99-B3FC-FB31E36072B3}"/>
            </c:ext>
          </c:extLst>
        </c:ser>
        <c:ser>
          <c:idx val="3"/>
          <c:order val="4"/>
          <c:tx>
            <c:strRef>
              <c:f>Boxplots!$B$631</c:f>
              <c:strCache>
                <c:ptCount val="1"/>
                <c:pt idx="0">
                  <c:v>MEDIAN</c:v>
                </c:pt>
              </c:strCache>
            </c:strRef>
          </c:tx>
          <c:spPr>
            <a:ln w="25400" cap="rnd">
              <a:noFill/>
              <a:round/>
            </a:ln>
            <a:effectLst/>
          </c:spPr>
          <c:marker>
            <c:symbol val="circle"/>
            <c:size val="5"/>
            <c:spPr>
              <a:solidFill>
                <a:schemeClr val="accent4"/>
              </a:solidFill>
              <a:ln w="9525">
                <a:solidFill>
                  <a:schemeClr val="accent4"/>
                </a:solidFill>
              </a:ln>
              <a:effectLst/>
            </c:spPr>
          </c:marker>
          <c:dPt>
            <c:idx val="0"/>
            <c:marker>
              <c:symbol val="dash"/>
              <c:size val="6"/>
              <c:spPr>
                <a:solidFill>
                  <a:schemeClr val="tx2">
                    <a:lumMod val="20000"/>
                    <a:lumOff val="80000"/>
                  </a:schemeClr>
                </a:solidFill>
                <a:ln w="9525">
                  <a:noFill/>
                </a:ln>
                <a:effectLst/>
              </c:spPr>
            </c:marker>
            <c:bubble3D val="0"/>
            <c:extLst>
              <c:ext xmlns:c16="http://schemas.microsoft.com/office/drawing/2014/chart" uri="{C3380CC4-5D6E-409C-BE32-E72D297353CC}">
                <c16:uniqueId val="{00000001-CC97-4DAA-9DF2-B41947B7DCB8}"/>
              </c:ext>
            </c:extLst>
          </c:dPt>
          <c:yVal>
            <c:numRef>
              <c:f>Boxplots!$C$631</c:f>
              <c:numCache>
                <c:formatCode>General</c:formatCode>
                <c:ptCount val="1"/>
                <c:pt idx="0">
                  <c:v>790.11232323232332</c:v>
                </c:pt>
              </c:numCache>
            </c:numRef>
          </c:yVal>
          <c:smooth val="0"/>
          <c:extLst>
            <c:ext xmlns:c16="http://schemas.microsoft.com/office/drawing/2014/chart" uri="{C3380CC4-5D6E-409C-BE32-E72D297353CC}">
              <c16:uniqueId val="{00000000-CC97-4DAA-9DF2-B41947B7DCB8}"/>
            </c:ext>
          </c:extLst>
        </c:ser>
        <c:dLbls>
          <c:showLegendKey val="0"/>
          <c:showVal val="0"/>
          <c:showCatName val="0"/>
          <c:showSerName val="0"/>
          <c:showPercent val="0"/>
          <c:showBubbleSize val="0"/>
        </c:dLbls>
        <c:axId val="641117624"/>
        <c:axId val="641117952"/>
      </c:scatterChart>
      <c:catAx>
        <c:axId val="641117624"/>
        <c:scaling>
          <c:orientation val="minMax"/>
        </c:scaling>
        <c:delete val="1"/>
        <c:axPos val="b"/>
        <c:numFmt formatCode="General" sourceLinked="1"/>
        <c:majorTickMark val="none"/>
        <c:minorTickMark val="none"/>
        <c:tickLblPos val="nextTo"/>
        <c:crossAx val="641117952"/>
        <c:crosses val="autoZero"/>
        <c:auto val="1"/>
        <c:lblAlgn val="ctr"/>
        <c:lblOffset val="100"/>
        <c:noMultiLvlLbl val="0"/>
      </c:catAx>
      <c:valAx>
        <c:axId val="641117952"/>
        <c:scaling>
          <c:orientation val="minMax"/>
          <c:max val="3500"/>
        </c:scaling>
        <c:delete val="1"/>
        <c:axPos val="l"/>
        <c:numFmt formatCode="0" sourceLinked="0"/>
        <c:majorTickMark val="none"/>
        <c:minorTickMark val="none"/>
        <c:tickLblPos val="nextTo"/>
        <c:crossAx val="64111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152400</xdr:colOff>
      <xdr:row>645</xdr:row>
      <xdr:rowOff>27215</xdr:rowOff>
    </xdr:from>
    <xdr:to>
      <xdr:col>5</xdr:col>
      <xdr:colOff>139699</xdr:colOff>
      <xdr:row>670</xdr:row>
      <xdr:rowOff>76200</xdr:rowOff>
    </xdr:to>
    <xdr:graphicFrame macro="">
      <xdr:nvGraphicFramePr>
        <xdr:cNvPr id="8" name="Chart 7">
          <a:extLst>
            <a:ext uri="{FF2B5EF4-FFF2-40B4-BE49-F238E27FC236}">
              <a16:creationId xmlns:a16="http://schemas.microsoft.com/office/drawing/2014/main" id="{276D4335-715F-48BC-9B94-44AC07CE6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108856</xdr:colOff>
      <xdr:row>645</xdr:row>
      <xdr:rowOff>18142</xdr:rowOff>
    </xdr:from>
    <xdr:to>
      <xdr:col>11</xdr:col>
      <xdr:colOff>596900</xdr:colOff>
      <xdr:row>670</xdr:row>
      <xdr:rowOff>88900</xdr:rowOff>
    </xdr:to>
    <xdr:graphicFrame macro="">
      <xdr:nvGraphicFramePr>
        <xdr:cNvPr id="9" name="Chart 8">
          <a:extLst>
            <a:ext uri="{FF2B5EF4-FFF2-40B4-BE49-F238E27FC236}">
              <a16:creationId xmlns:a16="http://schemas.microsoft.com/office/drawing/2014/main" id="{F0E01135-DBDE-4300-8AAC-C4CE81EF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437242</xdr:colOff>
      <xdr:row>645</xdr:row>
      <xdr:rowOff>29028</xdr:rowOff>
    </xdr:from>
    <xdr:to>
      <xdr:col>20</xdr:col>
      <xdr:colOff>177800</xdr:colOff>
      <xdr:row>670</xdr:row>
      <xdr:rowOff>101600</xdr:rowOff>
    </xdr:to>
    <xdr:graphicFrame macro="">
      <xdr:nvGraphicFramePr>
        <xdr:cNvPr id="10" name="Chart 9">
          <a:extLst>
            <a:ext uri="{FF2B5EF4-FFF2-40B4-BE49-F238E27FC236}">
              <a16:creationId xmlns:a16="http://schemas.microsoft.com/office/drawing/2014/main" id="{B2EC9652-DF1A-446A-AF08-866412127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308429</xdr:colOff>
      <xdr:row>645</xdr:row>
      <xdr:rowOff>27214</xdr:rowOff>
    </xdr:from>
    <xdr:to>
      <xdr:col>24</xdr:col>
      <xdr:colOff>170543</xdr:colOff>
      <xdr:row>667</xdr:row>
      <xdr:rowOff>4536</xdr:rowOff>
    </xdr:to>
    <xdr:graphicFrame macro="">
      <xdr:nvGraphicFramePr>
        <xdr:cNvPr id="11" name="Chart 10">
          <a:extLst>
            <a:ext uri="{FF2B5EF4-FFF2-40B4-BE49-F238E27FC236}">
              <a16:creationId xmlns:a16="http://schemas.microsoft.com/office/drawing/2014/main" id="{09477C4A-EA6D-4D4E-AE7F-85AE3C308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58545</xdr:colOff>
      <xdr:row>651</xdr:row>
      <xdr:rowOff>161623</xdr:rowOff>
    </xdr:from>
    <xdr:to>
      <xdr:col>21</xdr:col>
      <xdr:colOff>172845</xdr:colOff>
      <xdr:row>651</xdr:row>
      <xdr:rowOff>161623</xdr:rowOff>
    </xdr:to>
    <xdr:cxnSp macro="">
      <xdr:nvCxnSpPr>
        <xdr:cNvPr id="13" name="Straight Connector 12">
          <a:extLst>
            <a:ext uri="{FF2B5EF4-FFF2-40B4-BE49-F238E27FC236}">
              <a16:creationId xmlns:a16="http://schemas.microsoft.com/office/drawing/2014/main" id="{93AA9FF6-053F-4422-9CF1-4DB835E7AC01}"/>
            </a:ext>
          </a:extLst>
        </xdr:cNvPr>
        <xdr:cNvCxnSpPr/>
      </xdr:nvCxnSpPr>
      <xdr:spPr>
        <a:xfrm>
          <a:off x="13340993" y="121556106"/>
          <a:ext cx="1143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128634</xdr:colOff>
      <xdr:row>651</xdr:row>
      <xdr:rowOff>21711</xdr:rowOff>
    </xdr:from>
    <xdr:to>
      <xdr:col>22</xdr:col>
      <xdr:colOff>435628</xdr:colOff>
      <xdr:row>652</xdr:row>
      <xdr:rowOff>33851</xdr:rowOff>
    </xdr:to>
    <xdr:sp macro="" textlink="">
      <xdr:nvSpPr>
        <xdr:cNvPr id="15" name="TextBox 14">
          <a:extLst>
            <a:ext uri="{FF2B5EF4-FFF2-40B4-BE49-F238E27FC236}">
              <a16:creationId xmlns:a16="http://schemas.microsoft.com/office/drawing/2014/main" id="{6DC26616-20D7-4D9E-A350-1B7411078278}"/>
            </a:ext>
          </a:extLst>
        </xdr:cNvPr>
        <xdr:cNvSpPr txBox="1"/>
      </xdr:nvSpPr>
      <xdr:spPr>
        <a:xfrm>
          <a:off x="13486046" y="123286417"/>
          <a:ext cx="919582" cy="198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solidFill>
            </a:rPr>
            <a:t># of studies</a:t>
          </a:r>
        </a:p>
      </xdr:txBody>
    </xdr:sp>
    <xdr:clientData/>
  </xdr:twoCellAnchor>
  <xdr:twoCellAnchor>
    <xdr:from>
      <xdr:col>21</xdr:col>
      <xdr:colOff>60133</xdr:colOff>
      <xdr:row>652</xdr:row>
      <xdr:rowOff>131460</xdr:rowOff>
    </xdr:from>
    <xdr:to>
      <xdr:col>21</xdr:col>
      <xdr:colOff>174433</xdr:colOff>
      <xdr:row>652</xdr:row>
      <xdr:rowOff>131460</xdr:rowOff>
    </xdr:to>
    <xdr:cxnSp macro="">
      <xdr:nvCxnSpPr>
        <xdr:cNvPr id="16" name="Straight Connector 15">
          <a:extLst>
            <a:ext uri="{FF2B5EF4-FFF2-40B4-BE49-F238E27FC236}">
              <a16:creationId xmlns:a16="http://schemas.microsoft.com/office/drawing/2014/main" id="{9F437DC1-9AB9-4E8A-979D-3C95542497A9}"/>
            </a:ext>
          </a:extLst>
        </xdr:cNvPr>
        <xdr:cNvCxnSpPr/>
      </xdr:nvCxnSpPr>
      <xdr:spPr>
        <a:xfrm>
          <a:off x="13342581" y="121709874"/>
          <a:ext cx="1143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122284</xdr:colOff>
      <xdr:row>651</xdr:row>
      <xdr:rowOff>174345</xdr:rowOff>
    </xdr:from>
    <xdr:to>
      <xdr:col>23</xdr:col>
      <xdr:colOff>21477</xdr:colOff>
      <xdr:row>652</xdr:row>
      <xdr:rowOff>182282</xdr:rowOff>
    </xdr:to>
    <xdr:sp macro="" textlink="">
      <xdr:nvSpPr>
        <xdr:cNvPr id="17" name="TextBox 16">
          <a:extLst>
            <a:ext uri="{FF2B5EF4-FFF2-40B4-BE49-F238E27FC236}">
              <a16:creationId xmlns:a16="http://schemas.microsoft.com/office/drawing/2014/main" id="{8DF17B01-546F-467B-9658-BCCC5C20EEC8}"/>
            </a:ext>
          </a:extLst>
        </xdr:cNvPr>
        <xdr:cNvSpPr txBox="1"/>
      </xdr:nvSpPr>
      <xdr:spPr>
        <a:xfrm>
          <a:off x="13479696" y="123439051"/>
          <a:ext cx="1124369" cy="194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maximum</a:t>
          </a:r>
        </a:p>
      </xdr:txBody>
    </xdr:sp>
    <xdr:clientData/>
  </xdr:twoCellAnchor>
  <xdr:twoCellAnchor>
    <xdr:from>
      <xdr:col>21</xdr:col>
      <xdr:colOff>49815</xdr:colOff>
      <xdr:row>662</xdr:row>
      <xdr:rowOff>109236</xdr:rowOff>
    </xdr:from>
    <xdr:to>
      <xdr:col>21</xdr:col>
      <xdr:colOff>164115</xdr:colOff>
      <xdr:row>662</xdr:row>
      <xdr:rowOff>109236</xdr:rowOff>
    </xdr:to>
    <xdr:cxnSp macro="">
      <xdr:nvCxnSpPr>
        <xdr:cNvPr id="18" name="Straight Connector 17">
          <a:extLst>
            <a:ext uri="{FF2B5EF4-FFF2-40B4-BE49-F238E27FC236}">
              <a16:creationId xmlns:a16="http://schemas.microsoft.com/office/drawing/2014/main" id="{C5AE7FB5-9C7A-4370-8AFE-ED1FB5EAE124}"/>
            </a:ext>
          </a:extLst>
        </xdr:cNvPr>
        <xdr:cNvCxnSpPr/>
      </xdr:nvCxnSpPr>
      <xdr:spPr>
        <a:xfrm>
          <a:off x="13332263" y="123526960"/>
          <a:ext cx="1143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111966</xdr:colOff>
      <xdr:row>661</xdr:row>
      <xdr:rowOff>152120</xdr:rowOff>
    </xdr:from>
    <xdr:to>
      <xdr:col>23</xdr:col>
      <xdr:colOff>11159</xdr:colOff>
      <xdr:row>662</xdr:row>
      <xdr:rowOff>160057</xdr:rowOff>
    </xdr:to>
    <xdr:sp macro="" textlink="">
      <xdr:nvSpPr>
        <xdr:cNvPr id="19" name="TextBox 18">
          <a:extLst>
            <a:ext uri="{FF2B5EF4-FFF2-40B4-BE49-F238E27FC236}">
              <a16:creationId xmlns:a16="http://schemas.microsoft.com/office/drawing/2014/main" id="{8F5D76E1-3D52-4B7D-9999-BCB5F39BC0AE}"/>
            </a:ext>
          </a:extLst>
        </xdr:cNvPr>
        <xdr:cNvSpPr txBox="1"/>
      </xdr:nvSpPr>
      <xdr:spPr>
        <a:xfrm>
          <a:off x="14767766" y="125691620"/>
          <a:ext cx="1245393" cy="198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minimum</a:t>
          </a:r>
        </a:p>
      </xdr:txBody>
    </xdr:sp>
    <xdr:clientData/>
  </xdr:twoCellAnchor>
  <xdr:twoCellAnchor>
    <xdr:from>
      <xdr:col>21</xdr:col>
      <xdr:colOff>15128</xdr:colOff>
      <xdr:row>657</xdr:row>
      <xdr:rowOff>132828</xdr:rowOff>
    </xdr:from>
    <xdr:to>
      <xdr:col>22</xdr:col>
      <xdr:colOff>587421</xdr:colOff>
      <xdr:row>658</xdr:row>
      <xdr:rowOff>140765</xdr:rowOff>
    </xdr:to>
    <xdr:sp macro="" textlink="">
      <xdr:nvSpPr>
        <xdr:cNvPr id="21" name="TextBox 20">
          <a:extLst>
            <a:ext uri="{FF2B5EF4-FFF2-40B4-BE49-F238E27FC236}">
              <a16:creationId xmlns:a16="http://schemas.microsoft.com/office/drawing/2014/main" id="{B34162ED-FE08-4693-9E38-6257E1E7A72A}"/>
            </a:ext>
          </a:extLst>
        </xdr:cNvPr>
        <xdr:cNvSpPr txBox="1"/>
      </xdr:nvSpPr>
      <xdr:spPr>
        <a:xfrm>
          <a:off x="12828324" y="125291328"/>
          <a:ext cx="1160358" cy="198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mean</a:t>
          </a:r>
        </a:p>
      </xdr:txBody>
    </xdr:sp>
    <xdr:clientData/>
  </xdr:twoCellAnchor>
  <xdr:twoCellAnchor>
    <xdr:from>
      <xdr:col>20</xdr:col>
      <xdr:colOff>672353</xdr:colOff>
      <xdr:row>655</xdr:row>
      <xdr:rowOff>161644</xdr:rowOff>
    </xdr:from>
    <xdr:to>
      <xdr:col>22</xdr:col>
      <xdr:colOff>571546</xdr:colOff>
      <xdr:row>657</xdr:row>
      <xdr:rowOff>35033</xdr:rowOff>
    </xdr:to>
    <xdr:sp macro="" textlink="">
      <xdr:nvSpPr>
        <xdr:cNvPr id="29" name="TextBox 28">
          <a:extLst>
            <a:ext uri="{FF2B5EF4-FFF2-40B4-BE49-F238E27FC236}">
              <a16:creationId xmlns:a16="http://schemas.microsoft.com/office/drawing/2014/main" id="{C3F0E9A5-BDA1-4797-A426-70E466F69D8B}"/>
            </a:ext>
          </a:extLst>
        </xdr:cNvPr>
        <xdr:cNvSpPr txBox="1"/>
      </xdr:nvSpPr>
      <xdr:spPr>
        <a:xfrm>
          <a:off x="14655053" y="124558144"/>
          <a:ext cx="1245393" cy="254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solidFill>
            </a:rPr>
            <a:t>80</a:t>
          </a:r>
          <a:r>
            <a:rPr lang="en-US" sz="1100" baseline="30000">
              <a:solidFill>
                <a:schemeClr val="accent1"/>
              </a:solidFill>
            </a:rPr>
            <a:t>th</a:t>
          </a:r>
          <a:r>
            <a:rPr lang="en-US" sz="1100" baseline="0">
              <a:solidFill>
                <a:schemeClr val="accent1"/>
              </a:solidFill>
            </a:rPr>
            <a:t> percentile</a:t>
          </a:r>
          <a:endParaRPr lang="en-US" sz="1100">
            <a:solidFill>
              <a:schemeClr val="accent1"/>
            </a:solidFill>
          </a:endParaRPr>
        </a:p>
      </xdr:txBody>
    </xdr:sp>
    <xdr:clientData/>
  </xdr:twoCellAnchor>
  <xdr:twoCellAnchor>
    <xdr:from>
      <xdr:col>21</xdr:col>
      <xdr:colOff>22271</xdr:colOff>
      <xdr:row>659</xdr:row>
      <xdr:rowOff>168663</xdr:rowOff>
    </xdr:from>
    <xdr:to>
      <xdr:col>22</xdr:col>
      <xdr:colOff>594564</xdr:colOff>
      <xdr:row>661</xdr:row>
      <xdr:rowOff>31093</xdr:rowOff>
    </xdr:to>
    <xdr:sp macro="" textlink="">
      <xdr:nvSpPr>
        <xdr:cNvPr id="31" name="TextBox 30">
          <a:extLst>
            <a:ext uri="{FF2B5EF4-FFF2-40B4-BE49-F238E27FC236}">
              <a16:creationId xmlns:a16="http://schemas.microsoft.com/office/drawing/2014/main" id="{EA5C6230-5F3A-4123-B578-BD38C82EA9A9}"/>
            </a:ext>
          </a:extLst>
        </xdr:cNvPr>
        <xdr:cNvSpPr txBox="1"/>
      </xdr:nvSpPr>
      <xdr:spPr>
        <a:xfrm>
          <a:off x="14678071" y="125327163"/>
          <a:ext cx="1245393" cy="24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1"/>
              </a:solidFill>
            </a:rPr>
            <a:t>20</a:t>
          </a:r>
          <a:r>
            <a:rPr lang="en-US" sz="1100" baseline="30000">
              <a:solidFill>
                <a:schemeClr val="accent1"/>
              </a:solidFill>
            </a:rPr>
            <a:t>th</a:t>
          </a:r>
          <a:r>
            <a:rPr lang="en-US" sz="1100" baseline="0">
              <a:solidFill>
                <a:schemeClr val="accent1"/>
              </a:solidFill>
            </a:rPr>
            <a:t> percentile</a:t>
          </a:r>
          <a:endParaRPr lang="en-US" sz="1100">
            <a:solidFill>
              <a:schemeClr val="accent1"/>
            </a:solidFill>
          </a:endParaRPr>
        </a:p>
      </xdr:txBody>
    </xdr:sp>
    <xdr:clientData/>
  </xdr:twoCellAnchor>
  <xdr:twoCellAnchor>
    <xdr:from>
      <xdr:col>21</xdr:col>
      <xdr:colOff>10711</xdr:colOff>
      <xdr:row>658</xdr:row>
      <xdr:rowOff>132829</xdr:rowOff>
    </xdr:from>
    <xdr:to>
      <xdr:col>22</xdr:col>
      <xdr:colOff>583004</xdr:colOff>
      <xdr:row>659</xdr:row>
      <xdr:rowOff>140766</xdr:rowOff>
    </xdr:to>
    <xdr:sp macro="" textlink="">
      <xdr:nvSpPr>
        <xdr:cNvPr id="20" name="TextBox 19">
          <a:extLst>
            <a:ext uri="{FF2B5EF4-FFF2-40B4-BE49-F238E27FC236}">
              <a16:creationId xmlns:a16="http://schemas.microsoft.com/office/drawing/2014/main" id="{9B1FDFD5-F03D-4CCC-933C-578D019A86EF}"/>
            </a:ext>
          </a:extLst>
        </xdr:cNvPr>
        <xdr:cNvSpPr txBox="1"/>
      </xdr:nvSpPr>
      <xdr:spPr>
        <a:xfrm>
          <a:off x="12823907" y="125481829"/>
          <a:ext cx="1160358" cy="198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median</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B3:I29" totalsRowShown="0" headerRowDxfId="19" dataDxfId="18">
  <autoFilter ref="B3:I29" xr:uid="{00000000-0009-0000-0100-000002000000}"/>
  <tableColumns count="8">
    <tableColumn id="1" xr3:uid="{00000000-0010-0000-0000-000001000000}" name="Info ready " dataDxfId="17"/>
    <tableColumn id="4" xr3:uid="{00000000-0010-0000-0000-000004000000}" name="Region (Countries available)" dataDxfId="16"/>
    <tableColumn id="2" xr3:uid="{00000000-0010-0000-0000-000002000000}" name="Detached Houses" dataDxfId="15"/>
    <tableColumn id="3" xr3:uid="{00000000-0010-0000-0000-000003000000}" name="Row Houses " dataDxfId="14"/>
    <tableColumn id="5" xr3:uid="{00000000-0010-0000-0000-000005000000}" name="Apartment Buildings (below 4 floors) " dataDxfId="13"/>
    <tableColumn id="6" xr3:uid="{00000000-0010-0000-0000-000006000000}" name="High-Rise Buildings (above 4 floors)" dataDxfId="12"/>
    <tableColumn id="8" xr3:uid="{00000000-0010-0000-0000-000008000000}" name="Urban " dataDxfId="11"/>
    <tableColumn id="9" xr3:uid="{00000000-0010-0000-0000-000009000000}" name="Rural" dataDxfId="1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B3:H29" totalsRowShown="0" headerRowDxfId="9" dataDxfId="8">
  <autoFilter ref="B3:H29" xr:uid="{00000000-0009-0000-0100-000001000000}"/>
  <tableColumns count="7">
    <tableColumn id="1" xr3:uid="{00000000-0010-0000-0100-000001000000}" name="Region " dataDxfId="7"/>
    <tableColumn id="2" xr3:uid="{00000000-0010-0000-0100-000002000000}" name="Steel " dataDxfId="6"/>
    <tableColumn id="5" xr3:uid="{00000000-0010-0000-0100-000005000000}" name="Concrete " dataDxfId="5"/>
    <tableColumn id="6" xr3:uid="{00000000-0010-0000-0100-000006000000}" name="Wood " dataDxfId="4"/>
    <tableColumn id="7" xr3:uid="{00000000-0010-0000-0100-000007000000}" name="Copper " dataDxfId="3"/>
    <tableColumn id="8" xr3:uid="{00000000-0010-0000-0100-000008000000}" name="Aluminium " dataDxfId="2"/>
    <tableColumn id="10" xr3:uid="{00000000-0010-0000-0100-00000A000000}" name="Glass " dataDxfId="1"/>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doi.org/10.1038/s41597-019-0021-x"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oi.org/10.1016/j.conbuildmat.2018.02.045"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i.org/10.1038/s41597-019-0021-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2" Type="http://schemas.openxmlformats.org/officeDocument/2006/relationships/hyperlink" Target="https://doi.org/10.1038/s41597-019-0021-x" TargetMode="External"/><Relationship Id="rId1" Type="http://schemas.openxmlformats.org/officeDocument/2006/relationships/hyperlink" Target="http://www.amaarblock.com/hollow.html"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uk.saint-gobain-building-glass.com/en-gb/architects/physical-propertie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doi.org/10.1038/s41597-019-0021-x"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doi.org/10.1038/s41597-019-0021-x" TargetMode="External"/><Relationship Id="rId1" Type="http://schemas.openxmlformats.org/officeDocument/2006/relationships/hyperlink" Target="https://doi.org/10.1016/0378-7788(95)00914-J"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hyperlink" Target="http://siteresources.worldbank.org/ICPINT/Resources/270056-1255977254560/6483625-1291755426408/12_ICPBook_Dwellings_FINAL.pdf"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tabSelected="1" zoomScaleNormal="100" workbookViewId="0">
      <selection activeCell="B5" sqref="B5"/>
    </sheetView>
  </sheetViews>
  <sheetFormatPr defaultColWidth="10.77734375" defaultRowHeight="14.4" x14ac:dyDescent="0.3"/>
  <sheetData>
    <row r="1" spans="1:6" ht="24.6" x14ac:dyDescent="0.4">
      <c r="A1" s="91" t="s">
        <v>864</v>
      </c>
    </row>
    <row r="4" spans="1:6" ht="24.6" x14ac:dyDescent="0.3">
      <c r="A4" s="89" t="s">
        <v>863</v>
      </c>
    </row>
    <row r="5" spans="1:6" ht="21" x14ac:dyDescent="0.3">
      <c r="A5" s="90" t="s">
        <v>872</v>
      </c>
    </row>
    <row r="8" spans="1:6" ht="24.6" x14ac:dyDescent="0.4">
      <c r="A8" s="91" t="s">
        <v>865</v>
      </c>
      <c r="C8" s="88"/>
    </row>
    <row r="9" spans="1:6" ht="21" x14ac:dyDescent="0.3">
      <c r="A9" s="90" t="s">
        <v>866</v>
      </c>
      <c r="C9" s="88"/>
    </row>
    <row r="10" spans="1:6" ht="21" x14ac:dyDescent="0.3">
      <c r="A10" s="90" t="s">
        <v>870</v>
      </c>
      <c r="C10" s="88"/>
    </row>
    <row r="11" spans="1:6" ht="21" x14ac:dyDescent="0.3">
      <c r="A11" s="90" t="s">
        <v>871</v>
      </c>
    </row>
    <row r="12" spans="1:6" ht="21" x14ac:dyDescent="0.3">
      <c r="A12" s="90" t="s">
        <v>867</v>
      </c>
    </row>
    <row r="14" spans="1:6" ht="21" x14ac:dyDescent="0.4">
      <c r="A14" s="120" t="s">
        <v>963</v>
      </c>
      <c r="B14" s="121"/>
      <c r="C14" s="121"/>
      <c r="D14" s="121"/>
      <c r="E14" s="121"/>
      <c r="F14" s="122" t="s">
        <v>964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B10"/>
  <sheetViews>
    <sheetView topLeftCell="N1" zoomScaleNormal="100" workbookViewId="0">
      <selection activeCell="X2" sqref="X2:X4"/>
    </sheetView>
  </sheetViews>
  <sheetFormatPr defaultColWidth="8.77734375" defaultRowHeight="14.4" x14ac:dyDescent="0.3"/>
  <cols>
    <col min="1" max="1" width="4.21875" style="13" customWidth="1"/>
    <col min="2" max="2" width="13.21875" style="13" customWidth="1"/>
    <col min="3" max="3" width="32.44140625" style="13" customWidth="1"/>
    <col min="4" max="4" width="25.21875" style="13" customWidth="1"/>
    <col min="5" max="5" width="25" style="13" customWidth="1"/>
    <col min="6" max="6" width="19.44140625" style="13" customWidth="1"/>
    <col min="7" max="7" width="12.21875" style="13" customWidth="1"/>
    <col min="8" max="8" width="16.21875" style="13" customWidth="1"/>
    <col min="9" max="9" width="27.77734375" style="13" customWidth="1"/>
    <col min="10" max="10" width="16" style="13" customWidth="1"/>
    <col min="11" max="11" width="30.21875" style="13" customWidth="1"/>
    <col min="12" max="13" width="22.44140625" style="13" customWidth="1"/>
    <col min="14" max="14" width="23" style="13" customWidth="1"/>
    <col min="15" max="15" width="13.21875" style="13" customWidth="1"/>
    <col min="16" max="16" width="13.44140625" style="13" customWidth="1"/>
    <col min="17" max="17" width="12.21875" style="13" customWidth="1"/>
    <col min="18" max="18" width="13.21875" style="13" customWidth="1"/>
    <col min="19" max="19" width="11.44140625" style="13" customWidth="1"/>
    <col min="20" max="20" width="9.77734375" style="13" customWidth="1"/>
    <col min="21" max="21" width="14.77734375" style="13" customWidth="1"/>
    <col min="22" max="22" width="13.44140625" style="13" customWidth="1"/>
    <col min="23" max="23" width="17.77734375" style="13" customWidth="1"/>
    <col min="24" max="24" width="10.21875" style="13" customWidth="1"/>
    <col min="25" max="25" width="8.77734375" style="13"/>
    <col min="26" max="26" width="9.21875" style="13" customWidth="1"/>
    <col min="27" max="27" width="13" style="13" customWidth="1"/>
    <col min="28" max="28" width="14.21875" style="13" customWidth="1"/>
    <col min="29" max="16384" width="8.77734375" style="13"/>
  </cols>
  <sheetData>
    <row r="1" spans="1:28"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7" t="s">
        <v>195</v>
      </c>
      <c r="P1" s="56" t="s">
        <v>194</v>
      </c>
      <c r="Q1" s="56" t="s">
        <v>415</v>
      </c>
      <c r="R1" s="56" t="s">
        <v>416</v>
      </c>
      <c r="S1" s="56" t="s">
        <v>193</v>
      </c>
      <c r="T1" s="56" t="s">
        <v>421</v>
      </c>
      <c r="U1" s="56" t="s">
        <v>521</v>
      </c>
      <c r="V1" s="56" t="s">
        <v>192</v>
      </c>
      <c r="W1" s="56" t="s">
        <v>386</v>
      </c>
      <c r="X1" s="56" t="s">
        <v>418</v>
      </c>
      <c r="Y1" s="56" t="s">
        <v>242</v>
      </c>
      <c r="Z1" s="56" t="s">
        <v>191</v>
      </c>
      <c r="AA1" s="56" t="s">
        <v>190</v>
      </c>
      <c r="AB1" s="56" t="s">
        <v>638</v>
      </c>
    </row>
    <row r="2" spans="1:28" ht="40.049999999999997" customHeight="1" x14ac:dyDescent="0.3">
      <c r="A2" s="11">
        <v>1</v>
      </c>
      <c r="B2" s="11" t="s">
        <v>941</v>
      </c>
      <c r="C2" s="11" t="s">
        <v>943</v>
      </c>
      <c r="D2" s="11" t="s">
        <v>942</v>
      </c>
      <c r="E2" s="11" t="s">
        <v>933</v>
      </c>
      <c r="F2" s="11"/>
      <c r="G2" s="11"/>
      <c r="H2" s="11"/>
      <c r="I2" s="11" t="s">
        <v>434</v>
      </c>
      <c r="J2" s="11" t="s">
        <v>932</v>
      </c>
      <c r="K2" s="11" t="s">
        <v>934</v>
      </c>
      <c r="L2" s="11"/>
      <c r="M2" s="11">
        <v>1.2</v>
      </c>
      <c r="N2" s="11"/>
      <c r="O2" s="11"/>
      <c r="P2" s="11"/>
      <c r="Q2" s="53"/>
      <c r="R2" s="54"/>
      <c r="S2" s="11" t="s">
        <v>30</v>
      </c>
      <c r="T2" s="11"/>
      <c r="U2" s="11"/>
      <c r="V2" s="11" t="s">
        <v>0</v>
      </c>
      <c r="W2" s="54">
        <v>27</v>
      </c>
      <c r="X2" s="53">
        <v>2</v>
      </c>
      <c r="Z2" s="11"/>
      <c r="AA2" s="11"/>
    </row>
    <row r="3" spans="1:28" ht="40.049999999999997" customHeight="1" x14ac:dyDescent="0.3">
      <c r="A3" s="11">
        <v>1</v>
      </c>
      <c r="B3" s="11" t="s">
        <v>916</v>
      </c>
      <c r="E3" s="11" t="s">
        <v>933</v>
      </c>
      <c r="I3" s="11" t="s">
        <v>434</v>
      </c>
      <c r="J3" s="11" t="s">
        <v>932</v>
      </c>
      <c r="K3" s="11" t="s">
        <v>934</v>
      </c>
      <c r="M3" s="11">
        <v>1.2</v>
      </c>
      <c r="S3" s="11" t="s">
        <v>67</v>
      </c>
      <c r="V3" s="11" t="s">
        <v>0</v>
      </c>
      <c r="W3" s="54">
        <v>40</v>
      </c>
      <c r="X3" s="53">
        <v>2</v>
      </c>
    </row>
    <row r="4" spans="1:28" ht="40.049999999999997" customHeight="1" x14ac:dyDescent="0.3">
      <c r="A4" s="11">
        <v>1</v>
      </c>
      <c r="B4" s="11" t="s">
        <v>916</v>
      </c>
      <c r="E4" s="11" t="s">
        <v>933</v>
      </c>
      <c r="I4" s="11" t="s">
        <v>434</v>
      </c>
      <c r="J4" s="11" t="s">
        <v>932</v>
      </c>
      <c r="K4" s="11" t="s">
        <v>934</v>
      </c>
      <c r="M4" s="11">
        <v>1.2</v>
      </c>
      <c r="S4" s="11" t="s">
        <v>65</v>
      </c>
      <c r="V4" s="11" t="s">
        <v>0</v>
      </c>
      <c r="W4" s="54">
        <v>1315</v>
      </c>
      <c r="X4" s="53">
        <v>2</v>
      </c>
    </row>
    <row r="5" spans="1:28" ht="40.049999999999997" customHeight="1" thickBot="1" x14ac:dyDescent="0.35">
      <c r="A5" s="11">
        <v>1</v>
      </c>
      <c r="B5" s="11" t="s">
        <v>916</v>
      </c>
      <c r="E5" s="11" t="s">
        <v>933</v>
      </c>
      <c r="I5" s="11" t="s">
        <v>391</v>
      </c>
      <c r="J5" s="11" t="s">
        <v>261</v>
      </c>
      <c r="K5" s="11" t="s">
        <v>935</v>
      </c>
      <c r="M5" s="11">
        <v>1.2</v>
      </c>
      <c r="S5" s="11" t="s">
        <v>30</v>
      </c>
      <c r="V5" s="11" t="s">
        <v>0</v>
      </c>
      <c r="W5" s="54">
        <v>36</v>
      </c>
      <c r="X5" s="53">
        <v>1</v>
      </c>
    </row>
    <row r="6" spans="1:28" ht="40.049999999999997" customHeight="1" thickBot="1" x14ac:dyDescent="0.35">
      <c r="A6" s="11">
        <v>1</v>
      </c>
      <c r="B6" s="11" t="s">
        <v>916</v>
      </c>
      <c r="E6" s="11" t="s">
        <v>933</v>
      </c>
      <c r="I6" s="11" t="s">
        <v>391</v>
      </c>
      <c r="J6" s="11" t="s">
        <v>261</v>
      </c>
      <c r="K6" s="11" t="s">
        <v>935</v>
      </c>
      <c r="M6" s="11">
        <v>1.2</v>
      </c>
      <c r="S6" s="11" t="s">
        <v>67</v>
      </c>
      <c r="V6" s="11" t="s">
        <v>0</v>
      </c>
      <c r="W6" s="54">
        <v>90</v>
      </c>
      <c r="X6" s="53">
        <v>1</v>
      </c>
      <c r="Y6" s="112"/>
      <c r="Z6" s="112"/>
      <c r="AA6" s="112"/>
    </row>
    <row r="7" spans="1:28" ht="40.049999999999997" customHeight="1" x14ac:dyDescent="0.3">
      <c r="A7" s="11">
        <v>1</v>
      </c>
      <c r="B7" s="11" t="s">
        <v>916</v>
      </c>
      <c r="E7" s="11" t="s">
        <v>933</v>
      </c>
      <c r="I7" s="11" t="s">
        <v>391</v>
      </c>
      <c r="J7" s="11" t="s">
        <v>261</v>
      </c>
      <c r="K7" s="11" t="s">
        <v>935</v>
      </c>
      <c r="M7" s="11">
        <v>1.2</v>
      </c>
      <c r="S7" s="11" t="s">
        <v>65</v>
      </c>
      <c r="V7" s="11" t="s">
        <v>0</v>
      </c>
      <c r="W7" s="54">
        <v>345</v>
      </c>
      <c r="X7" s="53">
        <v>1</v>
      </c>
    </row>
    <row r="8" spans="1:28" ht="40.049999999999997" customHeight="1" thickBot="1" x14ac:dyDescent="0.35">
      <c r="A8" s="11">
        <v>1</v>
      </c>
      <c r="B8" s="11" t="s">
        <v>916</v>
      </c>
      <c r="E8" s="11" t="s">
        <v>933</v>
      </c>
      <c r="I8" s="11" t="s">
        <v>391</v>
      </c>
      <c r="J8" s="11" t="s">
        <v>261</v>
      </c>
      <c r="K8" s="11" t="s">
        <v>936</v>
      </c>
      <c r="M8" s="11">
        <v>1.2</v>
      </c>
      <c r="S8" s="11" t="s">
        <v>30</v>
      </c>
      <c r="V8" s="11" t="s">
        <v>0</v>
      </c>
      <c r="W8" s="54">
        <v>35</v>
      </c>
      <c r="X8" s="53">
        <v>1</v>
      </c>
    </row>
    <row r="9" spans="1:28" ht="40.049999999999997" customHeight="1" thickBot="1" x14ac:dyDescent="0.35">
      <c r="A9" s="11">
        <v>1</v>
      </c>
      <c r="B9" s="11" t="s">
        <v>916</v>
      </c>
      <c r="E9" s="11" t="s">
        <v>933</v>
      </c>
      <c r="I9" s="11" t="s">
        <v>391</v>
      </c>
      <c r="J9" s="11" t="s">
        <v>261</v>
      </c>
      <c r="K9" s="11" t="s">
        <v>936</v>
      </c>
      <c r="M9" s="11">
        <v>1.2</v>
      </c>
      <c r="S9" s="11" t="s">
        <v>67</v>
      </c>
      <c r="V9" s="11" t="s">
        <v>0</v>
      </c>
      <c r="W9" s="54">
        <v>90</v>
      </c>
      <c r="X9" s="53">
        <v>1</v>
      </c>
      <c r="Z9" s="112"/>
    </row>
    <row r="10" spans="1:28" ht="40.049999999999997" customHeight="1" x14ac:dyDescent="0.3">
      <c r="A10" s="11">
        <v>1</v>
      </c>
      <c r="B10" s="11" t="s">
        <v>916</v>
      </c>
      <c r="E10" s="11" t="s">
        <v>933</v>
      </c>
      <c r="I10" s="11" t="s">
        <v>391</v>
      </c>
      <c r="J10" s="11" t="s">
        <v>261</v>
      </c>
      <c r="K10" s="11" t="s">
        <v>936</v>
      </c>
      <c r="M10" s="11">
        <v>1.2</v>
      </c>
      <c r="S10" s="11" t="s">
        <v>65</v>
      </c>
      <c r="V10" s="11" t="s">
        <v>0</v>
      </c>
      <c r="W10" s="54">
        <v>1125</v>
      </c>
      <c r="X10" s="53">
        <v>1</v>
      </c>
    </row>
  </sheetData>
  <hyperlinks>
    <hyperlink ref="D2" r:id="rId1" xr:uid="{00000000-0004-0000-0B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AB17"/>
  <sheetViews>
    <sheetView topLeftCell="O1" zoomScaleNormal="100" workbookViewId="0">
      <selection activeCell="Y7" sqref="Y7"/>
    </sheetView>
  </sheetViews>
  <sheetFormatPr defaultColWidth="8.77734375" defaultRowHeight="14.4" x14ac:dyDescent="0.3"/>
  <cols>
    <col min="1" max="1" width="3.77734375" style="11" customWidth="1"/>
    <col min="2" max="2" width="14.44140625" style="11" customWidth="1"/>
    <col min="3" max="3" width="28.21875" style="11" customWidth="1"/>
    <col min="4" max="4" width="17" style="11" customWidth="1"/>
    <col min="5" max="6" width="25" style="11" customWidth="1"/>
    <col min="7" max="7" width="9.21875" style="11"/>
    <col min="8" max="8" width="21.21875" style="11" customWidth="1"/>
    <col min="9" max="9" width="27.77734375" style="11" customWidth="1"/>
    <col min="10" max="10" width="18.77734375" style="11" customWidth="1"/>
    <col min="11" max="11" width="36.21875" style="11" customWidth="1"/>
    <col min="12" max="13" width="22.44140625" style="11" customWidth="1"/>
    <col min="14" max="14" width="23" style="11" customWidth="1"/>
    <col min="15" max="15" width="13.21875" style="11" customWidth="1"/>
    <col min="16" max="16" width="13.44140625" style="11" customWidth="1"/>
    <col min="17" max="18" width="12.21875" style="11" customWidth="1"/>
    <col min="19" max="19" width="16.21875" style="11" customWidth="1"/>
    <col min="20" max="20" width="10.77734375" style="11" customWidth="1"/>
    <col min="21" max="21" width="11.44140625" style="11" customWidth="1"/>
    <col min="22" max="22" width="8" style="11" customWidth="1"/>
    <col min="23" max="23" width="17.77734375" style="54" customWidth="1"/>
    <col min="24" max="24" width="12" style="11" customWidth="1"/>
    <col min="25" max="25" width="12.44140625" style="11" bestFit="1" customWidth="1"/>
    <col min="26" max="26" width="10.21875" style="11" customWidth="1"/>
    <col min="27" max="27" width="37.77734375" style="11" customWidth="1"/>
    <col min="28" max="28" width="12.77734375" style="11" customWidth="1"/>
  </cols>
  <sheetData>
    <row r="1" spans="1:28" s="14" customFormat="1"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241</v>
      </c>
      <c r="R1" s="56" t="s">
        <v>416</v>
      </c>
      <c r="S1" s="56" t="s">
        <v>193</v>
      </c>
      <c r="T1" s="56" t="s">
        <v>421</v>
      </c>
      <c r="U1" s="56" t="s">
        <v>521</v>
      </c>
      <c r="V1" s="56" t="s">
        <v>192</v>
      </c>
      <c r="W1" s="56" t="s">
        <v>386</v>
      </c>
      <c r="X1" s="56" t="s">
        <v>418</v>
      </c>
      <c r="Y1" s="56" t="s">
        <v>242</v>
      </c>
      <c r="Z1" s="56" t="s">
        <v>191</v>
      </c>
      <c r="AA1" s="56" t="s">
        <v>190</v>
      </c>
      <c r="AB1" s="56" t="s">
        <v>251</v>
      </c>
    </row>
    <row r="2" spans="1:28" ht="40.049999999999997" customHeight="1" x14ac:dyDescent="0.3">
      <c r="A2" s="11">
        <v>1</v>
      </c>
      <c r="B2" s="11" t="s">
        <v>660</v>
      </c>
      <c r="C2" s="11" t="s">
        <v>247</v>
      </c>
      <c r="D2" s="11" t="s">
        <v>812</v>
      </c>
      <c r="E2" s="11" t="s">
        <v>529</v>
      </c>
      <c r="G2" s="11" t="s">
        <v>58</v>
      </c>
      <c r="H2" s="11" t="s">
        <v>259</v>
      </c>
      <c r="I2" s="11" t="s">
        <v>70</v>
      </c>
      <c r="J2" s="11" t="s">
        <v>249</v>
      </c>
      <c r="K2" s="11" t="s">
        <v>250</v>
      </c>
      <c r="M2" s="11">
        <v>16</v>
      </c>
      <c r="N2" s="11">
        <v>64</v>
      </c>
      <c r="O2" s="11">
        <f>4*N2</f>
        <v>256</v>
      </c>
      <c r="P2" s="11" t="s">
        <v>254</v>
      </c>
      <c r="Q2" s="11">
        <f>115*64</f>
        <v>7360</v>
      </c>
      <c r="R2" s="54">
        <f t="shared" ref="R2:R17" si="0">Q2/O2</f>
        <v>28.75</v>
      </c>
      <c r="S2" s="11" t="s">
        <v>65</v>
      </c>
      <c r="U2" s="11">
        <f>684185+220838+2748465</f>
        <v>3653488</v>
      </c>
      <c r="V2" s="11" t="s">
        <v>244</v>
      </c>
      <c r="W2" s="54">
        <f>U2/Q2</f>
        <v>496.39782608695651</v>
      </c>
      <c r="X2" s="11">
        <v>4</v>
      </c>
      <c r="Y2" s="54">
        <f>U2/O2</f>
        <v>14271.4375</v>
      </c>
      <c r="Z2" s="11" t="s">
        <v>248</v>
      </c>
      <c r="AB2" s="11">
        <v>115</v>
      </c>
    </row>
    <row r="3" spans="1:28" ht="40.049999999999997" customHeight="1" x14ac:dyDescent="0.3">
      <c r="A3" s="11">
        <v>1</v>
      </c>
      <c r="B3" s="11" t="s">
        <v>813</v>
      </c>
      <c r="E3" s="11" t="s">
        <v>530</v>
      </c>
      <c r="G3" s="11" t="s">
        <v>58</v>
      </c>
      <c r="I3" s="11" t="s">
        <v>70</v>
      </c>
      <c r="J3" s="11" t="s">
        <v>252</v>
      </c>
      <c r="K3" s="11" t="s">
        <v>257</v>
      </c>
      <c r="M3" s="11">
        <v>5</v>
      </c>
      <c r="N3" s="11">
        <v>1300</v>
      </c>
      <c r="O3" s="11">
        <f>3*N3</f>
        <v>3900</v>
      </c>
      <c r="P3" s="11" t="s">
        <v>253</v>
      </c>
      <c r="Q3" s="11">
        <f>44*1300</f>
        <v>57200</v>
      </c>
      <c r="R3" s="54">
        <f t="shared" si="0"/>
        <v>14.666666666666666</v>
      </c>
      <c r="S3" s="11" t="s">
        <v>65</v>
      </c>
      <c r="U3" s="11">
        <f>11232675+43982252</f>
        <v>55214927</v>
      </c>
      <c r="V3" s="11" t="s">
        <v>244</v>
      </c>
      <c r="W3" s="54">
        <f>U3/Q3</f>
        <v>965.29592657342653</v>
      </c>
      <c r="X3" s="11">
        <v>4</v>
      </c>
      <c r="Y3" s="54">
        <f>U3/O3</f>
        <v>14157.67358974359</v>
      </c>
      <c r="Z3" s="11" t="s">
        <v>248</v>
      </c>
      <c r="AB3" s="11">
        <v>44</v>
      </c>
    </row>
    <row r="4" spans="1:28" ht="40.049999999999997" customHeight="1" x14ac:dyDescent="0.3">
      <c r="A4" s="11">
        <v>1</v>
      </c>
      <c r="B4" s="11" t="s">
        <v>813</v>
      </c>
      <c r="E4" s="11" t="s">
        <v>529</v>
      </c>
      <c r="G4" s="11" t="s">
        <v>58</v>
      </c>
      <c r="I4" s="11" t="s">
        <v>391</v>
      </c>
      <c r="J4" s="11" t="s">
        <v>255</v>
      </c>
      <c r="K4" s="11" t="s">
        <v>944</v>
      </c>
      <c r="M4" s="11">
        <v>4</v>
      </c>
      <c r="N4" s="11">
        <v>1</v>
      </c>
      <c r="O4" s="11">
        <v>4</v>
      </c>
      <c r="P4" s="11">
        <v>561</v>
      </c>
      <c r="Q4" s="11">
        <v>562</v>
      </c>
      <c r="R4" s="54">
        <f>Q4/O4</f>
        <v>140.5</v>
      </c>
      <c r="S4" s="11" t="s">
        <v>65</v>
      </c>
      <c r="U4" s="11">
        <f>142240+204321+93248</f>
        <v>439809</v>
      </c>
      <c r="V4" s="11" t="s">
        <v>244</v>
      </c>
      <c r="W4" s="54">
        <f>U4/Q4</f>
        <v>782.57829181494662</v>
      </c>
      <c r="X4" s="11">
        <v>1</v>
      </c>
      <c r="Y4" s="53">
        <f>U4/O4</f>
        <v>109952.25</v>
      </c>
      <c r="Z4" s="11" t="s">
        <v>248</v>
      </c>
      <c r="AB4" s="11">
        <v>561</v>
      </c>
    </row>
    <row r="5" spans="1:28" ht="40.049999999999997" customHeight="1" x14ac:dyDescent="0.3">
      <c r="A5" s="11">
        <v>1</v>
      </c>
      <c r="B5" s="11" t="s">
        <v>813</v>
      </c>
      <c r="E5" s="11" t="s">
        <v>531</v>
      </c>
      <c r="G5" s="11" t="s">
        <v>58</v>
      </c>
      <c r="I5" s="11" t="s">
        <v>391</v>
      </c>
      <c r="J5" s="11" t="s">
        <v>256</v>
      </c>
      <c r="K5" s="11" t="s">
        <v>258</v>
      </c>
      <c r="M5" s="11">
        <v>1</v>
      </c>
      <c r="N5" s="11">
        <v>1</v>
      </c>
      <c r="O5" s="11">
        <v>3</v>
      </c>
      <c r="P5" s="11">
        <v>56</v>
      </c>
      <c r="Q5" s="11">
        <v>56</v>
      </c>
      <c r="R5" s="54">
        <f t="shared" si="0"/>
        <v>18.666666666666668</v>
      </c>
      <c r="S5" s="11" t="s">
        <v>65</v>
      </c>
      <c r="U5" s="11">
        <f>23522+12307+23816</f>
        <v>59645</v>
      </c>
      <c r="V5" s="11" t="s">
        <v>244</v>
      </c>
      <c r="W5" s="54">
        <f>U5/Q5</f>
        <v>1065.0892857142858</v>
      </c>
      <c r="X5" s="11">
        <v>1</v>
      </c>
      <c r="Y5" s="54">
        <f t="shared" ref="Y5:Y17" si="1">U5/O5</f>
        <v>19881.666666666668</v>
      </c>
      <c r="Z5" s="11" t="s">
        <v>248</v>
      </c>
      <c r="AB5" s="11">
        <v>56</v>
      </c>
    </row>
    <row r="6" spans="1:28" ht="40.049999999999997" customHeight="1" x14ac:dyDescent="0.3">
      <c r="A6" s="11">
        <v>2</v>
      </c>
      <c r="B6" s="11" t="s">
        <v>814</v>
      </c>
      <c r="C6" s="11" t="s">
        <v>641</v>
      </c>
      <c r="D6" s="11" t="s">
        <v>815</v>
      </c>
      <c r="E6" s="11" t="s">
        <v>532</v>
      </c>
      <c r="G6" s="11" t="s">
        <v>58</v>
      </c>
      <c r="H6" s="11" t="s">
        <v>259</v>
      </c>
      <c r="I6" s="11" t="s">
        <v>391</v>
      </c>
      <c r="J6" s="11" t="s">
        <v>261</v>
      </c>
      <c r="L6" s="11" t="s">
        <v>269</v>
      </c>
      <c r="M6" s="11">
        <v>2</v>
      </c>
      <c r="N6" s="11">
        <v>1</v>
      </c>
      <c r="O6" s="11">
        <v>6</v>
      </c>
      <c r="P6" s="11">
        <v>107.96</v>
      </c>
      <c r="Q6" s="54">
        <f>P6*0.9</f>
        <v>97.164000000000001</v>
      </c>
      <c r="R6" s="54">
        <f t="shared" si="0"/>
        <v>16.193999999999999</v>
      </c>
      <c r="S6" s="11" t="s">
        <v>65</v>
      </c>
      <c r="U6" s="11">
        <f t="shared" ref="U6:U17" si="2">W6*Q6</f>
        <v>82131.757559999998</v>
      </c>
      <c r="V6" s="11" t="s">
        <v>244</v>
      </c>
      <c r="W6" s="54">
        <v>845.29</v>
      </c>
      <c r="X6" s="11">
        <v>1</v>
      </c>
      <c r="Y6" s="54">
        <f t="shared" si="1"/>
        <v>13688.626259999999</v>
      </c>
      <c r="Z6" s="11" t="s">
        <v>271</v>
      </c>
      <c r="AA6" s="11" t="s">
        <v>260</v>
      </c>
      <c r="AB6" s="11">
        <v>107.96</v>
      </c>
    </row>
    <row r="7" spans="1:28" ht="40.049999999999997" customHeight="1" x14ac:dyDescent="0.3">
      <c r="A7" s="11">
        <v>2</v>
      </c>
      <c r="B7" s="11" t="s">
        <v>661</v>
      </c>
      <c r="E7" s="11" t="s">
        <v>532</v>
      </c>
      <c r="G7" s="11" t="s">
        <v>58</v>
      </c>
      <c r="I7" s="11" t="s">
        <v>391</v>
      </c>
      <c r="J7" s="11" t="s">
        <v>261</v>
      </c>
      <c r="L7" s="11" t="s">
        <v>269</v>
      </c>
      <c r="M7" s="11">
        <v>2</v>
      </c>
      <c r="N7" s="11">
        <v>1</v>
      </c>
      <c r="O7" s="11">
        <v>6</v>
      </c>
      <c r="P7" s="11">
        <v>107.96</v>
      </c>
      <c r="Q7" s="54">
        <f>P7*0.9</f>
        <v>97.164000000000001</v>
      </c>
      <c r="R7" s="54">
        <f t="shared" si="0"/>
        <v>16.193999999999999</v>
      </c>
      <c r="S7" s="11" t="s">
        <v>67</v>
      </c>
      <c r="U7" s="11">
        <f t="shared" si="2"/>
        <v>84431.629440000004</v>
      </c>
      <c r="V7" s="11" t="s">
        <v>244</v>
      </c>
      <c r="W7" s="54">
        <v>868.96</v>
      </c>
      <c r="X7" s="11">
        <v>1</v>
      </c>
      <c r="Y7" s="54">
        <f t="shared" si="1"/>
        <v>14071.938240000001</v>
      </c>
      <c r="Z7" s="11" t="s">
        <v>271</v>
      </c>
      <c r="AA7" s="11" t="s">
        <v>903</v>
      </c>
    </row>
    <row r="8" spans="1:28" ht="40.049999999999997" customHeight="1" x14ac:dyDescent="0.3">
      <c r="A8" s="11">
        <v>2</v>
      </c>
      <c r="B8" s="11" t="s">
        <v>661</v>
      </c>
      <c r="E8" s="11" t="s">
        <v>532</v>
      </c>
      <c r="G8" s="11" t="s">
        <v>58</v>
      </c>
      <c r="I8" s="11" t="s">
        <v>391</v>
      </c>
      <c r="J8" s="11" t="s">
        <v>261</v>
      </c>
      <c r="L8" s="11" t="s">
        <v>269</v>
      </c>
      <c r="M8" s="11">
        <v>2</v>
      </c>
      <c r="N8" s="11">
        <v>1</v>
      </c>
      <c r="O8" s="11">
        <v>6</v>
      </c>
      <c r="P8" s="11">
        <v>107.96</v>
      </c>
      <c r="Q8" s="54">
        <f>P8*0.9</f>
        <v>97.164000000000001</v>
      </c>
      <c r="R8" s="54">
        <f t="shared" si="0"/>
        <v>16.193999999999999</v>
      </c>
      <c r="S8" s="11" t="s">
        <v>437</v>
      </c>
      <c r="U8" s="11">
        <f t="shared" si="2"/>
        <v>77.731200000000001</v>
      </c>
      <c r="V8" s="11" t="s">
        <v>244</v>
      </c>
      <c r="W8" s="54">
        <v>0.8</v>
      </c>
      <c r="X8" s="11">
        <v>1</v>
      </c>
      <c r="Y8" s="54">
        <f t="shared" si="1"/>
        <v>12.9552</v>
      </c>
      <c r="Z8" s="11" t="s">
        <v>271</v>
      </c>
    </row>
    <row r="9" spans="1:28" ht="40.049999999999997" customHeight="1" x14ac:dyDescent="0.3">
      <c r="A9" s="11">
        <v>2</v>
      </c>
      <c r="B9" s="11" t="s">
        <v>661</v>
      </c>
      <c r="E9" s="11" t="s">
        <v>532</v>
      </c>
      <c r="G9" s="11" t="s">
        <v>58</v>
      </c>
      <c r="I9" s="11" t="s">
        <v>70</v>
      </c>
      <c r="J9" s="11" t="s">
        <v>265</v>
      </c>
      <c r="K9" s="11" t="s">
        <v>262</v>
      </c>
      <c r="L9" s="11">
        <v>1970</v>
      </c>
      <c r="M9" s="11">
        <v>5</v>
      </c>
      <c r="N9" s="11" t="s">
        <v>268</v>
      </c>
      <c r="O9" s="11">
        <v>96</v>
      </c>
      <c r="P9" s="11">
        <v>2374.9</v>
      </c>
      <c r="Q9" s="11">
        <f>(73.21*4)*4</f>
        <v>1171.3599999999999</v>
      </c>
      <c r="R9" s="54">
        <f t="shared" si="0"/>
        <v>12.201666666666666</v>
      </c>
      <c r="S9" s="11" t="s">
        <v>65</v>
      </c>
      <c r="U9" s="11">
        <f t="shared" si="2"/>
        <v>653513.45759999985</v>
      </c>
      <c r="V9" s="11" t="s">
        <v>244</v>
      </c>
      <c r="W9" s="54">
        <v>557.91</v>
      </c>
      <c r="X9" s="11">
        <v>4</v>
      </c>
      <c r="Y9" s="54">
        <f t="shared" si="1"/>
        <v>6807.4318499999981</v>
      </c>
      <c r="Z9" s="11" t="s">
        <v>271</v>
      </c>
      <c r="AB9" s="11" t="s">
        <v>270</v>
      </c>
    </row>
    <row r="10" spans="1:28" ht="40.049999999999997" customHeight="1" x14ac:dyDescent="0.3">
      <c r="A10" s="11">
        <v>2</v>
      </c>
      <c r="B10" s="11" t="s">
        <v>661</v>
      </c>
      <c r="E10" s="11" t="s">
        <v>532</v>
      </c>
      <c r="G10" s="11" t="s">
        <v>58</v>
      </c>
      <c r="I10" s="11" t="s">
        <v>70</v>
      </c>
      <c r="J10" s="11" t="s">
        <v>265</v>
      </c>
      <c r="L10" s="11">
        <v>1970</v>
      </c>
      <c r="M10" s="11">
        <v>5</v>
      </c>
      <c r="N10" s="11">
        <f>4*4</f>
        <v>16</v>
      </c>
      <c r="O10" s="11">
        <v>96</v>
      </c>
      <c r="P10" s="11">
        <v>2374.9</v>
      </c>
      <c r="Q10" s="11">
        <f>(73.21*4)*4</f>
        <v>1171.3599999999999</v>
      </c>
      <c r="R10" s="54">
        <f t="shared" si="0"/>
        <v>12.201666666666666</v>
      </c>
      <c r="S10" s="11" t="s">
        <v>67</v>
      </c>
      <c r="U10" s="11">
        <f t="shared" si="2"/>
        <v>24176.8704</v>
      </c>
      <c r="V10" s="11" t="s">
        <v>244</v>
      </c>
      <c r="W10" s="54">
        <v>20.64</v>
      </c>
      <c r="X10" s="11">
        <v>4</v>
      </c>
      <c r="Y10" s="54">
        <f t="shared" si="1"/>
        <v>251.8424</v>
      </c>
      <c r="Z10" s="11" t="s">
        <v>271</v>
      </c>
    </row>
    <row r="11" spans="1:28" ht="40.049999999999997" customHeight="1" x14ac:dyDescent="0.3">
      <c r="A11" s="11">
        <v>2</v>
      </c>
      <c r="B11" s="11" t="s">
        <v>661</v>
      </c>
      <c r="E11" s="11" t="s">
        <v>532</v>
      </c>
      <c r="G11" s="11" t="s">
        <v>58</v>
      </c>
      <c r="I11" s="11" t="s">
        <v>70</v>
      </c>
      <c r="J11" s="11" t="s">
        <v>265</v>
      </c>
      <c r="L11" s="11">
        <v>1970</v>
      </c>
      <c r="M11" s="11">
        <v>5</v>
      </c>
      <c r="N11" s="11">
        <f>4*4</f>
        <v>16</v>
      </c>
      <c r="O11" s="11">
        <v>96</v>
      </c>
      <c r="P11" s="11">
        <v>2374.9</v>
      </c>
      <c r="Q11" s="11">
        <f>(73.21*4)*4</f>
        <v>1171.3599999999999</v>
      </c>
      <c r="R11" s="54">
        <f t="shared" si="0"/>
        <v>12.201666666666666</v>
      </c>
      <c r="S11" s="11" t="s">
        <v>437</v>
      </c>
      <c r="U11" s="11">
        <f t="shared" si="2"/>
        <v>1288.4960000000001</v>
      </c>
      <c r="V11" s="11" t="s">
        <v>244</v>
      </c>
      <c r="W11" s="54">
        <v>1.1000000000000001</v>
      </c>
      <c r="X11" s="11">
        <v>4</v>
      </c>
      <c r="Y11" s="54">
        <f t="shared" si="1"/>
        <v>13.421833333333334</v>
      </c>
      <c r="Z11" s="11" t="s">
        <v>271</v>
      </c>
    </row>
    <row r="12" spans="1:28" ht="40.049999999999997" customHeight="1" x14ac:dyDescent="0.3">
      <c r="A12" s="11">
        <v>2</v>
      </c>
      <c r="B12" s="11" t="s">
        <v>661</v>
      </c>
      <c r="E12" s="11" t="s">
        <v>532</v>
      </c>
      <c r="G12" s="11" t="s">
        <v>58</v>
      </c>
      <c r="I12" s="11" t="s">
        <v>70</v>
      </c>
      <c r="J12" s="11" t="s">
        <v>264</v>
      </c>
      <c r="K12" s="11" t="s">
        <v>263</v>
      </c>
      <c r="L12" s="11">
        <v>1980</v>
      </c>
      <c r="M12" s="11">
        <v>10</v>
      </c>
      <c r="N12" s="11" t="s">
        <v>268</v>
      </c>
      <c r="O12" s="11">
        <v>192</v>
      </c>
      <c r="P12" s="11">
        <v>5902.93</v>
      </c>
      <c r="Q12" s="11">
        <f>(73.21*4)*8</f>
        <v>2342.7199999999998</v>
      </c>
      <c r="R12" s="54">
        <f t="shared" si="0"/>
        <v>12.201666666666666</v>
      </c>
      <c r="S12" s="11" t="s">
        <v>65</v>
      </c>
      <c r="U12" s="11">
        <f t="shared" si="2"/>
        <v>1198535.5519999999</v>
      </c>
      <c r="V12" s="11" t="s">
        <v>244</v>
      </c>
      <c r="W12" s="54">
        <v>511.6</v>
      </c>
      <c r="X12" s="11">
        <v>4</v>
      </c>
      <c r="Y12" s="54">
        <f t="shared" si="1"/>
        <v>6242.3726666666662</v>
      </c>
      <c r="Z12" s="11" t="s">
        <v>271</v>
      </c>
      <c r="AB12" s="11" t="s">
        <v>270</v>
      </c>
    </row>
    <row r="13" spans="1:28" ht="40.049999999999997" customHeight="1" x14ac:dyDescent="0.3">
      <c r="A13" s="11">
        <v>2</v>
      </c>
      <c r="B13" s="11" t="s">
        <v>661</v>
      </c>
      <c r="E13" s="11" t="s">
        <v>532</v>
      </c>
      <c r="G13" s="11" t="s">
        <v>58</v>
      </c>
      <c r="I13" s="11" t="s">
        <v>70</v>
      </c>
      <c r="J13" s="11" t="s">
        <v>264</v>
      </c>
      <c r="L13" s="11">
        <v>1980</v>
      </c>
      <c r="M13" s="11">
        <v>10</v>
      </c>
      <c r="N13" s="11">
        <f>4*8</f>
        <v>32</v>
      </c>
      <c r="O13" s="11">
        <v>192</v>
      </c>
      <c r="P13" s="11">
        <v>5902.93</v>
      </c>
      <c r="Q13" s="11">
        <f>(73.21*4)*8</f>
        <v>2342.7199999999998</v>
      </c>
      <c r="R13" s="54">
        <f t="shared" si="0"/>
        <v>12.201666666666666</v>
      </c>
      <c r="S13" s="11" t="s">
        <v>67</v>
      </c>
      <c r="U13" s="11">
        <f t="shared" si="2"/>
        <v>47065.244799999993</v>
      </c>
      <c r="V13" s="11" t="s">
        <v>244</v>
      </c>
      <c r="W13" s="54">
        <v>20.09</v>
      </c>
      <c r="X13" s="11">
        <v>4</v>
      </c>
      <c r="Y13" s="54">
        <f t="shared" si="1"/>
        <v>245.13148333333331</v>
      </c>
      <c r="Z13" s="11" t="s">
        <v>271</v>
      </c>
    </row>
    <row r="14" spans="1:28" ht="40.049999999999997" customHeight="1" x14ac:dyDescent="0.3">
      <c r="A14" s="11">
        <v>2</v>
      </c>
      <c r="B14" s="11" t="s">
        <v>661</v>
      </c>
      <c r="E14" s="11" t="s">
        <v>532</v>
      </c>
      <c r="G14" s="11" t="s">
        <v>58</v>
      </c>
      <c r="I14" s="11" t="s">
        <v>70</v>
      </c>
      <c r="J14" s="11" t="s">
        <v>264</v>
      </c>
      <c r="L14" s="11">
        <v>1980</v>
      </c>
      <c r="M14" s="11">
        <v>10</v>
      </c>
      <c r="N14" s="11">
        <f>4*8</f>
        <v>32</v>
      </c>
      <c r="O14" s="11">
        <v>192</v>
      </c>
      <c r="P14" s="11">
        <v>5902.93</v>
      </c>
      <c r="Q14" s="11">
        <f>(73.21*4)*8</f>
        <v>2342.7199999999998</v>
      </c>
      <c r="R14" s="54">
        <f t="shared" si="0"/>
        <v>12.201666666666666</v>
      </c>
      <c r="S14" s="11" t="s">
        <v>437</v>
      </c>
      <c r="U14" s="11">
        <f t="shared" si="2"/>
        <v>913.66079999999999</v>
      </c>
      <c r="V14" s="11" t="s">
        <v>244</v>
      </c>
      <c r="W14" s="54">
        <v>0.39</v>
      </c>
      <c r="X14" s="11">
        <v>4</v>
      </c>
      <c r="Y14" s="54">
        <f t="shared" si="1"/>
        <v>4.7586500000000003</v>
      </c>
      <c r="Z14" s="11" t="s">
        <v>271</v>
      </c>
    </row>
    <row r="15" spans="1:28" ht="40.049999999999997" customHeight="1" x14ac:dyDescent="0.3">
      <c r="A15" s="11">
        <v>2</v>
      </c>
      <c r="B15" s="11" t="s">
        <v>661</v>
      </c>
      <c r="E15" s="11" t="s">
        <v>532</v>
      </c>
      <c r="G15" s="11" t="s">
        <v>58</v>
      </c>
      <c r="I15" s="11" t="s">
        <v>70</v>
      </c>
      <c r="J15" s="11" t="s">
        <v>266</v>
      </c>
      <c r="K15" s="11" t="s">
        <v>267</v>
      </c>
      <c r="L15" s="11">
        <v>1980</v>
      </c>
      <c r="M15" s="11">
        <v>18</v>
      </c>
      <c r="N15" s="11" t="s">
        <v>268</v>
      </c>
      <c r="O15" s="11">
        <v>384</v>
      </c>
      <c r="P15" s="11">
        <v>10616.2</v>
      </c>
      <c r="Q15" s="11">
        <f>(73.21*4)*16</f>
        <v>4685.4399999999996</v>
      </c>
      <c r="R15" s="54">
        <f t="shared" si="0"/>
        <v>12.201666666666666</v>
      </c>
      <c r="S15" s="11" t="s">
        <v>65</v>
      </c>
      <c r="U15" s="11">
        <f t="shared" si="2"/>
        <v>2458684.6399999997</v>
      </c>
      <c r="V15" s="11" t="s">
        <v>244</v>
      </c>
      <c r="W15" s="54">
        <v>524.75</v>
      </c>
      <c r="X15" s="11">
        <v>4</v>
      </c>
      <c r="Y15" s="54">
        <f t="shared" si="1"/>
        <v>6402.8245833333322</v>
      </c>
      <c r="Z15" s="11" t="s">
        <v>271</v>
      </c>
      <c r="AB15" s="11" t="s">
        <v>270</v>
      </c>
    </row>
    <row r="16" spans="1:28" ht="40.049999999999997" customHeight="1" x14ac:dyDescent="0.3">
      <c r="A16" s="11">
        <v>2</v>
      </c>
      <c r="B16" s="11" t="s">
        <v>661</v>
      </c>
      <c r="E16" s="11" t="s">
        <v>532</v>
      </c>
      <c r="G16" s="11" t="s">
        <v>58</v>
      </c>
      <c r="I16" s="11" t="s">
        <v>70</v>
      </c>
      <c r="J16" s="11" t="s">
        <v>266</v>
      </c>
      <c r="L16" s="11">
        <v>1980</v>
      </c>
      <c r="M16" s="11">
        <v>18</v>
      </c>
      <c r="N16" s="11">
        <f>4*16</f>
        <v>64</v>
      </c>
      <c r="O16" s="11">
        <v>384</v>
      </c>
      <c r="P16" s="11">
        <v>10616.2</v>
      </c>
      <c r="Q16" s="11">
        <f>(73.21*4)*16</f>
        <v>4685.4399999999996</v>
      </c>
      <c r="R16" s="54">
        <f t="shared" si="0"/>
        <v>12.201666666666666</v>
      </c>
      <c r="S16" s="11" t="s">
        <v>67</v>
      </c>
      <c r="U16" s="11">
        <f t="shared" si="2"/>
        <v>99143.910399999993</v>
      </c>
      <c r="V16" s="11" t="s">
        <v>244</v>
      </c>
      <c r="W16" s="54">
        <v>21.16</v>
      </c>
      <c r="X16" s="11">
        <v>4</v>
      </c>
      <c r="Y16" s="54">
        <f t="shared" si="1"/>
        <v>258.18726666666663</v>
      </c>
      <c r="Z16" s="11" t="s">
        <v>271</v>
      </c>
    </row>
    <row r="17" spans="1:26" ht="40.049999999999997" customHeight="1" x14ac:dyDescent="0.3">
      <c r="A17" s="11">
        <v>2</v>
      </c>
      <c r="B17" s="11" t="s">
        <v>661</v>
      </c>
      <c r="E17" s="11" t="s">
        <v>532</v>
      </c>
      <c r="G17" s="11" t="s">
        <v>58</v>
      </c>
      <c r="I17" s="11" t="s">
        <v>70</v>
      </c>
      <c r="J17" s="11" t="s">
        <v>266</v>
      </c>
      <c r="L17" s="11">
        <v>1980</v>
      </c>
      <c r="M17" s="11">
        <v>18</v>
      </c>
      <c r="N17" s="11">
        <f>4*16</f>
        <v>64</v>
      </c>
      <c r="O17" s="11">
        <v>384</v>
      </c>
      <c r="P17" s="11">
        <v>10616.2</v>
      </c>
      <c r="Q17" s="11">
        <f>(73.21*4)*16</f>
        <v>4685.4399999999996</v>
      </c>
      <c r="R17" s="54">
        <f t="shared" si="0"/>
        <v>12.201666666666666</v>
      </c>
      <c r="S17" s="11" t="s">
        <v>437</v>
      </c>
      <c r="U17" s="11">
        <f t="shared" si="2"/>
        <v>2342.7199999999998</v>
      </c>
      <c r="V17" s="11" t="s">
        <v>244</v>
      </c>
      <c r="W17" s="54">
        <v>0.5</v>
      </c>
      <c r="X17" s="11">
        <v>4</v>
      </c>
      <c r="Y17" s="54">
        <f t="shared" si="1"/>
        <v>6.1008333333333331</v>
      </c>
      <c r="Z17" s="11" t="s">
        <v>271</v>
      </c>
    </row>
  </sheetData>
  <hyperlinks>
    <hyperlink ref="D2" r:id="rId1" tooltip="Persistent link using digital object identifier" xr:uid="{00000000-0004-0000-0C00-000000000000}"/>
  </hyperlinks>
  <pageMargins left="0.7" right="0.7" top="0.75" bottom="0.75" header="0.3" footer="0.3"/>
  <pageSetup paperSize="9"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120ED-9987-4221-8159-59D58D949090}">
  <sheetPr>
    <tabColor rgb="FF92D050"/>
  </sheetPr>
  <dimension ref="A1:AB20"/>
  <sheetViews>
    <sheetView topLeftCell="K15" zoomScaleNormal="100" workbookViewId="0">
      <selection activeCell="W20" sqref="W20"/>
    </sheetView>
  </sheetViews>
  <sheetFormatPr defaultColWidth="8.77734375" defaultRowHeight="14.4" x14ac:dyDescent="0.3"/>
  <cols>
    <col min="1" max="1" width="3.77734375" style="11" customWidth="1"/>
    <col min="2" max="2" width="14.44140625" style="11" customWidth="1"/>
    <col min="3" max="3" width="28.21875" style="11" customWidth="1"/>
    <col min="4" max="4" width="17" style="11" customWidth="1"/>
    <col min="5" max="6" width="25" style="11" customWidth="1"/>
    <col min="7" max="7" width="8.77734375" style="11"/>
    <col min="8" max="8" width="21.21875" style="11" customWidth="1"/>
    <col min="9" max="9" width="27.77734375" style="11" customWidth="1"/>
    <col min="10" max="10" width="18.77734375" style="11" customWidth="1"/>
    <col min="11" max="11" width="36.21875" style="11" customWidth="1"/>
    <col min="12" max="13" width="22.44140625" style="11" customWidth="1"/>
    <col min="14" max="14" width="23" style="11" customWidth="1"/>
    <col min="15" max="15" width="13.21875" style="11" customWidth="1"/>
    <col min="16" max="16" width="13.44140625" style="11" customWidth="1"/>
    <col min="17" max="18" width="12.21875" style="11" customWidth="1"/>
    <col min="19" max="19" width="16.21875" style="11" customWidth="1"/>
    <col min="20" max="20" width="10.77734375" style="11" customWidth="1"/>
    <col min="21" max="21" width="11.44140625" style="11" customWidth="1"/>
    <col min="22" max="22" width="8" style="11" customWidth="1"/>
    <col min="23" max="23" width="17.77734375" style="54" customWidth="1"/>
    <col min="24" max="24" width="12" style="11" customWidth="1"/>
    <col min="25" max="25" width="12.44140625" style="11" bestFit="1" customWidth="1"/>
    <col min="26" max="26" width="10.21875" style="11" customWidth="1"/>
    <col min="27" max="27" width="37.77734375" style="11" customWidth="1"/>
    <col min="28" max="28" width="12.77734375" style="11" customWidth="1"/>
  </cols>
  <sheetData>
    <row r="1" spans="1:28" s="14" customFormat="1"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241</v>
      </c>
      <c r="R1" s="56" t="s">
        <v>416</v>
      </c>
      <c r="S1" s="56" t="s">
        <v>193</v>
      </c>
      <c r="T1" s="56" t="s">
        <v>421</v>
      </c>
      <c r="U1" s="56" t="s">
        <v>521</v>
      </c>
      <c r="V1" s="56" t="s">
        <v>192</v>
      </c>
      <c r="W1" s="56" t="s">
        <v>386</v>
      </c>
      <c r="X1" s="56" t="s">
        <v>418</v>
      </c>
      <c r="Y1" s="56" t="s">
        <v>242</v>
      </c>
      <c r="Z1" s="56" t="s">
        <v>191</v>
      </c>
      <c r="AA1" s="56" t="s">
        <v>190</v>
      </c>
      <c r="AB1" s="56" t="s">
        <v>251</v>
      </c>
    </row>
    <row r="2" spans="1:28" ht="40.049999999999997" customHeight="1" x14ac:dyDescent="0.3">
      <c r="A2" s="11">
        <v>1</v>
      </c>
      <c r="B2" s="11" t="s">
        <v>663</v>
      </c>
      <c r="C2" s="11" t="s">
        <v>817</v>
      </c>
      <c r="D2" s="11" t="s">
        <v>816</v>
      </c>
      <c r="E2" s="11" t="s">
        <v>526</v>
      </c>
      <c r="G2" s="11" t="s">
        <v>58</v>
      </c>
      <c r="H2" s="11" t="s">
        <v>282</v>
      </c>
      <c r="I2" s="11" t="s">
        <v>391</v>
      </c>
      <c r="J2" s="11" t="s">
        <v>281</v>
      </c>
      <c r="K2" s="11" t="s">
        <v>280</v>
      </c>
      <c r="M2" s="11">
        <f>AVERAGE(1.9,1.8,1.7)</f>
        <v>1.8</v>
      </c>
      <c r="N2" s="11" t="s">
        <v>279</v>
      </c>
      <c r="P2" s="11">
        <f>AVERAGE(177, 154, 167)</f>
        <v>166</v>
      </c>
      <c r="Q2" s="54">
        <f>P2*0.9</f>
        <v>149.4</v>
      </c>
      <c r="R2" s="11">
        <v>29</v>
      </c>
      <c r="S2" s="11" t="s">
        <v>65</v>
      </c>
      <c r="U2" s="11">
        <f>549+135+158+216</f>
        <v>1058</v>
      </c>
      <c r="V2" s="11" t="s">
        <v>0</v>
      </c>
      <c r="W2" s="54">
        <f>549+135+158+216</f>
        <v>1058</v>
      </c>
      <c r="X2" s="11">
        <v>1</v>
      </c>
      <c r="AA2" s="11" t="s">
        <v>278</v>
      </c>
      <c r="AB2" s="11">
        <f>AVERAGE(177,154,167)</f>
        <v>166</v>
      </c>
    </row>
    <row r="3" spans="1:28" ht="40.049999999999997" customHeight="1" x14ac:dyDescent="0.3">
      <c r="A3" s="11">
        <v>1</v>
      </c>
      <c r="B3" s="11" t="s">
        <v>662</v>
      </c>
      <c r="E3" s="11" t="s">
        <v>526</v>
      </c>
      <c r="G3" s="11" t="s">
        <v>58</v>
      </c>
      <c r="I3" s="11" t="s">
        <v>391</v>
      </c>
      <c r="J3" s="11" t="s">
        <v>281</v>
      </c>
      <c r="M3" s="11">
        <f t="shared" ref="M3:M5" si="0">AVERAGE(1.9,1.8,1.7)</f>
        <v>1.8</v>
      </c>
      <c r="N3" s="11" t="s">
        <v>279</v>
      </c>
      <c r="P3" s="11">
        <f>AVERAGE(177, 154, 167)</f>
        <v>166</v>
      </c>
      <c r="Q3" s="54">
        <f>P3*0.9</f>
        <v>149.4</v>
      </c>
      <c r="R3" s="11">
        <v>29</v>
      </c>
      <c r="S3" s="11" t="s">
        <v>30</v>
      </c>
      <c r="U3" s="11">
        <f>8.2+10.9+10+5.7</f>
        <v>34.800000000000004</v>
      </c>
      <c r="V3" s="11" t="s">
        <v>0</v>
      </c>
      <c r="W3" s="54">
        <f>8.2+10.9+10+5.7</f>
        <v>34.800000000000004</v>
      </c>
      <c r="X3" s="11">
        <v>1</v>
      </c>
      <c r="AA3" s="11" t="s">
        <v>283</v>
      </c>
    </row>
    <row r="4" spans="1:28" ht="40.049999999999997" customHeight="1" x14ac:dyDescent="0.3">
      <c r="A4" s="11">
        <v>1</v>
      </c>
      <c r="B4" s="11" t="s">
        <v>662</v>
      </c>
      <c r="E4" s="11" t="s">
        <v>526</v>
      </c>
      <c r="G4" s="11" t="s">
        <v>58</v>
      </c>
      <c r="I4" s="11" t="s">
        <v>391</v>
      </c>
      <c r="J4" s="11" t="s">
        <v>281</v>
      </c>
      <c r="M4" s="11">
        <f t="shared" si="0"/>
        <v>1.8</v>
      </c>
      <c r="N4" s="11" t="s">
        <v>279</v>
      </c>
      <c r="P4" s="11">
        <f>AVERAGE(177, 154, 167)</f>
        <v>166</v>
      </c>
      <c r="Q4" s="54">
        <f>P4*0.9</f>
        <v>149.4</v>
      </c>
      <c r="R4" s="11">
        <v>29</v>
      </c>
      <c r="S4" s="11" t="s">
        <v>67</v>
      </c>
      <c r="U4" s="11">
        <v>2.7</v>
      </c>
      <c r="V4" s="11" t="s">
        <v>0</v>
      </c>
      <c r="W4" s="54">
        <v>2.7</v>
      </c>
      <c r="X4" s="11">
        <v>1</v>
      </c>
    </row>
    <row r="5" spans="1:28" ht="40.049999999999997" customHeight="1" x14ac:dyDescent="0.3">
      <c r="A5" s="11">
        <v>1</v>
      </c>
      <c r="B5" s="11" t="s">
        <v>662</v>
      </c>
      <c r="E5" s="11" t="s">
        <v>526</v>
      </c>
      <c r="G5" s="11" t="s">
        <v>58</v>
      </c>
      <c r="I5" s="11" t="s">
        <v>391</v>
      </c>
      <c r="J5" s="11" t="s">
        <v>281</v>
      </c>
      <c r="M5" s="11">
        <f t="shared" si="0"/>
        <v>1.8</v>
      </c>
      <c r="N5" s="11" t="s">
        <v>279</v>
      </c>
      <c r="P5" s="11">
        <f>AVERAGE(177, 154, 167)</f>
        <v>166</v>
      </c>
      <c r="Q5" s="54">
        <f>P5*0.9</f>
        <v>149.4</v>
      </c>
      <c r="R5" s="11">
        <v>29</v>
      </c>
      <c r="S5" s="11" t="s">
        <v>437</v>
      </c>
      <c r="U5" s="11">
        <v>1.8</v>
      </c>
      <c r="V5" s="11" t="s">
        <v>444</v>
      </c>
      <c r="W5" s="54">
        <v>1.8</v>
      </c>
      <c r="X5" s="11">
        <v>1</v>
      </c>
    </row>
    <row r="6" spans="1:28" ht="40.049999999999997" customHeight="1" x14ac:dyDescent="0.3">
      <c r="A6" s="11">
        <v>1</v>
      </c>
      <c r="B6" s="11" t="s">
        <v>662</v>
      </c>
      <c r="E6" s="11" t="s">
        <v>526</v>
      </c>
      <c r="G6" s="11" t="s">
        <v>58</v>
      </c>
      <c r="I6" s="11" t="s">
        <v>391</v>
      </c>
      <c r="J6" s="11" t="s">
        <v>277</v>
      </c>
      <c r="K6" s="11" t="s">
        <v>276</v>
      </c>
      <c r="M6" s="61">
        <f>AVERAGE(1.2,1.2,1.1)</f>
        <v>1.1666666666666667</v>
      </c>
      <c r="N6" s="11" t="s">
        <v>275</v>
      </c>
      <c r="P6" s="54">
        <f>AVERAGE(105,96,118)</f>
        <v>106.33333333333333</v>
      </c>
      <c r="Q6" s="54">
        <f t="shared" ref="Q6:Q12" si="1" xml:space="preserve"> P6*0.9</f>
        <v>95.7</v>
      </c>
      <c r="R6" s="11">
        <v>29</v>
      </c>
      <c r="S6" s="11" t="s">
        <v>65</v>
      </c>
      <c r="U6" s="11">
        <v>539</v>
      </c>
      <c r="V6" s="11" t="s">
        <v>0</v>
      </c>
      <c r="W6" s="54">
        <v>539</v>
      </c>
      <c r="X6" s="11">
        <v>1</v>
      </c>
      <c r="AA6" s="11" t="s">
        <v>445</v>
      </c>
      <c r="AB6" s="11">
        <f>AVERAGE(105,96,118)</f>
        <v>106.33333333333333</v>
      </c>
    </row>
    <row r="7" spans="1:28" ht="40.049999999999997" customHeight="1" x14ac:dyDescent="0.3">
      <c r="A7" s="11">
        <v>1</v>
      </c>
      <c r="B7" s="11" t="s">
        <v>662</v>
      </c>
      <c r="E7" s="11" t="s">
        <v>526</v>
      </c>
      <c r="G7" s="11" t="s">
        <v>58</v>
      </c>
      <c r="I7" s="11" t="s">
        <v>391</v>
      </c>
      <c r="J7" s="11" t="s">
        <v>277</v>
      </c>
      <c r="M7" s="61">
        <f t="shared" ref="M7:M8" si="2">AVERAGE(1.2,1.2,1.1)</f>
        <v>1.1666666666666667</v>
      </c>
      <c r="N7" s="11" t="s">
        <v>275</v>
      </c>
      <c r="P7" s="54">
        <f>AVERAGE(105,96,118)</f>
        <v>106.33333333333333</v>
      </c>
      <c r="Q7" s="54">
        <f t="shared" si="1"/>
        <v>95.7</v>
      </c>
      <c r="R7" s="11">
        <v>29</v>
      </c>
      <c r="S7" s="11" t="s">
        <v>67</v>
      </c>
      <c r="U7" s="11">
        <f>30+1.9</f>
        <v>31.9</v>
      </c>
      <c r="V7" s="11" t="s">
        <v>0</v>
      </c>
      <c r="W7" s="54">
        <f>30+1.9</f>
        <v>31.9</v>
      </c>
      <c r="X7" s="11">
        <v>1</v>
      </c>
    </row>
    <row r="8" spans="1:28" ht="40.049999999999997" customHeight="1" x14ac:dyDescent="0.3">
      <c r="A8" s="11">
        <v>1</v>
      </c>
      <c r="B8" s="11" t="s">
        <v>662</v>
      </c>
      <c r="E8" s="11" t="s">
        <v>526</v>
      </c>
      <c r="G8" s="11" t="s">
        <v>58</v>
      </c>
      <c r="I8" s="11" t="s">
        <v>391</v>
      </c>
      <c r="J8" s="11" t="s">
        <v>277</v>
      </c>
      <c r="M8" s="61">
        <f t="shared" si="2"/>
        <v>1.1666666666666667</v>
      </c>
      <c r="N8" s="11" t="s">
        <v>275</v>
      </c>
      <c r="P8" s="54">
        <f>AVERAGE(105,96,118)</f>
        <v>106.33333333333333</v>
      </c>
      <c r="Q8" s="54">
        <f t="shared" si="1"/>
        <v>95.7</v>
      </c>
      <c r="R8" s="11">
        <v>29</v>
      </c>
      <c r="S8" s="11" t="s">
        <v>437</v>
      </c>
      <c r="U8" s="11">
        <v>0.55000000000000004</v>
      </c>
      <c r="V8" s="11" t="s">
        <v>444</v>
      </c>
      <c r="W8" s="54">
        <v>0.55000000000000004</v>
      </c>
      <c r="X8" s="11">
        <v>1</v>
      </c>
    </row>
    <row r="9" spans="1:28" ht="40.049999999999997" customHeight="1" x14ac:dyDescent="0.3">
      <c r="A9" s="11">
        <v>1</v>
      </c>
      <c r="B9" s="11" t="s">
        <v>662</v>
      </c>
      <c r="E9" s="11" t="s">
        <v>526</v>
      </c>
      <c r="G9" s="11" t="s">
        <v>58</v>
      </c>
      <c r="H9" s="11" t="s">
        <v>282</v>
      </c>
      <c r="I9" s="11" t="s">
        <v>441</v>
      </c>
      <c r="J9" s="11" t="s">
        <v>274</v>
      </c>
      <c r="K9" s="11" t="s">
        <v>945</v>
      </c>
      <c r="M9" s="11">
        <v>1</v>
      </c>
      <c r="N9" s="11" t="s">
        <v>273</v>
      </c>
      <c r="P9" s="11">
        <f>AVERAGE(99, 97)</f>
        <v>98</v>
      </c>
      <c r="Q9" s="54">
        <f t="shared" si="1"/>
        <v>88.2</v>
      </c>
      <c r="R9" s="11">
        <v>29</v>
      </c>
      <c r="S9" s="11" t="s">
        <v>65</v>
      </c>
      <c r="U9" s="11">
        <f>317+221+171+224</f>
        <v>933</v>
      </c>
      <c r="V9" s="11" t="s">
        <v>0</v>
      </c>
      <c r="W9" s="54">
        <f>317+221+171+224</f>
        <v>933</v>
      </c>
      <c r="X9" s="11">
        <v>3</v>
      </c>
      <c r="AB9" s="11">
        <f>AVERAGE(99,96,97)</f>
        <v>97.333333333333329</v>
      </c>
    </row>
    <row r="10" spans="1:28" ht="40.049999999999997" customHeight="1" x14ac:dyDescent="0.3">
      <c r="A10" s="11">
        <v>1</v>
      </c>
      <c r="B10" s="11" t="s">
        <v>662</v>
      </c>
      <c r="E10" s="11" t="s">
        <v>526</v>
      </c>
      <c r="G10" s="11" t="s">
        <v>58</v>
      </c>
      <c r="I10" s="11" t="s">
        <v>441</v>
      </c>
      <c r="J10" s="11" t="s">
        <v>274</v>
      </c>
      <c r="M10" s="11">
        <v>1</v>
      </c>
      <c r="N10" s="11" t="s">
        <v>273</v>
      </c>
      <c r="P10" s="11">
        <f>AVERAGE(99, 97)</f>
        <v>98</v>
      </c>
      <c r="Q10" s="54">
        <f t="shared" si="1"/>
        <v>88.2</v>
      </c>
      <c r="R10" s="11">
        <v>29</v>
      </c>
      <c r="S10" s="11" t="s">
        <v>30</v>
      </c>
      <c r="U10" s="11">
        <f>6.4+14.5+11.1+5.5</f>
        <v>37.5</v>
      </c>
      <c r="V10" s="11" t="s">
        <v>0</v>
      </c>
      <c r="W10" s="54">
        <f>6.4+14.5+11.1+5.5</f>
        <v>37.5</v>
      </c>
      <c r="X10" s="11">
        <v>3</v>
      </c>
    </row>
    <row r="11" spans="1:28" ht="40.049999999999997" customHeight="1" x14ac:dyDescent="0.3">
      <c r="A11" s="11">
        <v>1</v>
      </c>
      <c r="B11" s="11" t="s">
        <v>662</v>
      </c>
      <c r="E11" s="11" t="s">
        <v>526</v>
      </c>
      <c r="G11" s="11" t="s">
        <v>58</v>
      </c>
      <c r="I11" s="11" t="s">
        <v>441</v>
      </c>
      <c r="J11" s="11" t="s">
        <v>274</v>
      </c>
      <c r="M11" s="11">
        <v>1</v>
      </c>
      <c r="N11" s="11" t="s">
        <v>273</v>
      </c>
      <c r="P11" s="11">
        <f>AVERAGE(99, 97)</f>
        <v>98</v>
      </c>
      <c r="Q11" s="54">
        <f t="shared" si="1"/>
        <v>88.2</v>
      </c>
      <c r="R11" s="11">
        <v>29</v>
      </c>
      <c r="S11" s="11" t="s">
        <v>67</v>
      </c>
      <c r="U11" s="11">
        <v>2.7</v>
      </c>
      <c r="V11" s="11" t="s">
        <v>0</v>
      </c>
      <c r="W11" s="54">
        <v>2.7</v>
      </c>
      <c r="X11" s="11">
        <v>3</v>
      </c>
    </row>
    <row r="12" spans="1:28" ht="40.049999999999997" customHeight="1" x14ac:dyDescent="0.3">
      <c r="A12" s="11">
        <v>1</v>
      </c>
      <c r="B12" s="11" t="s">
        <v>662</v>
      </c>
      <c r="E12" s="11" t="s">
        <v>526</v>
      </c>
      <c r="G12" s="11" t="s">
        <v>58</v>
      </c>
      <c r="I12" s="11" t="s">
        <v>441</v>
      </c>
      <c r="J12" s="11" t="s">
        <v>274</v>
      </c>
      <c r="M12" s="11">
        <v>1</v>
      </c>
      <c r="N12" s="11" t="s">
        <v>273</v>
      </c>
      <c r="P12" s="11">
        <f>AVERAGE(99, 97)</f>
        <v>98</v>
      </c>
      <c r="Q12" s="54">
        <f t="shared" si="1"/>
        <v>88.2</v>
      </c>
      <c r="R12" s="11">
        <v>29</v>
      </c>
      <c r="S12" s="11" t="s">
        <v>437</v>
      </c>
      <c r="U12" s="11">
        <v>1.8</v>
      </c>
      <c r="V12" s="11" t="s">
        <v>0</v>
      </c>
      <c r="W12" s="54">
        <v>1.8</v>
      </c>
      <c r="X12" s="11">
        <v>3</v>
      </c>
    </row>
    <row r="13" spans="1:28" ht="40.049999999999997" customHeight="1" x14ac:dyDescent="0.3">
      <c r="A13" s="11">
        <v>2</v>
      </c>
      <c r="B13" s="11" t="s">
        <v>665</v>
      </c>
      <c r="C13" s="11" t="s">
        <v>382</v>
      </c>
      <c r="D13" s="11" t="s">
        <v>818</v>
      </c>
      <c r="E13" s="11" t="s">
        <v>527</v>
      </c>
      <c r="G13" s="11" t="s">
        <v>58</v>
      </c>
      <c r="H13" s="11" t="s">
        <v>282</v>
      </c>
      <c r="I13" s="11" t="s">
        <v>391</v>
      </c>
      <c r="J13" s="11" t="s">
        <v>380</v>
      </c>
      <c r="K13" s="11" t="s">
        <v>381</v>
      </c>
      <c r="M13" s="11">
        <v>1</v>
      </c>
      <c r="N13" s="11">
        <v>1</v>
      </c>
      <c r="O13" s="11">
        <v>4</v>
      </c>
      <c r="Q13" s="11">
        <v>32</v>
      </c>
      <c r="R13" s="11">
        <f t="shared" ref="R13:R20" si="3">Q13/O13</f>
        <v>8</v>
      </c>
      <c r="S13" s="11" t="s">
        <v>65</v>
      </c>
      <c r="U13" s="11">
        <v>7229</v>
      </c>
      <c r="V13" s="11" t="s">
        <v>244</v>
      </c>
      <c r="W13" s="54">
        <f>U13/Q13</f>
        <v>225.90625</v>
      </c>
      <c r="X13" s="11">
        <v>1</v>
      </c>
      <c r="AB13" s="11">
        <v>32</v>
      </c>
    </row>
    <row r="14" spans="1:28" ht="40.049999999999997" customHeight="1" x14ac:dyDescent="0.3">
      <c r="A14" s="11">
        <v>2</v>
      </c>
      <c r="B14" s="11" t="s">
        <v>664</v>
      </c>
      <c r="E14" s="11" t="s">
        <v>527</v>
      </c>
      <c r="G14" s="11" t="s">
        <v>58</v>
      </c>
      <c r="I14" s="11" t="s">
        <v>391</v>
      </c>
      <c r="J14" s="11" t="s">
        <v>380</v>
      </c>
      <c r="M14" s="11">
        <v>1</v>
      </c>
      <c r="N14" s="11">
        <v>1</v>
      </c>
      <c r="O14" s="11">
        <v>4</v>
      </c>
      <c r="Q14" s="11">
        <v>32</v>
      </c>
      <c r="R14" s="11">
        <f t="shared" si="3"/>
        <v>8</v>
      </c>
      <c r="S14" s="11" t="s">
        <v>30</v>
      </c>
      <c r="U14" s="11">
        <v>1136</v>
      </c>
      <c r="V14" s="11" t="s">
        <v>244</v>
      </c>
      <c r="W14" s="54">
        <f>U14/Q14</f>
        <v>35.5</v>
      </c>
      <c r="X14" s="11">
        <v>1</v>
      </c>
    </row>
    <row r="15" spans="1:28" ht="40.049999999999997" customHeight="1" x14ac:dyDescent="0.3">
      <c r="A15" s="11">
        <v>2</v>
      </c>
      <c r="B15" s="11" t="s">
        <v>664</v>
      </c>
      <c r="E15" s="11" t="s">
        <v>527</v>
      </c>
      <c r="G15" s="11" t="s">
        <v>58</v>
      </c>
      <c r="I15" s="11" t="s">
        <v>391</v>
      </c>
      <c r="J15" s="11" t="s">
        <v>380</v>
      </c>
      <c r="M15" s="11">
        <v>1</v>
      </c>
      <c r="N15" s="11">
        <v>1</v>
      </c>
      <c r="O15" s="11">
        <v>4</v>
      </c>
      <c r="Q15" s="11">
        <v>32</v>
      </c>
      <c r="R15" s="11">
        <f t="shared" si="3"/>
        <v>8</v>
      </c>
      <c r="S15" s="11" t="s">
        <v>67</v>
      </c>
      <c r="U15" s="11">
        <v>792</v>
      </c>
      <c r="V15" s="11" t="s">
        <v>244</v>
      </c>
      <c r="W15" s="54">
        <f>U15/Q15</f>
        <v>24.75</v>
      </c>
      <c r="X15" s="11">
        <v>1</v>
      </c>
    </row>
    <row r="16" spans="1:28" ht="40.049999999999997" customHeight="1" x14ac:dyDescent="0.3">
      <c r="A16" s="11">
        <v>3</v>
      </c>
      <c r="B16" s="11" t="s">
        <v>666</v>
      </c>
      <c r="C16" s="11" t="s">
        <v>383</v>
      </c>
      <c r="D16" s="11" t="s">
        <v>819</v>
      </c>
      <c r="E16" s="11" t="s">
        <v>528</v>
      </c>
      <c r="G16" s="11" t="s">
        <v>58</v>
      </c>
      <c r="H16" s="11" t="s">
        <v>2</v>
      </c>
      <c r="I16" s="11" t="s">
        <v>434</v>
      </c>
      <c r="J16" s="11" t="s">
        <v>384</v>
      </c>
      <c r="K16" s="11" t="s">
        <v>443</v>
      </c>
      <c r="M16" s="11">
        <v>2</v>
      </c>
      <c r="N16" s="11">
        <v>1</v>
      </c>
      <c r="O16" s="11">
        <v>4</v>
      </c>
      <c r="Q16" s="11">
        <v>140</v>
      </c>
      <c r="R16" s="11">
        <f t="shared" si="3"/>
        <v>35</v>
      </c>
      <c r="S16" s="11" t="s">
        <v>65</v>
      </c>
      <c r="T16" s="11">
        <v>2320</v>
      </c>
      <c r="U16" s="11">
        <v>54</v>
      </c>
      <c r="V16" s="11" t="s">
        <v>1</v>
      </c>
      <c r="W16" s="54">
        <f>(U16*T16)/Q16</f>
        <v>894.85714285714289</v>
      </c>
      <c r="X16" s="11">
        <v>2</v>
      </c>
      <c r="Z16" s="11" t="s">
        <v>248</v>
      </c>
      <c r="AB16" s="11">
        <v>140</v>
      </c>
    </row>
    <row r="17" spans="1:27" ht="40.049999999999997" customHeight="1" x14ac:dyDescent="0.3">
      <c r="A17" s="11">
        <v>3</v>
      </c>
      <c r="B17" s="11" t="s">
        <v>820</v>
      </c>
      <c r="E17" s="11" t="s">
        <v>528</v>
      </c>
      <c r="G17" s="11" t="s">
        <v>58</v>
      </c>
      <c r="I17" s="11" t="s">
        <v>434</v>
      </c>
      <c r="J17" s="11" t="s">
        <v>384</v>
      </c>
      <c r="M17" s="11">
        <v>2</v>
      </c>
      <c r="N17" s="11">
        <v>1</v>
      </c>
      <c r="O17" s="11">
        <v>4</v>
      </c>
      <c r="Q17" s="11">
        <v>140</v>
      </c>
      <c r="R17" s="11">
        <f t="shared" si="3"/>
        <v>35</v>
      </c>
      <c r="S17" s="11" t="s">
        <v>30</v>
      </c>
      <c r="U17" s="11">
        <v>5500</v>
      </c>
      <c r="V17" s="11" t="s">
        <v>244</v>
      </c>
      <c r="W17" s="54">
        <f>U17/Q17</f>
        <v>39.285714285714285</v>
      </c>
      <c r="X17" s="11">
        <v>2</v>
      </c>
    </row>
    <row r="18" spans="1:27" ht="57.6" x14ac:dyDescent="0.3">
      <c r="A18" s="11">
        <v>3</v>
      </c>
      <c r="B18" s="11" t="s">
        <v>820</v>
      </c>
      <c r="E18" s="11" t="s">
        <v>528</v>
      </c>
      <c r="G18" s="11" t="s">
        <v>58</v>
      </c>
      <c r="I18" s="11" t="s">
        <v>434</v>
      </c>
      <c r="J18" s="11" t="s">
        <v>384</v>
      </c>
      <c r="M18" s="11">
        <v>2</v>
      </c>
      <c r="N18" s="11">
        <v>1</v>
      </c>
      <c r="O18" s="11">
        <v>4</v>
      </c>
      <c r="Q18" s="11">
        <v>140</v>
      </c>
      <c r="R18" s="11">
        <f t="shared" si="3"/>
        <v>35</v>
      </c>
      <c r="S18" s="11" t="s">
        <v>67</v>
      </c>
      <c r="T18" s="11">
        <v>450</v>
      </c>
      <c r="U18" s="11">
        <v>5.5</v>
      </c>
      <c r="V18" s="11" t="s">
        <v>1</v>
      </c>
      <c r="W18" s="54">
        <f>(U18*T18)/Q18</f>
        <v>17.678571428571427</v>
      </c>
      <c r="X18" s="11">
        <v>2</v>
      </c>
      <c r="AA18" s="11" t="s">
        <v>385</v>
      </c>
    </row>
    <row r="19" spans="1:27" ht="57.6" x14ac:dyDescent="0.3">
      <c r="A19" s="11">
        <v>3</v>
      </c>
      <c r="B19" s="11" t="s">
        <v>820</v>
      </c>
      <c r="E19" s="11" t="s">
        <v>528</v>
      </c>
      <c r="G19" s="11" t="s">
        <v>58</v>
      </c>
      <c r="I19" s="11" t="s">
        <v>434</v>
      </c>
      <c r="J19" s="11" t="s">
        <v>384</v>
      </c>
      <c r="M19" s="11">
        <v>2</v>
      </c>
      <c r="N19" s="11">
        <v>1</v>
      </c>
      <c r="O19" s="11">
        <v>4</v>
      </c>
      <c r="Q19" s="11">
        <v>140</v>
      </c>
      <c r="R19" s="11">
        <f t="shared" si="3"/>
        <v>35</v>
      </c>
      <c r="S19" s="11" t="s">
        <v>243</v>
      </c>
      <c r="U19" s="11">
        <v>55</v>
      </c>
      <c r="V19" s="11" t="s">
        <v>244</v>
      </c>
      <c r="W19" s="54">
        <f>U19/Q19</f>
        <v>0.39285714285714285</v>
      </c>
      <c r="X19" s="11">
        <v>2</v>
      </c>
    </row>
    <row r="20" spans="1:27" ht="57.6" x14ac:dyDescent="0.3">
      <c r="A20" s="11">
        <v>3</v>
      </c>
      <c r="B20" s="11" t="s">
        <v>820</v>
      </c>
      <c r="E20" s="11" t="s">
        <v>528</v>
      </c>
      <c r="G20" s="11" t="s">
        <v>58</v>
      </c>
      <c r="I20" s="11" t="s">
        <v>434</v>
      </c>
      <c r="J20" s="11" t="s">
        <v>384</v>
      </c>
      <c r="M20" s="11">
        <v>2</v>
      </c>
      <c r="N20" s="11">
        <v>1</v>
      </c>
      <c r="O20" s="11">
        <v>4</v>
      </c>
      <c r="Q20" s="11">
        <v>140</v>
      </c>
      <c r="R20" s="11">
        <f t="shared" si="3"/>
        <v>35</v>
      </c>
      <c r="S20" s="11" t="s">
        <v>437</v>
      </c>
      <c r="U20" s="11">
        <v>150</v>
      </c>
      <c r="V20" s="11" t="s">
        <v>244</v>
      </c>
      <c r="W20" s="54">
        <f>U20/Q20</f>
        <v>1.0714285714285714</v>
      </c>
      <c r="X20" s="11">
        <v>2</v>
      </c>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AB1"/>
  <sheetViews>
    <sheetView topLeftCell="K1" zoomScale="80" zoomScaleNormal="80" workbookViewId="0">
      <selection activeCell="R44" sqref="R44"/>
    </sheetView>
  </sheetViews>
  <sheetFormatPr defaultColWidth="8.77734375" defaultRowHeight="14.4" x14ac:dyDescent="0.3"/>
  <cols>
    <col min="1" max="1" width="4.77734375" customWidth="1"/>
    <col min="2" max="2" width="10.77734375" customWidth="1"/>
    <col min="3" max="4" width="13" customWidth="1"/>
    <col min="5" max="6" width="25" customWidth="1"/>
    <col min="8" max="8" width="16.21875" customWidth="1"/>
    <col min="9" max="9" width="27.77734375" customWidth="1"/>
    <col min="10" max="10" width="16" customWidth="1"/>
    <col min="11" max="11" width="12.44140625" customWidth="1"/>
    <col min="12" max="13" width="22.44140625" customWidth="1"/>
    <col min="14" max="14" width="23" customWidth="1"/>
    <col min="15" max="15" width="13.21875" customWidth="1"/>
    <col min="16" max="16" width="13.44140625" customWidth="1"/>
    <col min="17" max="18" width="12.21875" customWidth="1"/>
    <col min="19" max="19" width="13.21875" customWidth="1"/>
    <col min="20" max="20" width="11.44140625" customWidth="1"/>
    <col min="21" max="21" width="11.21875" customWidth="1"/>
    <col min="22" max="22" width="13.77734375" customWidth="1"/>
    <col min="23" max="23" width="9.21875"/>
    <col min="24" max="24" width="10.21875" customWidth="1"/>
  </cols>
  <sheetData>
    <row r="1" spans="1:28"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9" t="s">
        <v>195</v>
      </c>
      <c r="P1" s="56" t="s">
        <v>194</v>
      </c>
      <c r="Q1" s="56" t="s">
        <v>415</v>
      </c>
      <c r="R1" s="56" t="s">
        <v>416</v>
      </c>
      <c r="S1" s="56" t="s">
        <v>193</v>
      </c>
      <c r="T1" s="56" t="s">
        <v>421</v>
      </c>
      <c r="U1" s="56" t="s">
        <v>521</v>
      </c>
      <c r="V1" s="56" t="s">
        <v>192</v>
      </c>
      <c r="W1" s="56" t="s">
        <v>386</v>
      </c>
      <c r="X1" s="56" t="s">
        <v>418</v>
      </c>
      <c r="Y1" s="56" t="s">
        <v>242</v>
      </c>
      <c r="Z1" s="56" t="s">
        <v>191</v>
      </c>
      <c r="AA1" s="56" t="s">
        <v>190</v>
      </c>
      <c r="AB1" s="5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AA13"/>
  <sheetViews>
    <sheetView zoomScaleNormal="100" workbookViewId="0">
      <selection activeCell="L11" sqref="L11"/>
    </sheetView>
  </sheetViews>
  <sheetFormatPr defaultColWidth="9.21875" defaultRowHeight="14.4" x14ac:dyDescent="0.3"/>
  <cols>
    <col min="1" max="1" width="3.77734375" style="8" customWidth="1"/>
    <col min="2" max="2" width="11.77734375" style="8" customWidth="1"/>
    <col min="3" max="3" width="41.77734375" style="8" customWidth="1"/>
    <col min="4" max="4" width="22.44140625" style="8" customWidth="1"/>
    <col min="5" max="6" width="25" style="8" customWidth="1"/>
    <col min="7" max="7" width="10.77734375" style="12" customWidth="1"/>
    <col min="8" max="8" width="16.21875" style="8" customWidth="1"/>
    <col min="9" max="9" width="27.77734375" style="8" customWidth="1"/>
    <col min="10" max="10" width="16" style="8" customWidth="1"/>
    <col min="11" max="11" width="17.77734375" style="8" customWidth="1"/>
    <col min="12" max="13" width="22.44140625" style="8" customWidth="1"/>
    <col min="14" max="14" width="23" style="8" customWidth="1"/>
    <col min="15" max="15" width="13.21875" style="8" customWidth="1"/>
    <col min="16" max="16" width="13.44140625" style="8" customWidth="1"/>
    <col min="17" max="18" width="15.21875" style="8" customWidth="1"/>
    <col min="19" max="19" width="16.44140625" style="34" customWidth="1"/>
    <col min="20" max="20" width="12.77734375" style="8" customWidth="1"/>
    <col min="21" max="21" width="14.77734375" style="8" customWidth="1"/>
    <col min="22" max="22" width="9.21875" style="8"/>
    <col min="23" max="23" width="13.77734375" style="34" customWidth="1"/>
    <col min="24" max="24" width="12.44140625" style="37" customWidth="1"/>
    <col min="25" max="25" width="9.21875" style="8"/>
    <col min="26" max="26" width="10.21875" style="8" customWidth="1"/>
    <col min="27" max="27" width="42.44140625" style="38" customWidth="1"/>
    <col min="28" max="16384" width="9.21875" style="8"/>
  </cols>
  <sheetData>
    <row r="1" spans="1:27"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241</v>
      </c>
      <c r="R1" s="56" t="s">
        <v>416</v>
      </c>
      <c r="S1" s="56" t="s">
        <v>193</v>
      </c>
      <c r="T1" s="56" t="s">
        <v>421</v>
      </c>
      <c r="U1" s="56" t="s">
        <v>521</v>
      </c>
      <c r="V1" s="56" t="s">
        <v>192</v>
      </c>
      <c r="W1" s="56" t="s">
        <v>386</v>
      </c>
      <c r="X1" s="56" t="s">
        <v>418</v>
      </c>
      <c r="Y1" s="56" t="s">
        <v>242</v>
      </c>
      <c r="Z1" s="56" t="s">
        <v>191</v>
      </c>
      <c r="AA1" s="56" t="s">
        <v>190</v>
      </c>
    </row>
    <row r="2" spans="1:27" ht="40.049999999999997" customHeight="1" x14ac:dyDescent="0.3">
      <c r="A2" s="11">
        <v>1</v>
      </c>
      <c r="B2" s="11" t="s">
        <v>667</v>
      </c>
      <c r="C2" s="11" t="s">
        <v>822</v>
      </c>
      <c r="D2" s="11" t="s">
        <v>821</v>
      </c>
      <c r="E2" s="11" t="s">
        <v>525</v>
      </c>
      <c r="F2" s="11"/>
      <c r="G2" s="11" t="s">
        <v>58</v>
      </c>
      <c r="H2" s="11" t="s">
        <v>446</v>
      </c>
      <c r="I2" s="11" t="s">
        <v>391</v>
      </c>
      <c r="J2" s="11" t="s">
        <v>284</v>
      </c>
      <c r="K2" s="11" t="s">
        <v>285</v>
      </c>
      <c r="L2" s="11"/>
      <c r="M2" s="11">
        <v>1</v>
      </c>
      <c r="N2" s="11">
        <v>1</v>
      </c>
      <c r="O2" s="11">
        <v>4</v>
      </c>
      <c r="P2" s="61">
        <v>68.7</v>
      </c>
      <c r="Q2" s="53">
        <f t="shared" ref="Q2:Q6" si="0">(9 - 3*0.2) * (8 - 3*0.2)</f>
        <v>62.160000000000004</v>
      </c>
      <c r="R2" s="53">
        <f t="shared" ref="R2:R11" si="1">Q2/O2</f>
        <v>15.540000000000001</v>
      </c>
      <c r="S2" s="54" t="s">
        <v>65</v>
      </c>
      <c r="T2" s="11"/>
      <c r="U2" s="54">
        <f>6600+9600+20856+7200</f>
        <v>44256</v>
      </c>
      <c r="V2" s="11" t="s">
        <v>244</v>
      </c>
      <c r="W2" s="54">
        <f t="shared" ref="W2:W13" si="2">U2/Q2</f>
        <v>711.96911196911196</v>
      </c>
      <c r="X2" s="53">
        <v>1</v>
      </c>
      <c r="Y2" s="54">
        <f t="shared" ref="Y2:Y13" si="3">U2/O2</f>
        <v>11064</v>
      </c>
      <c r="Z2" s="11"/>
      <c r="AA2" s="11" t="s">
        <v>288</v>
      </c>
    </row>
    <row r="3" spans="1:27" ht="40.049999999999997" customHeight="1" x14ac:dyDescent="0.3">
      <c r="A3" s="11">
        <v>1</v>
      </c>
      <c r="B3" s="11" t="s">
        <v>823</v>
      </c>
      <c r="C3" s="11"/>
      <c r="D3" s="11"/>
      <c r="E3" s="11" t="s">
        <v>525</v>
      </c>
      <c r="F3" s="11"/>
      <c r="G3" s="11" t="s">
        <v>58</v>
      </c>
      <c r="H3" s="11"/>
      <c r="I3" s="11" t="s">
        <v>391</v>
      </c>
      <c r="J3" s="11" t="s">
        <v>284</v>
      </c>
      <c r="K3" s="11" t="s">
        <v>285</v>
      </c>
      <c r="L3" s="11"/>
      <c r="M3" s="11">
        <v>1</v>
      </c>
      <c r="N3" s="11">
        <v>1</v>
      </c>
      <c r="O3" s="11">
        <v>4</v>
      </c>
      <c r="P3" s="61">
        <v>68.7</v>
      </c>
      <c r="Q3" s="53">
        <f t="shared" si="0"/>
        <v>62.160000000000004</v>
      </c>
      <c r="R3" s="53">
        <f t="shared" si="1"/>
        <v>15.540000000000001</v>
      </c>
      <c r="S3" s="54" t="s">
        <v>67</v>
      </c>
      <c r="T3" s="11"/>
      <c r="U3" s="54">
        <f>63+126+76.5+22.5+21+154</f>
        <v>463</v>
      </c>
      <c r="V3" s="11" t="s">
        <v>244</v>
      </c>
      <c r="W3" s="54">
        <f t="shared" si="2"/>
        <v>7.448519948519948</v>
      </c>
      <c r="X3" s="53">
        <v>1</v>
      </c>
      <c r="Y3" s="54">
        <f t="shared" si="3"/>
        <v>115.75</v>
      </c>
      <c r="Z3" s="11"/>
      <c r="AA3" s="11"/>
    </row>
    <row r="4" spans="1:27" ht="40.049999999999997" customHeight="1" x14ac:dyDescent="0.3">
      <c r="A4" s="11">
        <v>1</v>
      </c>
      <c r="B4" s="11" t="s">
        <v>823</v>
      </c>
      <c r="C4" s="11"/>
      <c r="D4" s="11"/>
      <c r="E4" s="11" t="s">
        <v>525</v>
      </c>
      <c r="F4" s="11"/>
      <c r="G4" s="11" t="s">
        <v>58</v>
      </c>
      <c r="H4" s="11"/>
      <c r="I4" s="11" t="s">
        <v>391</v>
      </c>
      <c r="J4" s="11" t="s">
        <v>284</v>
      </c>
      <c r="K4" s="11" t="s">
        <v>285</v>
      </c>
      <c r="L4" s="11"/>
      <c r="M4" s="11">
        <v>1</v>
      </c>
      <c r="N4" s="11">
        <v>1</v>
      </c>
      <c r="O4" s="11">
        <v>4</v>
      </c>
      <c r="P4" s="61">
        <v>68.7</v>
      </c>
      <c r="Q4" s="53">
        <f t="shared" si="0"/>
        <v>62.160000000000004</v>
      </c>
      <c r="R4" s="53">
        <f t="shared" si="1"/>
        <v>15.540000000000001</v>
      </c>
      <c r="S4" s="54" t="s">
        <v>290</v>
      </c>
      <c r="T4" s="11"/>
      <c r="U4" s="54">
        <f>162+5.4+16.2+3+4</f>
        <v>190.6</v>
      </c>
      <c r="V4" s="11" t="s">
        <v>244</v>
      </c>
      <c r="W4" s="54">
        <f t="shared" si="2"/>
        <v>3.0662805662805659</v>
      </c>
      <c r="X4" s="53">
        <v>1</v>
      </c>
      <c r="Y4" s="54">
        <f t="shared" si="3"/>
        <v>47.65</v>
      </c>
      <c r="Z4" s="11"/>
      <c r="AA4" s="11"/>
    </row>
    <row r="5" spans="1:27" ht="40.049999999999997" customHeight="1" x14ac:dyDescent="0.3">
      <c r="A5" s="11">
        <v>1</v>
      </c>
      <c r="B5" s="11" t="s">
        <v>823</v>
      </c>
      <c r="C5" s="11"/>
      <c r="D5" s="11"/>
      <c r="E5" s="11" t="s">
        <v>525</v>
      </c>
      <c r="F5" s="11"/>
      <c r="G5" s="11" t="s">
        <v>58</v>
      </c>
      <c r="H5" s="11"/>
      <c r="I5" s="11" t="s">
        <v>391</v>
      </c>
      <c r="J5" s="11" t="s">
        <v>284</v>
      </c>
      <c r="K5" s="11" t="s">
        <v>285</v>
      </c>
      <c r="L5" s="11"/>
      <c r="M5" s="11">
        <v>1</v>
      </c>
      <c r="N5" s="11">
        <v>1</v>
      </c>
      <c r="O5" s="11">
        <v>4</v>
      </c>
      <c r="P5" s="61">
        <v>68.7</v>
      </c>
      <c r="Q5" s="53">
        <f t="shared" si="0"/>
        <v>62.160000000000004</v>
      </c>
      <c r="R5" s="53">
        <f t="shared" si="1"/>
        <v>15.540000000000001</v>
      </c>
      <c r="S5" s="54" t="s">
        <v>30</v>
      </c>
      <c r="T5" s="11"/>
      <c r="U5" s="54">
        <v>588.75</v>
      </c>
      <c r="V5" s="11" t="s">
        <v>244</v>
      </c>
      <c r="W5" s="54">
        <f t="shared" si="2"/>
        <v>9.4715250965250952</v>
      </c>
      <c r="X5" s="53">
        <v>1</v>
      </c>
      <c r="Y5" s="54">
        <f t="shared" si="3"/>
        <v>147.1875</v>
      </c>
      <c r="Z5" s="11"/>
      <c r="AA5" s="11"/>
    </row>
    <row r="6" spans="1:27" ht="40.049999999999997" customHeight="1" x14ac:dyDescent="0.3">
      <c r="A6" s="11">
        <v>1</v>
      </c>
      <c r="B6" s="11" t="s">
        <v>823</v>
      </c>
      <c r="C6" s="11"/>
      <c r="D6" s="11"/>
      <c r="E6" s="11" t="s">
        <v>525</v>
      </c>
      <c r="F6" s="11"/>
      <c r="G6" s="11" t="s">
        <v>58</v>
      </c>
      <c r="H6" s="11"/>
      <c r="I6" s="11" t="s">
        <v>391</v>
      </c>
      <c r="J6" s="11" t="s">
        <v>284</v>
      </c>
      <c r="K6" s="11" t="s">
        <v>285</v>
      </c>
      <c r="L6" s="11"/>
      <c r="M6" s="11">
        <v>1</v>
      </c>
      <c r="N6" s="11">
        <v>1</v>
      </c>
      <c r="O6" s="11">
        <v>4</v>
      </c>
      <c r="P6" s="61">
        <v>68.7</v>
      </c>
      <c r="Q6" s="53">
        <f t="shared" si="0"/>
        <v>62.160000000000004</v>
      </c>
      <c r="R6" s="53">
        <f t="shared" si="1"/>
        <v>15.540000000000001</v>
      </c>
      <c r="S6" s="54" t="s">
        <v>437</v>
      </c>
      <c r="T6" s="11"/>
      <c r="U6" s="54">
        <v>2.25</v>
      </c>
      <c r="V6" s="11" t="s">
        <v>244</v>
      </c>
      <c r="W6" s="54">
        <f t="shared" si="2"/>
        <v>3.6196911196911194E-2</v>
      </c>
      <c r="X6" s="53">
        <v>1</v>
      </c>
      <c r="Y6" s="54">
        <f t="shared" si="3"/>
        <v>0.5625</v>
      </c>
      <c r="Z6" s="11"/>
      <c r="AA6" s="11"/>
    </row>
    <row r="7" spans="1:27" ht="40.049999999999997" customHeight="1" x14ac:dyDescent="0.3">
      <c r="A7" s="11">
        <v>1</v>
      </c>
      <c r="B7" s="11" t="s">
        <v>823</v>
      </c>
      <c r="C7" s="11"/>
      <c r="D7" s="11"/>
      <c r="E7" s="11" t="s">
        <v>525</v>
      </c>
      <c r="F7" s="11"/>
      <c r="G7" s="11" t="s">
        <v>58</v>
      </c>
      <c r="H7" s="11"/>
      <c r="I7" s="11" t="s">
        <v>391</v>
      </c>
      <c r="J7" s="11" t="s">
        <v>286</v>
      </c>
      <c r="K7" s="11" t="s">
        <v>287</v>
      </c>
      <c r="L7" s="11"/>
      <c r="M7" s="11">
        <v>1</v>
      </c>
      <c r="N7" s="11">
        <v>1</v>
      </c>
      <c r="O7" s="11">
        <v>5</v>
      </c>
      <c r="P7" s="61">
        <v>95.36</v>
      </c>
      <c r="Q7" s="61">
        <f t="shared" ref="Q7:Q11" si="4">(12 - 3*0.2) * (9 - 4*0.2)</f>
        <v>93.47999999999999</v>
      </c>
      <c r="R7" s="53">
        <f t="shared" si="1"/>
        <v>18.695999999999998</v>
      </c>
      <c r="S7" s="54" t="s">
        <v>65</v>
      </c>
      <c r="T7" s="11"/>
      <c r="U7" s="54">
        <f>8470+14016+81+27600+9600</f>
        <v>59767</v>
      </c>
      <c r="V7" s="11" t="s">
        <v>244</v>
      </c>
      <c r="W7" s="54">
        <f t="shared" si="2"/>
        <v>639.35601198117251</v>
      </c>
      <c r="X7" s="53">
        <v>1</v>
      </c>
      <c r="Y7" s="54">
        <f t="shared" si="3"/>
        <v>11953.4</v>
      </c>
      <c r="Z7" s="11"/>
      <c r="AA7" s="11" t="s">
        <v>289</v>
      </c>
    </row>
    <row r="8" spans="1:27" ht="40.049999999999997" customHeight="1" x14ac:dyDescent="0.3">
      <c r="A8" s="11">
        <v>1</v>
      </c>
      <c r="B8" s="11" t="s">
        <v>823</v>
      </c>
      <c r="C8" s="11"/>
      <c r="D8" s="11"/>
      <c r="E8" s="11" t="s">
        <v>525</v>
      </c>
      <c r="F8" s="11"/>
      <c r="G8" s="11" t="s">
        <v>58</v>
      </c>
      <c r="H8" s="11"/>
      <c r="I8" s="11" t="s">
        <v>391</v>
      </c>
      <c r="J8" s="11" t="s">
        <v>286</v>
      </c>
      <c r="K8" s="11" t="s">
        <v>287</v>
      </c>
      <c r="L8" s="11"/>
      <c r="M8" s="11">
        <v>1</v>
      </c>
      <c r="N8" s="11">
        <v>1</v>
      </c>
      <c r="O8" s="11">
        <v>5</v>
      </c>
      <c r="P8" s="61">
        <v>95.36</v>
      </c>
      <c r="Q8" s="61">
        <f t="shared" si="4"/>
        <v>93.47999999999999</v>
      </c>
      <c r="R8" s="53">
        <f t="shared" si="1"/>
        <v>18.695999999999998</v>
      </c>
      <c r="S8" s="54" t="s">
        <v>67</v>
      </c>
      <c r="T8" s="11"/>
      <c r="U8" s="54">
        <f>153+94.5+31.5+18.2+154+140</f>
        <v>591.20000000000005</v>
      </c>
      <c r="V8" s="11" t="s">
        <v>244</v>
      </c>
      <c r="W8" s="54">
        <f t="shared" si="2"/>
        <v>6.3243474540008568</v>
      </c>
      <c r="X8" s="53">
        <v>1</v>
      </c>
      <c r="Y8" s="54">
        <f t="shared" si="3"/>
        <v>118.24000000000001</v>
      </c>
      <c r="Z8" s="11"/>
      <c r="AA8" s="11"/>
    </row>
    <row r="9" spans="1:27" ht="40.049999999999997" customHeight="1" x14ac:dyDescent="0.3">
      <c r="A9" s="11">
        <v>1</v>
      </c>
      <c r="B9" s="11" t="s">
        <v>823</v>
      </c>
      <c r="C9" s="11"/>
      <c r="D9" s="11"/>
      <c r="E9" s="11" t="s">
        <v>525</v>
      </c>
      <c r="F9" s="11"/>
      <c r="G9" s="11" t="s">
        <v>58</v>
      </c>
      <c r="H9" s="11"/>
      <c r="I9" s="11" t="s">
        <v>391</v>
      </c>
      <c r="J9" s="11" t="s">
        <v>286</v>
      </c>
      <c r="K9" s="11" t="s">
        <v>287</v>
      </c>
      <c r="L9" s="11"/>
      <c r="M9" s="11">
        <v>1</v>
      </c>
      <c r="N9" s="11">
        <v>1</v>
      </c>
      <c r="O9" s="11">
        <v>5</v>
      </c>
      <c r="P9" s="61">
        <v>95.36</v>
      </c>
      <c r="Q9" s="61">
        <f t="shared" si="4"/>
        <v>93.47999999999999</v>
      </c>
      <c r="R9" s="53">
        <f t="shared" si="1"/>
        <v>18.695999999999998</v>
      </c>
      <c r="S9" s="54" t="s">
        <v>290</v>
      </c>
      <c r="T9" s="11"/>
      <c r="U9" s="54">
        <f>216+8.1+18.9+4+6</f>
        <v>253</v>
      </c>
      <c r="V9" s="11" t="s">
        <v>244</v>
      </c>
      <c r="W9" s="54">
        <f t="shared" si="2"/>
        <v>2.7064612751390675</v>
      </c>
      <c r="X9" s="53">
        <v>1</v>
      </c>
      <c r="Y9" s="54">
        <f t="shared" si="3"/>
        <v>50.6</v>
      </c>
      <c r="Z9" s="11"/>
      <c r="AA9" s="11"/>
    </row>
    <row r="10" spans="1:27" ht="40.049999999999997" customHeight="1" x14ac:dyDescent="0.3">
      <c r="A10" s="11">
        <v>1</v>
      </c>
      <c r="B10" s="11" t="s">
        <v>823</v>
      </c>
      <c r="C10" s="11"/>
      <c r="D10" s="11"/>
      <c r="E10" s="11" t="s">
        <v>525</v>
      </c>
      <c r="F10" s="11"/>
      <c r="G10" s="11" t="s">
        <v>58</v>
      </c>
      <c r="H10" s="11"/>
      <c r="I10" s="11" t="s">
        <v>391</v>
      </c>
      <c r="J10" s="11" t="s">
        <v>286</v>
      </c>
      <c r="K10" s="11" t="s">
        <v>287</v>
      </c>
      <c r="L10" s="11"/>
      <c r="M10" s="11">
        <v>1</v>
      </c>
      <c r="N10" s="11">
        <v>1</v>
      </c>
      <c r="O10" s="11">
        <v>5</v>
      </c>
      <c r="P10" s="61">
        <v>95.36</v>
      </c>
      <c r="Q10" s="61">
        <f t="shared" si="4"/>
        <v>93.47999999999999</v>
      </c>
      <c r="R10" s="53">
        <f t="shared" si="1"/>
        <v>18.695999999999998</v>
      </c>
      <c r="S10" s="54" t="s">
        <v>30</v>
      </c>
      <c r="T10" s="11"/>
      <c r="U10" s="54">
        <v>785</v>
      </c>
      <c r="V10" s="11" t="s">
        <v>244</v>
      </c>
      <c r="W10" s="54">
        <f t="shared" si="2"/>
        <v>8.397518185708174</v>
      </c>
      <c r="X10" s="53">
        <v>1</v>
      </c>
      <c r="Y10" s="54">
        <f t="shared" si="3"/>
        <v>157</v>
      </c>
      <c r="Z10" s="11"/>
      <c r="AA10" s="11"/>
    </row>
    <row r="11" spans="1:27" ht="40.049999999999997" customHeight="1" x14ac:dyDescent="0.3">
      <c r="A11" s="11">
        <v>1</v>
      </c>
      <c r="B11" s="11" t="s">
        <v>823</v>
      </c>
      <c r="C11" s="11"/>
      <c r="D11" s="11"/>
      <c r="E11" s="11" t="s">
        <v>525</v>
      </c>
      <c r="F11" s="11"/>
      <c r="G11" s="11" t="s">
        <v>58</v>
      </c>
      <c r="H11" s="11"/>
      <c r="I11" s="11" t="s">
        <v>391</v>
      </c>
      <c r="J11" s="11" t="s">
        <v>286</v>
      </c>
      <c r="K11" s="11" t="s">
        <v>287</v>
      </c>
      <c r="L11" s="11"/>
      <c r="M11" s="11">
        <v>1</v>
      </c>
      <c r="N11" s="11">
        <v>1</v>
      </c>
      <c r="O11" s="11">
        <v>5</v>
      </c>
      <c r="P11" s="61">
        <v>95.36</v>
      </c>
      <c r="Q11" s="61">
        <f t="shared" si="4"/>
        <v>93.47999999999999</v>
      </c>
      <c r="R11" s="53">
        <f t="shared" si="1"/>
        <v>18.695999999999998</v>
      </c>
      <c r="S11" s="54" t="s">
        <v>437</v>
      </c>
      <c r="T11" s="11"/>
      <c r="U11" s="54">
        <v>3.25</v>
      </c>
      <c r="V11" s="11" t="s">
        <v>244</v>
      </c>
      <c r="W11" s="54">
        <f t="shared" si="2"/>
        <v>3.4766795036371423E-2</v>
      </c>
      <c r="X11" s="53">
        <v>1</v>
      </c>
      <c r="Y11" s="54">
        <f t="shared" si="3"/>
        <v>0.65</v>
      </c>
      <c r="Z11" s="11"/>
      <c r="AA11" s="11"/>
    </row>
    <row r="12" spans="1:27" ht="40.049999999999997" customHeight="1" x14ac:dyDescent="0.3">
      <c r="A12" s="11">
        <v>2</v>
      </c>
      <c r="B12" s="11" t="s">
        <v>669</v>
      </c>
      <c r="C12" s="11" t="s">
        <v>534</v>
      </c>
      <c r="D12" s="11" t="s">
        <v>824</v>
      </c>
      <c r="E12" s="11" t="s">
        <v>535</v>
      </c>
      <c r="F12" s="11"/>
      <c r="G12" s="11" t="s">
        <v>58</v>
      </c>
      <c r="H12" s="11"/>
      <c r="I12" s="10" t="s">
        <v>441</v>
      </c>
      <c r="J12" s="11" t="s">
        <v>536</v>
      </c>
      <c r="K12" s="11" t="s">
        <v>287</v>
      </c>
      <c r="L12" s="11">
        <v>2013</v>
      </c>
      <c r="M12" s="11">
        <v>3</v>
      </c>
      <c r="N12" s="11">
        <v>6</v>
      </c>
      <c r="O12" s="11">
        <f>4*N12</f>
        <v>24</v>
      </c>
      <c r="P12" s="11">
        <v>720</v>
      </c>
      <c r="Q12" s="61">
        <f>P12*0.9</f>
        <v>648</v>
      </c>
      <c r="R12" s="11">
        <f>Q12/O12</f>
        <v>27</v>
      </c>
      <c r="S12" s="54" t="s">
        <v>30</v>
      </c>
      <c r="T12" s="11"/>
      <c r="U12" s="54">
        <v>17320</v>
      </c>
      <c r="V12" s="11" t="s">
        <v>244</v>
      </c>
      <c r="W12" s="54">
        <f t="shared" si="2"/>
        <v>26.728395061728396</v>
      </c>
      <c r="X12" s="53">
        <v>3</v>
      </c>
      <c r="Y12" s="54">
        <f t="shared" si="3"/>
        <v>721.66666666666663</v>
      </c>
      <c r="Z12" s="11"/>
      <c r="AA12" s="11"/>
    </row>
    <row r="13" spans="1:27" ht="40.049999999999997" customHeight="1" x14ac:dyDescent="0.3">
      <c r="A13" s="11">
        <v>2</v>
      </c>
      <c r="B13" s="11" t="s">
        <v>668</v>
      </c>
      <c r="C13" s="11"/>
      <c r="D13" s="11"/>
      <c r="E13" s="11" t="s">
        <v>535</v>
      </c>
      <c r="F13" s="11"/>
      <c r="G13" s="11" t="s">
        <v>58</v>
      </c>
      <c r="H13" s="11"/>
      <c r="I13" s="10" t="s">
        <v>441</v>
      </c>
      <c r="J13" s="11" t="s">
        <v>536</v>
      </c>
      <c r="K13" s="11" t="s">
        <v>287</v>
      </c>
      <c r="L13" s="11">
        <v>2013</v>
      </c>
      <c r="M13" s="11">
        <v>3</v>
      </c>
      <c r="N13" s="11">
        <v>6</v>
      </c>
      <c r="O13" s="11">
        <f>4*N13</f>
        <v>24</v>
      </c>
      <c r="P13" s="11">
        <v>720</v>
      </c>
      <c r="Q13" s="61">
        <f>P13*0.9</f>
        <v>648</v>
      </c>
      <c r="R13" s="11">
        <f>Q13/O13</f>
        <v>27</v>
      </c>
      <c r="S13" s="54" t="s">
        <v>67</v>
      </c>
      <c r="T13" s="11"/>
      <c r="U13" s="54">
        <v>27253</v>
      </c>
      <c r="V13" s="11" t="s">
        <v>244</v>
      </c>
      <c r="W13" s="54">
        <f t="shared" si="2"/>
        <v>42.057098765432102</v>
      </c>
      <c r="X13" s="53">
        <v>3</v>
      </c>
      <c r="Y13" s="54">
        <f t="shared" si="3"/>
        <v>1135.5416666666667</v>
      </c>
      <c r="Z13" s="11"/>
      <c r="AA13"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AA1"/>
  <sheetViews>
    <sheetView topLeftCell="K1" zoomScale="70" zoomScaleNormal="70" workbookViewId="0"/>
  </sheetViews>
  <sheetFormatPr defaultColWidth="9.21875" defaultRowHeight="14.4" x14ac:dyDescent="0.3"/>
  <cols>
    <col min="1" max="1" width="4.77734375" style="6" customWidth="1"/>
    <col min="2" max="2" width="10.77734375" style="6" customWidth="1"/>
    <col min="3" max="4" width="13" style="6" customWidth="1"/>
    <col min="5" max="6" width="25" style="6" customWidth="1"/>
    <col min="7" max="7" width="9.21875" style="6"/>
    <col min="8" max="8" width="16.21875" style="6" customWidth="1"/>
    <col min="9" max="9" width="27.77734375" style="6" customWidth="1"/>
    <col min="10" max="10" width="16" style="6" customWidth="1"/>
    <col min="11" max="11" width="12.44140625" style="6" customWidth="1"/>
    <col min="12" max="13" width="22.44140625" style="6" customWidth="1"/>
    <col min="14" max="14" width="23" style="6" customWidth="1"/>
    <col min="15" max="15" width="13.21875" style="6" customWidth="1"/>
    <col min="16" max="16" width="13.44140625" style="6" customWidth="1"/>
    <col min="17" max="17" width="12.21875" style="6" customWidth="1"/>
    <col min="18" max="19" width="13.21875" style="6" customWidth="1"/>
    <col min="20" max="20" width="11.44140625" style="6" customWidth="1"/>
    <col min="21" max="21" width="12" style="6" customWidth="1"/>
    <col min="22" max="22" width="14.21875" style="6" customWidth="1"/>
    <col min="23" max="23" width="16.21875" style="6" customWidth="1"/>
    <col min="24" max="24" width="10.21875" style="6" customWidth="1"/>
    <col min="25" max="16384" width="9.21875" style="6"/>
  </cols>
  <sheetData>
    <row r="1" spans="1:27" ht="44.25" customHeight="1" x14ac:dyDescent="0.3">
      <c r="A1" s="7"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9" t="s">
        <v>195</v>
      </c>
      <c r="P1" s="56" t="s">
        <v>194</v>
      </c>
      <c r="Q1" s="56" t="s">
        <v>415</v>
      </c>
      <c r="R1" s="56" t="s">
        <v>416</v>
      </c>
      <c r="S1" s="56" t="s">
        <v>193</v>
      </c>
      <c r="T1" s="56" t="s">
        <v>421</v>
      </c>
      <c r="U1" s="56" t="s">
        <v>521</v>
      </c>
      <c r="V1" s="56" t="s">
        <v>192</v>
      </c>
      <c r="W1" s="56" t="s">
        <v>386</v>
      </c>
      <c r="X1" s="56" t="s">
        <v>418</v>
      </c>
      <c r="Y1" s="56" t="s">
        <v>242</v>
      </c>
      <c r="Z1" s="59" t="s">
        <v>191</v>
      </c>
      <c r="AA1" s="56" t="s">
        <v>190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AA3"/>
  <sheetViews>
    <sheetView zoomScaleNormal="100" workbookViewId="0">
      <selection activeCell="AA9" sqref="AA9"/>
    </sheetView>
  </sheetViews>
  <sheetFormatPr defaultColWidth="8.77734375" defaultRowHeight="14.4" x14ac:dyDescent="0.3"/>
  <cols>
    <col min="1" max="1" width="3.77734375" customWidth="1"/>
    <col min="2" max="2" width="13" customWidth="1"/>
    <col min="3" max="3" width="32.21875" customWidth="1"/>
    <col min="4" max="4" width="26.21875" customWidth="1"/>
    <col min="5" max="6" width="25" customWidth="1"/>
    <col min="7" max="7" width="8.77734375" style="12"/>
    <col min="8" max="8" width="16.21875" customWidth="1"/>
    <col min="9" max="9" width="27.77734375" customWidth="1"/>
    <col min="10" max="10" width="16" customWidth="1"/>
    <col min="11" max="11" width="12.44140625" customWidth="1"/>
    <col min="12" max="13" width="22.44140625" customWidth="1"/>
    <col min="14" max="14" width="23" customWidth="1"/>
    <col min="15" max="15" width="13.21875" customWidth="1"/>
    <col min="16" max="16" width="13.44140625" customWidth="1"/>
    <col min="17" max="17" width="12.21875" customWidth="1"/>
    <col min="18" max="18" width="12.21875" style="12" customWidth="1"/>
    <col min="19" max="19" width="15.44140625" style="12" customWidth="1"/>
    <col min="20" max="20" width="13.21875" customWidth="1"/>
    <col min="21" max="21" width="11.44140625" customWidth="1"/>
    <col min="23" max="23" width="14.77734375" style="34" customWidth="1"/>
    <col min="24" max="24" width="14.77734375" style="12" customWidth="1"/>
    <col min="26" max="26" width="10.21875" customWidth="1"/>
    <col min="27" max="27" width="60.21875" customWidth="1"/>
  </cols>
  <sheetData>
    <row r="1" spans="1:27" ht="46.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241</v>
      </c>
      <c r="R1" s="56" t="s">
        <v>416</v>
      </c>
      <c r="S1" s="56" t="s">
        <v>193</v>
      </c>
      <c r="T1" s="56" t="s">
        <v>421</v>
      </c>
      <c r="U1" s="56" t="s">
        <v>521</v>
      </c>
      <c r="V1" s="56" t="s">
        <v>192</v>
      </c>
      <c r="W1" s="56" t="s">
        <v>386</v>
      </c>
      <c r="X1" s="56" t="s">
        <v>418</v>
      </c>
      <c r="Y1" s="56" t="s">
        <v>242</v>
      </c>
      <c r="Z1" s="56" t="s">
        <v>191</v>
      </c>
      <c r="AA1" s="56" t="s">
        <v>190</v>
      </c>
    </row>
    <row r="2" spans="1:27" ht="40.049999999999997" customHeight="1" x14ac:dyDescent="0.3">
      <c r="A2" s="11">
        <v>1</v>
      </c>
      <c r="B2" s="11" t="s">
        <v>671</v>
      </c>
      <c r="C2" s="11" t="s">
        <v>294</v>
      </c>
      <c r="D2" s="11" t="s">
        <v>825</v>
      </c>
      <c r="E2" s="11" t="s">
        <v>537</v>
      </c>
      <c r="F2" s="11"/>
      <c r="G2" s="11" t="s">
        <v>58</v>
      </c>
      <c r="H2" s="11"/>
      <c r="I2" s="11" t="s">
        <v>391</v>
      </c>
      <c r="J2" s="11" t="s">
        <v>292</v>
      </c>
      <c r="K2" s="11"/>
      <c r="L2" s="11"/>
      <c r="M2" s="11"/>
      <c r="N2" s="11"/>
      <c r="O2" s="11">
        <v>3</v>
      </c>
      <c r="P2" s="11"/>
      <c r="Q2" s="11">
        <v>41</v>
      </c>
      <c r="R2" s="54">
        <f>Q2/O2</f>
        <v>13.666666666666666</v>
      </c>
      <c r="S2" s="11" t="s">
        <v>414</v>
      </c>
      <c r="T2" s="11"/>
      <c r="U2" s="11">
        <v>31.4</v>
      </c>
      <c r="V2" s="11" t="s">
        <v>244</v>
      </c>
      <c r="W2" s="54">
        <f>U2/Q2</f>
        <v>0.76585365853658538</v>
      </c>
      <c r="X2" s="11">
        <v>1</v>
      </c>
      <c r="Y2" s="11"/>
      <c r="Z2" s="11"/>
      <c r="AA2" s="11" t="s">
        <v>946</v>
      </c>
    </row>
    <row r="3" spans="1:27" ht="40.049999999999997" customHeight="1" x14ac:dyDescent="0.3">
      <c r="A3" s="11">
        <v>1</v>
      </c>
      <c r="B3" s="11" t="s">
        <v>670</v>
      </c>
      <c r="C3" s="11"/>
      <c r="D3" s="11"/>
      <c r="E3" s="11" t="s">
        <v>537</v>
      </c>
      <c r="F3" s="11"/>
      <c r="G3" s="11" t="s">
        <v>58</v>
      </c>
      <c r="H3" s="11"/>
      <c r="I3" s="10" t="s">
        <v>441</v>
      </c>
      <c r="J3" s="11" t="s">
        <v>293</v>
      </c>
      <c r="K3" s="11"/>
      <c r="L3" s="11"/>
      <c r="M3" s="11"/>
      <c r="N3" s="11"/>
      <c r="O3" s="11">
        <v>3</v>
      </c>
      <c r="P3" s="11"/>
      <c r="Q3" s="11">
        <v>41</v>
      </c>
      <c r="R3" s="54">
        <f>Q3/O3</f>
        <v>13.666666666666666</v>
      </c>
      <c r="S3" s="11" t="s">
        <v>414</v>
      </c>
      <c r="T3" s="11"/>
      <c r="U3" s="11">
        <v>16</v>
      </c>
      <c r="V3" s="11" t="s">
        <v>244</v>
      </c>
      <c r="W3" s="54">
        <f>U3/Q3</f>
        <v>0.3902439024390244</v>
      </c>
      <c r="X3" s="11">
        <v>3</v>
      </c>
      <c r="Y3" s="11"/>
      <c r="Z3" s="11"/>
      <c r="AA3" s="11"/>
    </row>
  </sheetData>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7D2E0-6398-4021-91E6-DA2F24C14AE0}">
  <sheetPr>
    <tabColor rgb="FF00B050"/>
  </sheetPr>
  <dimension ref="A1:AB391"/>
  <sheetViews>
    <sheetView topLeftCell="A122" zoomScaleNormal="100" workbookViewId="0">
      <selection activeCell="I128" sqref="I128"/>
    </sheetView>
  </sheetViews>
  <sheetFormatPr defaultColWidth="9.21875" defaultRowHeight="14.4" x14ac:dyDescent="0.3"/>
  <cols>
    <col min="1" max="1" width="4.44140625" style="12" customWidth="1"/>
    <col min="2" max="2" width="14.77734375" style="11" customWidth="1"/>
    <col min="3" max="3" width="36" style="12" customWidth="1"/>
    <col min="4" max="4" width="19.77734375" style="12" customWidth="1"/>
    <col min="5" max="5" width="19.44140625" style="12" customWidth="1"/>
    <col min="6" max="6" width="15" style="12" customWidth="1"/>
    <col min="7" max="7" width="9.21875" style="12"/>
    <col min="8" max="8" width="37" style="12" customWidth="1"/>
    <col min="9" max="9" width="19" style="12" customWidth="1"/>
    <col min="10" max="10" width="16" style="12" customWidth="1"/>
    <col min="11" max="13" width="22.44140625" style="12" customWidth="1"/>
    <col min="14" max="14" width="23" style="12" customWidth="1"/>
    <col min="15" max="15" width="13.21875" style="12" customWidth="1"/>
    <col min="16" max="16" width="13.44140625" style="12" customWidth="1"/>
    <col min="17" max="17" width="12.21875" style="12" customWidth="1"/>
    <col min="18" max="18" width="13.21875" style="12" customWidth="1"/>
    <col min="19" max="19" width="12.77734375" style="12" customWidth="1"/>
    <col min="20" max="20" width="9.21875" style="12"/>
    <col min="21" max="21" width="10.77734375" style="12" bestFit="1" customWidth="1"/>
    <col min="22" max="22" width="9.21875" style="12"/>
    <col min="23" max="23" width="9.21875" style="34"/>
    <col min="24" max="24" width="10.21875" style="12" customWidth="1"/>
    <col min="25" max="25" width="9.21875" style="12"/>
    <col min="26" max="26" width="9.21875" style="34"/>
    <col min="27" max="27" width="12" style="11" customWidth="1"/>
    <col min="28" max="28" width="10.21875" style="11" customWidth="1"/>
    <col min="29" max="16384" width="9.21875" style="12"/>
  </cols>
  <sheetData>
    <row r="1" spans="1:28"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415</v>
      </c>
      <c r="R1" s="56" t="s">
        <v>416</v>
      </c>
      <c r="S1" s="56" t="s">
        <v>193</v>
      </c>
      <c r="T1" s="56" t="s">
        <v>421</v>
      </c>
      <c r="U1" s="56" t="s">
        <v>521</v>
      </c>
      <c r="V1" s="56" t="s">
        <v>192</v>
      </c>
      <c r="W1" s="56" t="s">
        <v>386</v>
      </c>
      <c r="X1" s="56" t="s">
        <v>418</v>
      </c>
      <c r="Y1" s="56" t="s">
        <v>242</v>
      </c>
      <c r="Z1" s="56" t="s">
        <v>191</v>
      </c>
      <c r="AA1" s="56" t="s">
        <v>190</v>
      </c>
      <c r="AB1" s="56" t="s">
        <v>190</v>
      </c>
    </row>
    <row r="2" spans="1:28" ht="40.049999999999997" customHeight="1" x14ac:dyDescent="0.3">
      <c r="A2" s="11">
        <v>1</v>
      </c>
      <c r="B2" s="11" t="s">
        <v>673</v>
      </c>
      <c r="C2" s="8" t="s">
        <v>750</v>
      </c>
      <c r="D2" s="11" t="s">
        <v>826</v>
      </c>
      <c r="E2" s="11" t="s">
        <v>295</v>
      </c>
      <c r="F2" s="11"/>
      <c r="G2" s="11" t="s">
        <v>58</v>
      </c>
      <c r="H2" s="11" t="s">
        <v>189</v>
      </c>
      <c r="I2" s="11" t="s">
        <v>391</v>
      </c>
      <c r="J2" s="11" t="s">
        <v>303</v>
      </c>
      <c r="K2" s="11" t="s">
        <v>119</v>
      </c>
      <c r="L2" s="11" t="s">
        <v>140</v>
      </c>
      <c r="M2" s="11">
        <v>2</v>
      </c>
      <c r="N2" s="11" t="s">
        <v>297</v>
      </c>
      <c r="O2" s="11">
        <v>4.2</v>
      </c>
      <c r="P2" s="11">
        <f t="shared" ref="P2:P19" si="0">(10*9)*M2</f>
        <v>180</v>
      </c>
      <c r="Q2" s="11">
        <f t="shared" ref="Q2:Q4" si="1">((10-2*0.5)*(9-2*0.5))*M2</f>
        <v>144</v>
      </c>
      <c r="R2" s="11">
        <f t="shared" ref="R2:R65" si="2">Q2/O2</f>
        <v>34.285714285714285</v>
      </c>
      <c r="S2" s="11" t="s">
        <v>67</v>
      </c>
      <c r="T2" s="11"/>
      <c r="U2" s="11">
        <f>4000+1750+2500+2484+1250+1242</f>
        <v>13226</v>
      </c>
      <c r="V2" s="11" t="s">
        <v>244</v>
      </c>
      <c r="W2" s="54">
        <f t="shared" ref="W2:W65" si="3">U2/Q2</f>
        <v>91.847222222222229</v>
      </c>
      <c r="X2" s="11">
        <v>1</v>
      </c>
      <c r="Y2" s="54"/>
      <c r="Z2" s="53"/>
    </row>
    <row r="3" spans="1:28" ht="40.049999999999997" customHeight="1" x14ac:dyDescent="0.3">
      <c r="A3" s="10">
        <v>1</v>
      </c>
      <c r="B3" s="11" t="s">
        <v>672</v>
      </c>
      <c r="C3" s="11"/>
      <c r="D3" s="11"/>
      <c r="E3" s="11" t="s">
        <v>540</v>
      </c>
      <c r="F3" s="11"/>
      <c r="G3" s="11" t="s">
        <v>58</v>
      </c>
      <c r="H3" s="11"/>
      <c r="I3" s="11" t="s">
        <v>391</v>
      </c>
      <c r="J3" s="11" t="s">
        <v>304</v>
      </c>
      <c r="K3" s="11" t="s">
        <v>188</v>
      </c>
      <c r="L3" s="11" t="s">
        <v>140</v>
      </c>
      <c r="M3" s="11">
        <v>2</v>
      </c>
      <c r="N3" s="11" t="s">
        <v>298</v>
      </c>
      <c r="O3" s="11">
        <v>4.2</v>
      </c>
      <c r="P3" s="11">
        <f t="shared" si="0"/>
        <v>180</v>
      </c>
      <c r="Q3" s="11">
        <f t="shared" si="1"/>
        <v>144</v>
      </c>
      <c r="R3" s="11">
        <f t="shared" si="2"/>
        <v>34.285714285714285</v>
      </c>
      <c r="S3" s="11" t="s">
        <v>67</v>
      </c>
      <c r="T3" s="11"/>
      <c r="U3" s="11">
        <f>400+1750+2500+2484+1242</f>
        <v>8376</v>
      </c>
      <c r="V3" s="11" t="s">
        <v>244</v>
      </c>
      <c r="W3" s="54">
        <f t="shared" si="3"/>
        <v>58.166666666666664</v>
      </c>
      <c r="X3" s="11">
        <v>1</v>
      </c>
      <c r="Y3" s="54"/>
      <c r="Z3" s="53"/>
    </row>
    <row r="4" spans="1:28" ht="40.049999999999997" customHeight="1" x14ac:dyDescent="0.3">
      <c r="A4" s="10">
        <v>1</v>
      </c>
      <c r="B4" s="11" t="s">
        <v>672</v>
      </c>
      <c r="C4" s="11"/>
      <c r="D4" s="11"/>
      <c r="E4" s="11" t="s">
        <v>540</v>
      </c>
      <c r="F4" s="11"/>
      <c r="G4" s="11" t="s">
        <v>58</v>
      </c>
      <c r="H4" s="11"/>
      <c r="I4" s="11" t="s">
        <v>391</v>
      </c>
      <c r="J4" s="11" t="s">
        <v>305</v>
      </c>
      <c r="K4" s="11" t="s">
        <v>187</v>
      </c>
      <c r="L4" s="11" t="s">
        <v>140</v>
      </c>
      <c r="M4" s="11">
        <v>2</v>
      </c>
      <c r="N4" s="11" t="s">
        <v>186</v>
      </c>
      <c r="O4" s="11">
        <v>4.5</v>
      </c>
      <c r="P4" s="11">
        <f t="shared" si="0"/>
        <v>180</v>
      </c>
      <c r="Q4" s="11">
        <f t="shared" si="1"/>
        <v>144</v>
      </c>
      <c r="R4" s="11">
        <f t="shared" si="2"/>
        <v>32</v>
      </c>
      <c r="S4" s="11" t="s">
        <v>67</v>
      </c>
      <c r="T4" s="11"/>
      <c r="U4" s="11">
        <f>400+1259+5200+1250+1242</f>
        <v>9351</v>
      </c>
      <c r="V4" s="11" t="s">
        <v>244</v>
      </c>
      <c r="W4" s="54">
        <f t="shared" si="3"/>
        <v>64.9375</v>
      </c>
      <c r="X4" s="11">
        <v>1</v>
      </c>
      <c r="Y4" s="54"/>
      <c r="Z4" s="53"/>
    </row>
    <row r="5" spans="1:28" ht="40.049999999999997" customHeight="1" x14ac:dyDescent="0.3">
      <c r="A5" s="10">
        <v>1</v>
      </c>
      <c r="B5" s="11" t="s">
        <v>672</v>
      </c>
      <c r="C5" s="11"/>
      <c r="D5" s="11"/>
      <c r="E5" s="11" t="s">
        <v>540</v>
      </c>
      <c r="F5" s="11"/>
      <c r="G5" s="11" t="s">
        <v>58</v>
      </c>
      <c r="H5" s="11"/>
      <c r="I5" s="11" t="s">
        <v>391</v>
      </c>
      <c r="J5" s="11" t="s">
        <v>306</v>
      </c>
      <c r="K5" s="11" t="s">
        <v>151</v>
      </c>
      <c r="L5" s="11" t="s">
        <v>172</v>
      </c>
      <c r="M5" s="11">
        <v>1</v>
      </c>
      <c r="N5" s="11" t="s">
        <v>185</v>
      </c>
      <c r="O5" s="11">
        <v>3.8</v>
      </c>
      <c r="P5" s="11">
        <f t="shared" si="0"/>
        <v>90</v>
      </c>
      <c r="Q5" s="11">
        <f t="shared" ref="Q5:Q18" si="4">((10-2*0.3)*(9-2*0.3))*M5</f>
        <v>78.960000000000008</v>
      </c>
      <c r="R5" s="11">
        <f t="shared" si="2"/>
        <v>20.778947368421054</v>
      </c>
      <c r="S5" s="11" t="s">
        <v>65</v>
      </c>
      <c r="T5" s="11"/>
      <c r="U5" s="11">
        <f>(17.3+38.4+34.6+21.6+30)*1000</f>
        <v>141900</v>
      </c>
      <c r="V5" s="11" t="s">
        <v>244</v>
      </c>
      <c r="W5" s="54">
        <f t="shared" si="3"/>
        <v>1797.1124620060789</v>
      </c>
      <c r="X5" s="11">
        <v>1</v>
      </c>
      <c r="Y5" s="54"/>
      <c r="Z5" s="53"/>
    </row>
    <row r="6" spans="1:28" ht="40.049999999999997" customHeight="1" x14ac:dyDescent="0.3">
      <c r="A6" s="10">
        <v>1</v>
      </c>
      <c r="B6" s="11" t="s">
        <v>672</v>
      </c>
      <c r="C6" s="11"/>
      <c r="D6" s="11"/>
      <c r="E6" s="11" t="s">
        <v>540</v>
      </c>
      <c r="F6" s="11"/>
      <c r="G6" s="11" t="s">
        <v>58</v>
      </c>
      <c r="H6" s="11"/>
      <c r="I6" s="11" t="s">
        <v>391</v>
      </c>
      <c r="J6" s="11" t="s">
        <v>306</v>
      </c>
      <c r="K6" s="11" t="s">
        <v>151</v>
      </c>
      <c r="L6" s="11" t="s">
        <v>172</v>
      </c>
      <c r="M6" s="11">
        <v>1</v>
      </c>
      <c r="N6" s="11" t="s">
        <v>185</v>
      </c>
      <c r="O6" s="11">
        <v>3.8</v>
      </c>
      <c r="P6" s="11">
        <f t="shared" si="0"/>
        <v>90</v>
      </c>
      <c r="Q6" s="11">
        <f t="shared" si="4"/>
        <v>78.960000000000008</v>
      </c>
      <c r="R6" s="11">
        <f t="shared" si="2"/>
        <v>20.778947368421054</v>
      </c>
      <c r="S6" s="11" t="s">
        <v>67</v>
      </c>
      <c r="T6" s="11"/>
      <c r="U6" s="11">
        <f>400+1750+250</f>
        <v>2400</v>
      </c>
      <c r="V6" s="11" t="s">
        <v>244</v>
      </c>
      <c r="W6" s="54">
        <f t="shared" si="3"/>
        <v>30.3951367781155</v>
      </c>
      <c r="X6" s="11">
        <v>1</v>
      </c>
      <c r="Y6" s="54"/>
      <c r="Z6" s="53"/>
    </row>
    <row r="7" spans="1:28" ht="40.049999999999997" customHeight="1" x14ac:dyDescent="0.3">
      <c r="A7" s="10">
        <v>1</v>
      </c>
      <c r="B7" s="11" t="s">
        <v>672</v>
      </c>
      <c r="C7" s="11"/>
      <c r="D7" s="11"/>
      <c r="E7" s="11" t="s">
        <v>540</v>
      </c>
      <c r="F7" s="11"/>
      <c r="G7" s="11" t="s">
        <v>58</v>
      </c>
      <c r="H7" s="11"/>
      <c r="I7" s="11" t="s">
        <v>391</v>
      </c>
      <c r="J7" s="11" t="s">
        <v>307</v>
      </c>
      <c r="K7" s="11" t="s">
        <v>183</v>
      </c>
      <c r="L7" s="11" t="s">
        <v>166</v>
      </c>
      <c r="M7" s="11">
        <v>1</v>
      </c>
      <c r="N7" s="11" t="s">
        <v>184</v>
      </c>
      <c r="O7" s="11">
        <v>4</v>
      </c>
      <c r="P7" s="11">
        <f t="shared" si="0"/>
        <v>90</v>
      </c>
      <c r="Q7" s="11">
        <f t="shared" si="4"/>
        <v>78.960000000000008</v>
      </c>
      <c r="R7" s="11">
        <f t="shared" si="2"/>
        <v>19.740000000000002</v>
      </c>
      <c r="S7" s="11" t="s">
        <v>65</v>
      </c>
      <c r="T7" s="11"/>
      <c r="U7" s="11">
        <f>69120+38400+34560+21600+30000</f>
        <v>193680</v>
      </c>
      <c r="V7" s="11" t="s">
        <v>244</v>
      </c>
      <c r="W7" s="54">
        <f t="shared" si="3"/>
        <v>2452.8875379939209</v>
      </c>
      <c r="X7" s="11">
        <v>1</v>
      </c>
      <c r="Y7" s="54"/>
      <c r="Z7" s="53"/>
    </row>
    <row r="8" spans="1:28" ht="40.049999999999997" customHeight="1" x14ac:dyDescent="0.3">
      <c r="A8" s="10">
        <v>1</v>
      </c>
      <c r="B8" s="11" t="s">
        <v>672</v>
      </c>
      <c r="C8" s="11"/>
      <c r="D8" s="11"/>
      <c r="E8" s="11" t="s">
        <v>540</v>
      </c>
      <c r="F8" s="11"/>
      <c r="G8" s="11" t="s">
        <v>58</v>
      </c>
      <c r="H8" s="11"/>
      <c r="I8" s="11" t="s">
        <v>391</v>
      </c>
      <c r="J8" s="11" t="s">
        <v>307</v>
      </c>
      <c r="K8" s="11" t="s">
        <v>183</v>
      </c>
      <c r="L8" s="11" t="s">
        <v>166</v>
      </c>
      <c r="M8" s="11">
        <v>1</v>
      </c>
      <c r="N8" s="11" t="s">
        <v>184</v>
      </c>
      <c r="O8" s="11">
        <v>4</v>
      </c>
      <c r="P8" s="11">
        <f t="shared" si="0"/>
        <v>90</v>
      </c>
      <c r="Q8" s="11">
        <f t="shared" si="4"/>
        <v>78.960000000000008</v>
      </c>
      <c r="R8" s="11">
        <f t="shared" si="2"/>
        <v>19.740000000000002</v>
      </c>
      <c r="S8" s="11" t="s">
        <v>67</v>
      </c>
      <c r="T8" s="11"/>
      <c r="U8" s="11">
        <f>400+1750+250</f>
        <v>2400</v>
      </c>
      <c r="V8" s="11" t="s">
        <v>244</v>
      </c>
      <c r="W8" s="54">
        <f t="shared" si="3"/>
        <v>30.3951367781155</v>
      </c>
      <c r="X8" s="11">
        <v>1</v>
      </c>
      <c r="Y8" s="54"/>
      <c r="Z8" s="53"/>
    </row>
    <row r="9" spans="1:28" ht="40.049999999999997" customHeight="1" x14ac:dyDescent="0.3">
      <c r="A9" s="10">
        <v>1</v>
      </c>
      <c r="B9" s="11" t="s">
        <v>672</v>
      </c>
      <c r="C9" s="11"/>
      <c r="D9" s="11"/>
      <c r="E9" s="11" t="s">
        <v>540</v>
      </c>
      <c r="F9" s="11"/>
      <c r="G9" s="11" t="s">
        <v>58</v>
      </c>
      <c r="H9" s="11"/>
      <c r="I9" s="11" t="s">
        <v>391</v>
      </c>
      <c r="J9" s="11" t="s">
        <v>308</v>
      </c>
      <c r="K9" s="11" t="s">
        <v>183</v>
      </c>
      <c r="L9" s="11" t="s">
        <v>68</v>
      </c>
      <c r="M9" s="11">
        <v>1</v>
      </c>
      <c r="N9" s="11" t="s">
        <v>178</v>
      </c>
      <c r="O9" s="11">
        <v>4</v>
      </c>
      <c r="P9" s="11">
        <f t="shared" si="0"/>
        <v>90</v>
      </c>
      <c r="Q9" s="11">
        <f t="shared" si="4"/>
        <v>78.960000000000008</v>
      </c>
      <c r="R9" s="11">
        <f t="shared" si="2"/>
        <v>19.740000000000002</v>
      </c>
      <c r="S9" s="11" t="s">
        <v>65</v>
      </c>
      <c r="T9" s="11"/>
      <c r="U9" s="11">
        <f>69120+38400+34560+21600+30000</f>
        <v>193680</v>
      </c>
      <c r="V9" s="11" t="s">
        <v>244</v>
      </c>
      <c r="W9" s="54">
        <f t="shared" si="3"/>
        <v>2452.8875379939209</v>
      </c>
      <c r="X9" s="11">
        <v>1</v>
      </c>
      <c r="Y9" s="54"/>
      <c r="Z9" s="53"/>
    </row>
    <row r="10" spans="1:28" ht="40.049999999999997" customHeight="1" x14ac:dyDescent="0.3">
      <c r="A10" s="10">
        <v>1</v>
      </c>
      <c r="B10" s="11" t="s">
        <v>672</v>
      </c>
      <c r="C10" s="11"/>
      <c r="D10" s="11"/>
      <c r="E10" s="11" t="s">
        <v>540</v>
      </c>
      <c r="F10" s="11"/>
      <c r="G10" s="11" t="s">
        <v>58</v>
      </c>
      <c r="H10" s="11"/>
      <c r="I10" s="11" t="s">
        <v>391</v>
      </c>
      <c r="J10" s="11" t="s">
        <v>308</v>
      </c>
      <c r="K10" s="11" t="s">
        <v>183</v>
      </c>
      <c r="L10" s="11" t="s">
        <v>68</v>
      </c>
      <c r="M10" s="11">
        <v>1</v>
      </c>
      <c r="N10" s="11" t="s">
        <v>178</v>
      </c>
      <c r="O10" s="11">
        <v>4</v>
      </c>
      <c r="P10" s="11">
        <f t="shared" si="0"/>
        <v>90</v>
      </c>
      <c r="Q10" s="11">
        <f t="shared" si="4"/>
        <v>78.960000000000008</v>
      </c>
      <c r="R10" s="11">
        <f t="shared" si="2"/>
        <v>19.740000000000002</v>
      </c>
      <c r="S10" s="11" t="s">
        <v>67</v>
      </c>
      <c r="T10" s="11"/>
      <c r="U10" s="11">
        <f>400+1750+250</f>
        <v>2400</v>
      </c>
      <c r="V10" s="11" t="s">
        <v>244</v>
      </c>
      <c r="W10" s="54">
        <f t="shared" si="3"/>
        <v>30.3951367781155</v>
      </c>
      <c r="X10" s="11">
        <v>1</v>
      </c>
      <c r="Y10" s="54"/>
      <c r="Z10" s="53"/>
    </row>
    <row r="11" spans="1:28" ht="40.049999999999997" customHeight="1" x14ac:dyDescent="0.3">
      <c r="A11" s="10">
        <v>1</v>
      </c>
      <c r="B11" s="11" t="s">
        <v>672</v>
      </c>
      <c r="C11" s="11"/>
      <c r="D11" s="11"/>
      <c r="E11" s="11" t="s">
        <v>540</v>
      </c>
      <c r="F11" s="11"/>
      <c r="G11" s="11" t="s">
        <v>58</v>
      </c>
      <c r="H11" s="11"/>
      <c r="I11" s="11" t="s">
        <v>391</v>
      </c>
      <c r="J11" s="11" t="s">
        <v>310</v>
      </c>
      <c r="K11" s="11" t="s">
        <v>181</v>
      </c>
      <c r="L11" s="11" t="s">
        <v>166</v>
      </c>
      <c r="M11" s="11">
        <v>1</v>
      </c>
      <c r="N11" s="11" t="s">
        <v>182</v>
      </c>
      <c r="O11" s="11">
        <v>4</v>
      </c>
      <c r="P11" s="11">
        <f t="shared" si="0"/>
        <v>90</v>
      </c>
      <c r="Q11" s="11">
        <f t="shared" si="4"/>
        <v>78.960000000000008</v>
      </c>
      <c r="R11" s="11">
        <f t="shared" si="2"/>
        <v>19.740000000000002</v>
      </c>
      <c r="S11" s="11" t="s">
        <v>65</v>
      </c>
      <c r="T11" s="11"/>
      <c r="U11" s="11">
        <f>69120+38400+34560+21600+30000</f>
        <v>193680</v>
      </c>
      <c r="V11" s="11" t="s">
        <v>244</v>
      </c>
      <c r="W11" s="54">
        <f t="shared" si="3"/>
        <v>2452.8875379939209</v>
      </c>
      <c r="X11" s="11">
        <v>1</v>
      </c>
      <c r="Y11" s="54"/>
      <c r="Z11" s="53"/>
    </row>
    <row r="12" spans="1:28" ht="40.049999999999997" customHeight="1" x14ac:dyDescent="0.3">
      <c r="A12" s="10">
        <v>1</v>
      </c>
      <c r="B12" s="11" t="s">
        <v>672</v>
      </c>
      <c r="C12" s="11"/>
      <c r="D12" s="11"/>
      <c r="E12" s="11" t="s">
        <v>540</v>
      </c>
      <c r="F12" s="11"/>
      <c r="G12" s="11" t="s">
        <v>58</v>
      </c>
      <c r="H12" s="11"/>
      <c r="I12" s="11" t="s">
        <v>391</v>
      </c>
      <c r="J12" s="11" t="s">
        <v>310</v>
      </c>
      <c r="K12" s="11" t="s">
        <v>181</v>
      </c>
      <c r="L12" s="11" t="s">
        <v>166</v>
      </c>
      <c r="M12" s="11">
        <v>1</v>
      </c>
      <c r="N12" s="11" t="s">
        <v>182</v>
      </c>
      <c r="O12" s="11">
        <v>4</v>
      </c>
      <c r="P12" s="11">
        <f t="shared" si="0"/>
        <v>90</v>
      </c>
      <c r="Q12" s="11">
        <f t="shared" si="4"/>
        <v>78.960000000000008</v>
      </c>
      <c r="R12" s="11">
        <f t="shared" si="2"/>
        <v>19.740000000000002</v>
      </c>
      <c r="S12" s="11" t="s">
        <v>67</v>
      </c>
      <c r="T12" s="11"/>
      <c r="U12" s="11">
        <v>400</v>
      </c>
      <c r="V12" s="11" t="s">
        <v>244</v>
      </c>
      <c r="W12" s="54">
        <f t="shared" si="3"/>
        <v>5.0658561296859164</v>
      </c>
      <c r="X12" s="11">
        <v>1</v>
      </c>
      <c r="Y12" s="54"/>
      <c r="Z12" s="53"/>
    </row>
    <row r="13" spans="1:28" ht="40.049999999999997" customHeight="1" x14ac:dyDescent="0.3">
      <c r="A13" s="10">
        <v>1</v>
      </c>
      <c r="B13" s="11" t="s">
        <v>672</v>
      </c>
      <c r="C13" s="11"/>
      <c r="D13" s="11"/>
      <c r="E13" s="11" t="s">
        <v>540</v>
      </c>
      <c r="F13" s="11"/>
      <c r="G13" s="11" t="s">
        <v>58</v>
      </c>
      <c r="H13" s="11"/>
      <c r="I13" s="11" t="s">
        <v>391</v>
      </c>
      <c r="J13" s="11" t="s">
        <v>309</v>
      </c>
      <c r="K13" s="11" t="s">
        <v>181</v>
      </c>
      <c r="L13" s="11" t="s">
        <v>68</v>
      </c>
      <c r="M13" s="11">
        <v>1</v>
      </c>
      <c r="N13" s="11" t="s">
        <v>178</v>
      </c>
      <c r="O13" s="11">
        <v>4</v>
      </c>
      <c r="P13" s="11">
        <f t="shared" si="0"/>
        <v>90</v>
      </c>
      <c r="Q13" s="11">
        <f t="shared" si="4"/>
        <v>78.960000000000008</v>
      </c>
      <c r="R13" s="11">
        <f t="shared" si="2"/>
        <v>19.740000000000002</v>
      </c>
      <c r="S13" s="11" t="s">
        <v>65</v>
      </c>
      <c r="T13" s="11"/>
      <c r="U13" s="11">
        <f>34560+69120+38400+34566+21600+30000</f>
        <v>228246</v>
      </c>
      <c r="V13" s="11" t="s">
        <v>244</v>
      </c>
      <c r="W13" s="54">
        <f t="shared" si="3"/>
        <v>2890.6534954407293</v>
      </c>
      <c r="X13" s="11">
        <v>1</v>
      </c>
      <c r="Y13" s="54"/>
      <c r="Z13" s="53"/>
    </row>
    <row r="14" spans="1:28" ht="40.049999999999997" customHeight="1" x14ac:dyDescent="0.3">
      <c r="A14" s="10">
        <v>1</v>
      </c>
      <c r="B14" s="11" t="s">
        <v>672</v>
      </c>
      <c r="C14" s="11"/>
      <c r="D14" s="11"/>
      <c r="E14" s="11" t="s">
        <v>540</v>
      </c>
      <c r="F14" s="11"/>
      <c r="G14" s="11" t="s">
        <v>58</v>
      </c>
      <c r="H14" s="11"/>
      <c r="I14" s="11" t="s">
        <v>391</v>
      </c>
      <c r="J14" s="11" t="s">
        <v>309</v>
      </c>
      <c r="K14" s="11" t="s">
        <v>181</v>
      </c>
      <c r="L14" s="11" t="s">
        <v>68</v>
      </c>
      <c r="M14" s="11">
        <v>1</v>
      </c>
      <c r="N14" s="11" t="s">
        <v>178</v>
      </c>
      <c r="O14" s="11">
        <v>4</v>
      </c>
      <c r="P14" s="11">
        <f t="shared" si="0"/>
        <v>90</v>
      </c>
      <c r="Q14" s="11">
        <f t="shared" si="4"/>
        <v>78.960000000000008</v>
      </c>
      <c r="R14" s="11">
        <f t="shared" si="2"/>
        <v>19.740000000000002</v>
      </c>
      <c r="S14" s="11" t="s">
        <v>67</v>
      </c>
      <c r="T14" s="11"/>
      <c r="U14" s="11">
        <v>400</v>
      </c>
      <c r="V14" s="11" t="s">
        <v>244</v>
      </c>
      <c r="W14" s="54">
        <f t="shared" si="3"/>
        <v>5.0658561296859164</v>
      </c>
      <c r="X14" s="11">
        <v>1</v>
      </c>
      <c r="Y14" s="60"/>
      <c r="Z14" s="54"/>
      <c r="AA14" s="36"/>
    </row>
    <row r="15" spans="1:28" ht="40.049999999999997" customHeight="1" x14ac:dyDescent="0.3">
      <c r="A15" s="10">
        <v>1</v>
      </c>
      <c r="B15" s="11" t="s">
        <v>672</v>
      </c>
      <c r="C15" s="11"/>
      <c r="D15" s="11"/>
      <c r="E15" s="11" t="s">
        <v>540</v>
      </c>
      <c r="F15" s="11"/>
      <c r="G15" s="11" t="s">
        <v>58</v>
      </c>
      <c r="H15" s="11"/>
      <c r="I15" s="11" t="s">
        <v>391</v>
      </c>
      <c r="J15" s="11" t="s">
        <v>311</v>
      </c>
      <c r="K15" s="11" t="s">
        <v>179</v>
      </c>
      <c r="L15" s="11" t="s">
        <v>169</v>
      </c>
      <c r="M15" s="11">
        <v>1</v>
      </c>
      <c r="N15" s="11" t="s">
        <v>180</v>
      </c>
      <c r="O15" s="11">
        <v>4</v>
      </c>
      <c r="P15" s="11">
        <f t="shared" si="0"/>
        <v>90</v>
      </c>
      <c r="Q15" s="11">
        <f t="shared" si="4"/>
        <v>78.960000000000008</v>
      </c>
      <c r="R15" s="11">
        <f t="shared" si="2"/>
        <v>19.740000000000002</v>
      </c>
      <c r="S15" s="11" t="s">
        <v>65</v>
      </c>
      <c r="T15" s="11"/>
      <c r="U15" s="11">
        <f>69120+38400+34560+21600+30000</f>
        <v>193680</v>
      </c>
      <c r="V15" s="11" t="s">
        <v>244</v>
      </c>
      <c r="W15" s="54">
        <f t="shared" si="3"/>
        <v>2452.8875379939209</v>
      </c>
      <c r="X15" s="11">
        <v>1</v>
      </c>
      <c r="Y15" s="60"/>
      <c r="Z15" s="54"/>
      <c r="AA15" s="36"/>
    </row>
    <row r="16" spans="1:28" ht="40.049999999999997" customHeight="1" x14ac:dyDescent="0.3">
      <c r="A16" s="10">
        <v>1</v>
      </c>
      <c r="B16" s="11" t="s">
        <v>672</v>
      </c>
      <c r="C16" s="11"/>
      <c r="D16" s="11"/>
      <c r="E16" s="11" t="s">
        <v>540</v>
      </c>
      <c r="F16" s="11"/>
      <c r="G16" s="11" t="s">
        <v>58</v>
      </c>
      <c r="H16" s="11"/>
      <c r="I16" s="11" t="s">
        <v>391</v>
      </c>
      <c r="J16" s="11" t="s">
        <v>311</v>
      </c>
      <c r="K16" s="11" t="s">
        <v>179</v>
      </c>
      <c r="L16" s="11" t="s">
        <v>169</v>
      </c>
      <c r="M16" s="11">
        <v>1</v>
      </c>
      <c r="N16" s="11" t="s">
        <v>180</v>
      </c>
      <c r="O16" s="11">
        <v>4</v>
      </c>
      <c r="P16" s="11">
        <f t="shared" si="0"/>
        <v>90</v>
      </c>
      <c r="Q16" s="11">
        <f t="shared" si="4"/>
        <v>78.960000000000008</v>
      </c>
      <c r="R16" s="11">
        <f t="shared" si="2"/>
        <v>19.740000000000002</v>
      </c>
      <c r="S16" s="11" t="s">
        <v>67</v>
      </c>
      <c r="T16" s="11"/>
      <c r="U16" s="11">
        <f>400+1740+250</f>
        <v>2390</v>
      </c>
      <c r="V16" s="11" t="s">
        <v>244</v>
      </c>
      <c r="W16" s="54">
        <f t="shared" si="3"/>
        <v>30.268490374873352</v>
      </c>
      <c r="X16" s="11">
        <v>1</v>
      </c>
      <c r="Y16" s="60"/>
      <c r="Z16" s="54"/>
      <c r="AA16" s="36"/>
    </row>
    <row r="17" spans="1:27" ht="40.049999999999997" customHeight="1" x14ac:dyDescent="0.3">
      <c r="A17" s="10">
        <v>1</v>
      </c>
      <c r="B17" s="11" t="s">
        <v>672</v>
      </c>
      <c r="C17" s="11"/>
      <c r="D17" s="11"/>
      <c r="E17" s="11" t="s">
        <v>540</v>
      </c>
      <c r="F17" s="11"/>
      <c r="G17" s="11" t="s">
        <v>58</v>
      </c>
      <c r="H17" s="11"/>
      <c r="I17" s="11" t="s">
        <v>391</v>
      </c>
      <c r="J17" s="11" t="s">
        <v>312</v>
      </c>
      <c r="K17" s="11" t="s">
        <v>179</v>
      </c>
      <c r="L17" s="11" t="s">
        <v>68</v>
      </c>
      <c r="M17" s="11">
        <v>1</v>
      </c>
      <c r="N17" s="11" t="s">
        <v>178</v>
      </c>
      <c r="O17" s="11">
        <v>4</v>
      </c>
      <c r="P17" s="11">
        <f t="shared" si="0"/>
        <v>90</v>
      </c>
      <c r="Q17" s="11">
        <f t="shared" si="4"/>
        <v>78.960000000000008</v>
      </c>
      <c r="R17" s="11">
        <f t="shared" si="2"/>
        <v>19.740000000000002</v>
      </c>
      <c r="S17" s="11" t="s">
        <v>65</v>
      </c>
      <c r="T17" s="11"/>
      <c r="U17" s="11">
        <f>69120+38400+34560+21600+30000</f>
        <v>193680</v>
      </c>
      <c r="V17" s="11" t="s">
        <v>244</v>
      </c>
      <c r="W17" s="54">
        <f t="shared" si="3"/>
        <v>2452.8875379939209</v>
      </c>
      <c r="X17" s="11">
        <v>1</v>
      </c>
      <c r="Y17" s="60"/>
      <c r="Z17" s="54"/>
      <c r="AA17" s="36"/>
    </row>
    <row r="18" spans="1:27" ht="40.049999999999997" customHeight="1" x14ac:dyDescent="0.3">
      <c r="A18" s="10">
        <v>1</v>
      </c>
      <c r="B18" s="11" t="s">
        <v>672</v>
      </c>
      <c r="C18" s="11"/>
      <c r="D18" s="11"/>
      <c r="E18" s="11" t="s">
        <v>540</v>
      </c>
      <c r="F18" s="11"/>
      <c r="G18" s="11" t="s">
        <v>58</v>
      </c>
      <c r="H18" s="11"/>
      <c r="I18" s="11" t="s">
        <v>391</v>
      </c>
      <c r="J18" s="11" t="s">
        <v>312</v>
      </c>
      <c r="K18" s="11" t="s">
        <v>179</v>
      </c>
      <c r="L18" s="11" t="s">
        <v>68</v>
      </c>
      <c r="M18" s="11">
        <v>1</v>
      </c>
      <c r="N18" s="11" t="s">
        <v>178</v>
      </c>
      <c r="O18" s="11">
        <v>4</v>
      </c>
      <c r="P18" s="11">
        <f t="shared" si="0"/>
        <v>90</v>
      </c>
      <c r="Q18" s="11">
        <f t="shared" si="4"/>
        <v>78.960000000000008</v>
      </c>
      <c r="R18" s="11">
        <f t="shared" si="2"/>
        <v>19.740000000000002</v>
      </c>
      <c r="S18" s="11" t="s">
        <v>67</v>
      </c>
      <c r="T18" s="11"/>
      <c r="U18" s="11">
        <f>400+1740+250</f>
        <v>2390</v>
      </c>
      <c r="V18" s="11" t="s">
        <v>244</v>
      </c>
      <c r="W18" s="54">
        <f t="shared" si="3"/>
        <v>30.268490374873352</v>
      </c>
      <c r="X18" s="11">
        <v>1</v>
      </c>
      <c r="Y18" s="60"/>
      <c r="Z18" s="54"/>
      <c r="AA18" s="36"/>
    </row>
    <row r="19" spans="1:27" ht="40.049999999999997" customHeight="1" x14ac:dyDescent="0.3">
      <c r="A19" s="10">
        <v>1</v>
      </c>
      <c r="B19" s="11" t="s">
        <v>672</v>
      </c>
      <c r="C19" s="11"/>
      <c r="D19" s="11"/>
      <c r="E19" s="11" t="s">
        <v>540</v>
      </c>
      <c r="F19" s="11"/>
      <c r="G19" s="11" t="s">
        <v>58</v>
      </c>
      <c r="H19" s="11"/>
      <c r="I19" s="11" t="s">
        <v>391</v>
      </c>
      <c r="J19" s="11" t="s">
        <v>313</v>
      </c>
      <c r="K19" s="11" t="s">
        <v>138</v>
      </c>
      <c r="L19" s="11" t="s">
        <v>140</v>
      </c>
      <c r="M19" s="11">
        <v>1</v>
      </c>
      <c r="N19" s="11" t="s">
        <v>177</v>
      </c>
      <c r="O19" s="11">
        <v>4</v>
      </c>
      <c r="P19" s="11">
        <f t="shared" si="0"/>
        <v>90</v>
      </c>
      <c r="Q19" s="11">
        <f>((10-2*0.32)*(9-2*0.32))*M19</f>
        <v>78.249599999999987</v>
      </c>
      <c r="R19" s="11">
        <f t="shared" si="2"/>
        <v>19.562399999999997</v>
      </c>
      <c r="S19" s="11" t="s">
        <v>67</v>
      </c>
      <c r="T19" s="11"/>
      <c r="U19" s="11">
        <f>3200+1600+400+1750+250+2700+2500+2484+1250+1242</f>
        <v>17376</v>
      </c>
      <c r="V19" s="11" t="s">
        <v>244</v>
      </c>
      <c r="W19" s="54">
        <f t="shared" si="3"/>
        <v>222.05864311127473</v>
      </c>
      <c r="X19" s="11">
        <v>1</v>
      </c>
      <c r="Y19" s="60"/>
      <c r="Z19" s="54"/>
      <c r="AA19" s="36"/>
    </row>
    <row r="20" spans="1:27" ht="40.049999999999997" customHeight="1" x14ac:dyDescent="0.3">
      <c r="A20" s="10">
        <v>1</v>
      </c>
      <c r="B20" s="11" t="s">
        <v>672</v>
      </c>
      <c r="C20" s="11"/>
      <c r="D20" s="11"/>
      <c r="E20" s="11" t="s">
        <v>540</v>
      </c>
      <c r="F20" s="11"/>
      <c r="G20" s="11" t="s">
        <v>58</v>
      </c>
      <c r="H20" s="11"/>
      <c r="I20" s="11" t="s">
        <v>435</v>
      </c>
      <c r="J20" s="11" t="s">
        <v>314</v>
      </c>
      <c r="K20" s="11" t="s">
        <v>103</v>
      </c>
      <c r="L20" s="11" t="s">
        <v>116</v>
      </c>
      <c r="M20" s="11">
        <v>4</v>
      </c>
      <c r="N20" s="11" t="s">
        <v>302</v>
      </c>
      <c r="O20" s="11">
        <v>45.7</v>
      </c>
      <c r="P20" s="11">
        <f t="shared" ref="P20:P39" si="5">(32*12)*M20</f>
        <v>1536</v>
      </c>
      <c r="Q20" s="11">
        <f>((32-2*0.5)*(12-2*0.5))*M20</f>
        <v>1364</v>
      </c>
      <c r="R20" s="11">
        <f t="shared" si="2"/>
        <v>29.846827133479209</v>
      </c>
      <c r="S20" s="11" t="s">
        <v>67</v>
      </c>
      <c r="T20" s="11"/>
      <c r="U20" s="11">
        <f>5600+7000+1250+22800+22000+20976+2500+5244</f>
        <v>87370</v>
      </c>
      <c r="V20" s="11" t="s">
        <v>244</v>
      </c>
      <c r="W20" s="54">
        <f t="shared" si="3"/>
        <v>64.054252199413483</v>
      </c>
      <c r="X20" s="11">
        <v>3</v>
      </c>
      <c r="Y20" s="60"/>
      <c r="Z20" s="54"/>
      <c r="AA20" s="36"/>
    </row>
    <row r="21" spans="1:27" ht="40.049999999999997" customHeight="1" x14ac:dyDescent="0.3">
      <c r="A21" s="10">
        <v>1</v>
      </c>
      <c r="B21" s="11" t="s">
        <v>672</v>
      </c>
      <c r="C21" s="11"/>
      <c r="D21" s="11"/>
      <c r="E21" s="11" t="s">
        <v>540</v>
      </c>
      <c r="F21" s="11"/>
      <c r="G21" s="11" t="s">
        <v>58</v>
      </c>
      <c r="H21" s="11"/>
      <c r="I21" s="11" t="s">
        <v>435</v>
      </c>
      <c r="J21" s="11" t="s">
        <v>315</v>
      </c>
      <c r="K21" s="11" t="s">
        <v>176</v>
      </c>
      <c r="L21" s="11" t="s">
        <v>175</v>
      </c>
      <c r="M21" s="11">
        <v>4</v>
      </c>
      <c r="N21" s="11" t="s">
        <v>174</v>
      </c>
      <c r="O21" s="11">
        <v>45.7</v>
      </c>
      <c r="P21" s="11">
        <f t="shared" si="5"/>
        <v>1536</v>
      </c>
      <c r="Q21" s="11">
        <f>((32-2*0.5)*(12-2*0.5))*M21</f>
        <v>1364</v>
      </c>
      <c r="R21" s="11">
        <f t="shared" si="2"/>
        <v>29.846827133479209</v>
      </c>
      <c r="S21" s="11" t="s">
        <v>67</v>
      </c>
      <c r="T21" s="11"/>
      <c r="U21" s="11">
        <f>5600+7000+1250+22800+22000+20976+2500+5244</f>
        <v>87370</v>
      </c>
      <c r="V21" s="11" t="s">
        <v>244</v>
      </c>
      <c r="W21" s="54">
        <f t="shared" si="3"/>
        <v>64.054252199413483</v>
      </c>
      <c r="X21" s="11">
        <v>3</v>
      </c>
      <c r="Y21" s="60"/>
      <c r="Z21" s="54"/>
      <c r="AA21" s="36"/>
    </row>
    <row r="22" spans="1:27" ht="40.049999999999997" customHeight="1" x14ac:dyDescent="0.3">
      <c r="A22" s="10">
        <v>1</v>
      </c>
      <c r="B22" s="11" t="s">
        <v>672</v>
      </c>
      <c r="C22" s="11"/>
      <c r="D22" s="11"/>
      <c r="E22" s="11" t="s">
        <v>540</v>
      </c>
      <c r="F22" s="11"/>
      <c r="G22" s="11" t="s">
        <v>58</v>
      </c>
      <c r="H22" s="11"/>
      <c r="I22" s="11" t="s">
        <v>435</v>
      </c>
      <c r="J22" s="11" t="s">
        <v>316</v>
      </c>
      <c r="K22" s="11" t="s">
        <v>173</v>
      </c>
      <c r="L22" s="11" t="s">
        <v>172</v>
      </c>
      <c r="M22" s="11">
        <v>4</v>
      </c>
      <c r="N22" s="11" t="s">
        <v>171</v>
      </c>
      <c r="O22" s="11">
        <v>45.7</v>
      </c>
      <c r="P22" s="11">
        <f t="shared" si="5"/>
        <v>1536</v>
      </c>
      <c r="Q22" s="11">
        <f>((32-2*0.35)*(12-2*0.35))*M22</f>
        <v>1414.7600000000002</v>
      </c>
      <c r="R22" s="11">
        <f t="shared" si="2"/>
        <v>30.957549234135669</v>
      </c>
      <c r="S22" s="11" t="s">
        <v>65</v>
      </c>
      <c r="T22" s="11"/>
      <c r="U22" s="11">
        <f>145920+259200+145920+91200+108000</f>
        <v>750240</v>
      </c>
      <c r="V22" s="11" t="s">
        <v>244</v>
      </c>
      <c r="W22" s="54">
        <f t="shared" si="3"/>
        <v>530.29489100624835</v>
      </c>
      <c r="X22" s="11">
        <v>3</v>
      </c>
      <c r="Y22" s="60"/>
      <c r="Z22" s="54"/>
      <c r="AA22" s="36"/>
    </row>
    <row r="23" spans="1:27" ht="40.049999999999997" customHeight="1" x14ac:dyDescent="0.3">
      <c r="A23" s="10">
        <v>1</v>
      </c>
      <c r="B23" s="11" t="s">
        <v>672</v>
      </c>
      <c r="C23" s="11"/>
      <c r="D23" s="11"/>
      <c r="E23" s="11" t="s">
        <v>540</v>
      </c>
      <c r="F23" s="11"/>
      <c r="G23" s="11" t="s">
        <v>58</v>
      </c>
      <c r="H23" s="11"/>
      <c r="I23" s="11" t="s">
        <v>435</v>
      </c>
      <c r="J23" s="11" t="s">
        <v>316</v>
      </c>
      <c r="K23" s="11" t="s">
        <v>173</v>
      </c>
      <c r="L23" s="11" t="s">
        <v>172</v>
      </c>
      <c r="M23" s="11">
        <v>4</v>
      </c>
      <c r="N23" s="11" t="s">
        <v>171</v>
      </c>
      <c r="O23" s="11">
        <v>45.7</v>
      </c>
      <c r="P23" s="11">
        <f t="shared" si="5"/>
        <v>1536</v>
      </c>
      <c r="Q23" s="11">
        <f>((32-2*0.35)*(12-2*0.35))*M23</f>
        <v>1414.7600000000002</v>
      </c>
      <c r="R23" s="11">
        <f t="shared" si="2"/>
        <v>30.957549234135669</v>
      </c>
      <c r="S23" s="11" t="s">
        <v>67</v>
      </c>
      <c r="T23" s="11"/>
      <c r="U23" s="11">
        <f>5600+7000+1250</f>
        <v>13850</v>
      </c>
      <c r="V23" s="11" t="s">
        <v>244</v>
      </c>
      <c r="W23" s="54">
        <f t="shared" si="3"/>
        <v>9.7896463004325813</v>
      </c>
      <c r="X23" s="11">
        <v>3</v>
      </c>
      <c r="Y23" s="60"/>
      <c r="Z23" s="54"/>
      <c r="AA23" s="36"/>
    </row>
    <row r="24" spans="1:27" ht="40.049999999999997" customHeight="1" x14ac:dyDescent="0.3">
      <c r="A24" s="10">
        <v>1</v>
      </c>
      <c r="B24" s="11" t="s">
        <v>672</v>
      </c>
      <c r="C24" s="11"/>
      <c r="D24" s="11"/>
      <c r="E24" s="11" t="s">
        <v>540</v>
      </c>
      <c r="F24" s="11"/>
      <c r="G24" s="11" t="s">
        <v>58</v>
      </c>
      <c r="H24" s="11"/>
      <c r="I24" s="11" t="s">
        <v>435</v>
      </c>
      <c r="J24" s="11" t="s">
        <v>319</v>
      </c>
      <c r="K24" s="11" t="s">
        <v>170</v>
      </c>
      <c r="L24" s="11" t="s">
        <v>169</v>
      </c>
      <c r="M24" s="11">
        <v>4</v>
      </c>
      <c r="N24" s="11" t="s">
        <v>168</v>
      </c>
      <c r="O24" s="11">
        <v>40</v>
      </c>
      <c r="P24" s="11">
        <f t="shared" si="5"/>
        <v>1536</v>
      </c>
      <c r="Q24" s="11">
        <f t="shared" ref="Q24:Q27" si="6">((32-2*0.3)*(12-2*0.3))*M24</f>
        <v>1431.84</v>
      </c>
      <c r="R24" s="11">
        <f t="shared" si="2"/>
        <v>35.795999999999999</v>
      </c>
      <c r="S24" s="11" t="s">
        <v>65</v>
      </c>
      <c r="T24" s="11"/>
      <c r="U24" s="11">
        <f>154800+132000+437760+259200+145920+91200+108000</f>
        <v>1328880</v>
      </c>
      <c r="V24" s="11" t="s">
        <v>244</v>
      </c>
      <c r="W24" s="54">
        <f t="shared" si="3"/>
        <v>928.09252430439165</v>
      </c>
      <c r="X24" s="11">
        <v>3</v>
      </c>
      <c r="Y24" s="60"/>
      <c r="Z24" s="54"/>
      <c r="AA24" s="36"/>
    </row>
    <row r="25" spans="1:27" ht="40.049999999999997" customHeight="1" x14ac:dyDescent="0.3">
      <c r="A25" s="10">
        <v>1</v>
      </c>
      <c r="B25" s="11" t="s">
        <v>672</v>
      </c>
      <c r="C25" s="11"/>
      <c r="D25" s="11"/>
      <c r="E25" s="11" t="s">
        <v>540</v>
      </c>
      <c r="F25" s="11"/>
      <c r="G25" s="11" t="s">
        <v>58</v>
      </c>
      <c r="H25" s="11"/>
      <c r="I25" s="11" t="s">
        <v>435</v>
      </c>
      <c r="J25" s="11" t="s">
        <v>319</v>
      </c>
      <c r="K25" s="11" t="s">
        <v>170</v>
      </c>
      <c r="L25" s="11" t="s">
        <v>169</v>
      </c>
      <c r="M25" s="11">
        <v>4</v>
      </c>
      <c r="N25" s="11" t="s">
        <v>168</v>
      </c>
      <c r="O25" s="11">
        <v>40</v>
      </c>
      <c r="P25" s="11">
        <f t="shared" si="5"/>
        <v>1536</v>
      </c>
      <c r="Q25" s="11">
        <f t="shared" si="6"/>
        <v>1431.84</v>
      </c>
      <c r="R25" s="11">
        <f t="shared" si="2"/>
        <v>35.795999999999999</v>
      </c>
      <c r="S25" s="11" t="s">
        <v>67</v>
      </c>
      <c r="T25" s="11"/>
      <c r="U25" s="11">
        <f>5600+7000+1250</f>
        <v>13850</v>
      </c>
      <c r="V25" s="11" t="s">
        <v>244</v>
      </c>
      <c r="W25" s="54">
        <f t="shared" si="3"/>
        <v>9.6728684769247959</v>
      </c>
      <c r="X25" s="11">
        <v>3</v>
      </c>
      <c r="Y25" s="60"/>
      <c r="Z25" s="54"/>
      <c r="AA25" s="36"/>
    </row>
    <row r="26" spans="1:27" ht="40.049999999999997" customHeight="1" x14ac:dyDescent="0.3">
      <c r="A26" s="10">
        <v>1</v>
      </c>
      <c r="B26" s="11" t="s">
        <v>672</v>
      </c>
      <c r="C26" s="11"/>
      <c r="D26" s="11"/>
      <c r="E26" s="11" t="s">
        <v>540</v>
      </c>
      <c r="F26" s="11"/>
      <c r="G26" s="11" t="s">
        <v>58</v>
      </c>
      <c r="H26" s="11"/>
      <c r="I26" s="11" t="s">
        <v>435</v>
      </c>
      <c r="J26" s="11" t="s">
        <v>317</v>
      </c>
      <c r="K26" s="11" t="s">
        <v>167</v>
      </c>
      <c r="L26" s="11" t="s">
        <v>68</v>
      </c>
      <c r="M26" s="11">
        <v>4</v>
      </c>
      <c r="N26" s="11" t="s">
        <v>301</v>
      </c>
      <c r="O26" s="11">
        <v>43.5</v>
      </c>
      <c r="P26" s="11">
        <f t="shared" si="5"/>
        <v>1536</v>
      </c>
      <c r="Q26" s="11">
        <f t="shared" si="6"/>
        <v>1431.84</v>
      </c>
      <c r="R26" s="11">
        <f t="shared" si="2"/>
        <v>32.915862068965517</v>
      </c>
      <c r="S26" s="11" t="s">
        <v>65</v>
      </c>
      <c r="T26" s="11"/>
      <c r="U26" s="11">
        <f>154800+132000+437760+259200+145920+91200+108000</f>
        <v>1328880</v>
      </c>
      <c r="V26" s="11" t="s">
        <v>244</v>
      </c>
      <c r="W26" s="54">
        <f t="shared" si="3"/>
        <v>928.09252430439165</v>
      </c>
      <c r="X26" s="11">
        <v>3</v>
      </c>
      <c r="Y26" s="60"/>
      <c r="Z26" s="54"/>
      <c r="AA26" s="36"/>
    </row>
    <row r="27" spans="1:27" ht="40.049999999999997" customHeight="1" x14ac:dyDescent="0.3">
      <c r="A27" s="10">
        <v>1</v>
      </c>
      <c r="B27" s="11" t="s">
        <v>672</v>
      </c>
      <c r="C27" s="11"/>
      <c r="D27" s="11"/>
      <c r="E27" s="11" t="s">
        <v>540</v>
      </c>
      <c r="F27" s="11"/>
      <c r="G27" s="11" t="s">
        <v>58</v>
      </c>
      <c r="H27" s="11"/>
      <c r="I27" s="11" t="s">
        <v>435</v>
      </c>
      <c r="J27" s="11" t="s">
        <v>317</v>
      </c>
      <c r="K27" s="11" t="s">
        <v>167</v>
      </c>
      <c r="L27" s="11" t="s">
        <v>68</v>
      </c>
      <c r="M27" s="11">
        <v>4</v>
      </c>
      <c r="N27" s="11" t="s">
        <v>301</v>
      </c>
      <c r="O27" s="11">
        <v>43.5</v>
      </c>
      <c r="P27" s="11">
        <f t="shared" si="5"/>
        <v>1536</v>
      </c>
      <c r="Q27" s="11">
        <f t="shared" si="6"/>
        <v>1431.84</v>
      </c>
      <c r="R27" s="11">
        <f t="shared" si="2"/>
        <v>32.915862068965517</v>
      </c>
      <c r="S27" s="11" t="s">
        <v>67</v>
      </c>
      <c r="T27" s="11"/>
      <c r="U27" s="11">
        <f>5600+7000+1250</f>
        <v>13850</v>
      </c>
      <c r="V27" s="11" t="s">
        <v>244</v>
      </c>
      <c r="W27" s="54">
        <f t="shared" si="3"/>
        <v>9.6728684769247959</v>
      </c>
      <c r="X27" s="11">
        <v>3</v>
      </c>
      <c r="Y27" s="60"/>
      <c r="Z27" s="54"/>
      <c r="AA27" s="36"/>
    </row>
    <row r="28" spans="1:27" ht="40.049999999999997" customHeight="1" x14ac:dyDescent="0.3">
      <c r="A28" s="10">
        <v>1</v>
      </c>
      <c r="B28" s="11" t="s">
        <v>672</v>
      </c>
      <c r="C28" s="11"/>
      <c r="D28" s="11"/>
      <c r="E28" s="11" t="s">
        <v>540</v>
      </c>
      <c r="F28" s="11"/>
      <c r="G28" s="11" t="s">
        <v>58</v>
      </c>
      <c r="H28" s="11"/>
      <c r="I28" s="11" t="s">
        <v>435</v>
      </c>
      <c r="J28" s="11" t="s">
        <v>318</v>
      </c>
      <c r="K28" s="11" t="s">
        <v>76</v>
      </c>
      <c r="L28" s="11" t="s">
        <v>166</v>
      </c>
      <c r="M28" s="11">
        <v>4</v>
      </c>
      <c r="N28" s="11" t="s">
        <v>165</v>
      </c>
      <c r="O28" s="11">
        <v>43.5</v>
      </c>
      <c r="P28" s="11">
        <f t="shared" si="5"/>
        <v>1536</v>
      </c>
      <c r="Q28" s="11">
        <f>((32-2*0.2)*(12-2*0.2))*M28</f>
        <v>1466.24</v>
      </c>
      <c r="R28" s="11">
        <f t="shared" si="2"/>
        <v>33.706666666666663</v>
      </c>
      <c r="S28" s="11" t="s">
        <v>65</v>
      </c>
      <c r="T28" s="11"/>
      <c r="U28" s="11">
        <f>384000+528000+145920+437760+259200+145920+91200+108000</f>
        <v>2100000</v>
      </c>
      <c r="V28" s="11" t="s">
        <v>244</v>
      </c>
      <c r="W28" s="54">
        <f t="shared" si="3"/>
        <v>1432.2348319511129</v>
      </c>
      <c r="X28" s="11">
        <v>3</v>
      </c>
      <c r="Y28" s="60"/>
      <c r="Z28" s="54"/>
      <c r="AA28" s="36"/>
    </row>
    <row r="29" spans="1:27" ht="40.049999999999997" customHeight="1" x14ac:dyDescent="0.3">
      <c r="A29" s="10">
        <v>1</v>
      </c>
      <c r="B29" s="11" t="s">
        <v>672</v>
      </c>
      <c r="C29" s="11"/>
      <c r="D29" s="11"/>
      <c r="E29" s="11" t="s">
        <v>540</v>
      </c>
      <c r="F29" s="11"/>
      <c r="G29" s="11" t="s">
        <v>58</v>
      </c>
      <c r="H29" s="11"/>
      <c r="I29" s="11" t="s">
        <v>435</v>
      </c>
      <c r="J29" s="11" t="s">
        <v>318</v>
      </c>
      <c r="K29" s="11" t="s">
        <v>76</v>
      </c>
      <c r="L29" s="11" t="s">
        <v>166</v>
      </c>
      <c r="M29" s="11">
        <v>4</v>
      </c>
      <c r="N29" s="11" t="s">
        <v>165</v>
      </c>
      <c r="O29" s="11">
        <v>43.5</v>
      </c>
      <c r="P29" s="11">
        <f t="shared" si="5"/>
        <v>1536</v>
      </c>
      <c r="Q29" s="11">
        <f>((32-2*0.2)*(12-2*0.2))*M29</f>
        <v>1466.24</v>
      </c>
      <c r="R29" s="11">
        <f t="shared" si="2"/>
        <v>33.706666666666663</v>
      </c>
      <c r="S29" s="11" t="s">
        <v>67</v>
      </c>
      <c r="T29" s="11"/>
      <c r="U29" s="11">
        <v>5600</v>
      </c>
      <c r="V29" s="11" t="s">
        <v>244</v>
      </c>
      <c r="W29" s="54">
        <f t="shared" si="3"/>
        <v>3.8192928852029682</v>
      </c>
      <c r="X29" s="11">
        <v>3</v>
      </c>
      <c r="Y29" s="60"/>
      <c r="Z29" s="54"/>
      <c r="AA29" s="36"/>
    </row>
    <row r="30" spans="1:27" ht="40.049999999999997" customHeight="1" x14ac:dyDescent="0.3">
      <c r="A30" s="10">
        <v>1</v>
      </c>
      <c r="B30" s="11" t="s">
        <v>672</v>
      </c>
      <c r="C30" s="11"/>
      <c r="D30" s="11"/>
      <c r="E30" s="11" t="s">
        <v>540</v>
      </c>
      <c r="F30" s="11"/>
      <c r="G30" s="11" t="s">
        <v>58</v>
      </c>
      <c r="H30" s="11"/>
      <c r="I30" s="11" t="s">
        <v>435</v>
      </c>
      <c r="J30" s="11" t="s">
        <v>321</v>
      </c>
      <c r="K30" s="11" t="s">
        <v>74</v>
      </c>
      <c r="L30" s="11" t="s">
        <v>164</v>
      </c>
      <c r="M30" s="11">
        <v>4</v>
      </c>
      <c r="N30" s="11" t="s">
        <v>163</v>
      </c>
      <c r="O30" s="11">
        <v>43.5</v>
      </c>
      <c r="P30" s="11">
        <f t="shared" si="5"/>
        <v>1536</v>
      </c>
      <c r="Q30" s="11">
        <f t="shared" ref="Q30:Q33" si="7">((32-2*0.35)*(12-2*0.35))*M30</f>
        <v>1414.7600000000002</v>
      </c>
      <c r="R30" s="11">
        <f t="shared" si="2"/>
        <v>32.523218390804601</v>
      </c>
      <c r="S30" s="11" t="s">
        <v>65</v>
      </c>
      <c r="T30" s="11"/>
      <c r="U30" s="11">
        <f>145920+583680+259200+145920+91200+108000</f>
        <v>1333920</v>
      </c>
      <c r="V30" s="11" t="s">
        <v>244</v>
      </c>
      <c r="W30" s="54">
        <f t="shared" si="3"/>
        <v>942.8595662868612</v>
      </c>
      <c r="X30" s="11">
        <v>3</v>
      </c>
      <c r="Y30" s="60"/>
      <c r="Z30" s="54"/>
      <c r="AA30" s="36"/>
    </row>
    <row r="31" spans="1:27" ht="40.049999999999997" customHeight="1" x14ac:dyDescent="0.3">
      <c r="A31" s="10">
        <v>1</v>
      </c>
      <c r="B31" s="11" t="s">
        <v>672</v>
      </c>
      <c r="C31" s="11"/>
      <c r="D31" s="11"/>
      <c r="E31" s="11" t="s">
        <v>540</v>
      </c>
      <c r="F31" s="11"/>
      <c r="G31" s="11" t="s">
        <v>58</v>
      </c>
      <c r="H31" s="11"/>
      <c r="I31" s="11" t="s">
        <v>435</v>
      </c>
      <c r="J31" s="11" t="s">
        <v>321</v>
      </c>
      <c r="K31" s="11" t="s">
        <v>74</v>
      </c>
      <c r="L31" s="11" t="s">
        <v>164</v>
      </c>
      <c r="M31" s="11">
        <v>4</v>
      </c>
      <c r="N31" s="11" t="s">
        <v>163</v>
      </c>
      <c r="O31" s="11">
        <v>43.5</v>
      </c>
      <c r="P31" s="11">
        <f t="shared" si="5"/>
        <v>1536</v>
      </c>
      <c r="Q31" s="11">
        <f t="shared" si="7"/>
        <v>1414.7600000000002</v>
      </c>
      <c r="R31" s="11">
        <f t="shared" si="2"/>
        <v>32.523218390804601</v>
      </c>
      <c r="S31" s="11" t="s">
        <v>67</v>
      </c>
      <c r="T31" s="11"/>
      <c r="U31" s="11">
        <v>5600</v>
      </c>
      <c r="V31" s="11" t="s">
        <v>244</v>
      </c>
      <c r="W31" s="54">
        <f t="shared" si="3"/>
        <v>3.9582685402471083</v>
      </c>
      <c r="X31" s="11">
        <v>3</v>
      </c>
      <c r="Y31" s="60"/>
      <c r="Z31" s="54"/>
      <c r="AA31" s="36"/>
    </row>
    <row r="32" spans="1:27" ht="40.049999999999997" customHeight="1" x14ac:dyDescent="0.3">
      <c r="A32" s="10">
        <v>1</v>
      </c>
      <c r="B32" s="11" t="s">
        <v>672</v>
      </c>
      <c r="C32" s="11"/>
      <c r="D32" s="11"/>
      <c r="E32" s="11" t="s">
        <v>540</v>
      </c>
      <c r="F32" s="11"/>
      <c r="G32" s="11" t="s">
        <v>58</v>
      </c>
      <c r="H32" s="11"/>
      <c r="I32" s="11" t="s">
        <v>435</v>
      </c>
      <c r="J32" s="11" t="s">
        <v>320</v>
      </c>
      <c r="K32" s="11" t="s">
        <v>121</v>
      </c>
      <c r="L32" s="11" t="s">
        <v>68</v>
      </c>
      <c r="M32" s="11">
        <v>4</v>
      </c>
      <c r="N32" s="11" t="s">
        <v>301</v>
      </c>
      <c r="O32" s="11">
        <v>43.52</v>
      </c>
      <c r="P32" s="11">
        <f t="shared" si="5"/>
        <v>1536</v>
      </c>
      <c r="Q32" s="11">
        <f t="shared" si="7"/>
        <v>1414.7600000000002</v>
      </c>
      <c r="R32" s="11">
        <f t="shared" si="2"/>
        <v>32.508272058823529</v>
      </c>
      <c r="S32" s="11" t="s">
        <v>65</v>
      </c>
      <c r="T32" s="11"/>
      <c r="U32" s="11">
        <f>145920+583680+259200+145920+91200+108000</f>
        <v>1333920</v>
      </c>
      <c r="V32" s="11" t="s">
        <v>244</v>
      </c>
      <c r="W32" s="54">
        <f t="shared" si="3"/>
        <v>942.8595662868612</v>
      </c>
      <c r="X32" s="11">
        <v>3</v>
      </c>
      <c r="Y32" s="60"/>
      <c r="Z32" s="54"/>
      <c r="AA32" s="36"/>
    </row>
    <row r="33" spans="1:27" ht="40.049999999999997" customHeight="1" x14ac:dyDescent="0.3">
      <c r="A33" s="10">
        <v>1</v>
      </c>
      <c r="B33" s="11" t="s">
        <v>672</v>
      </c>
      <c r="C33" s="11"/>
      <c r="D33" s="11"/>
      <c r="E33" s="11" t="s">
        <v>540</v>
      </c>
      <c r="F33" s="11"/>
      <c r="G33" s="11" t="s">
        <v>58</v>
      </c>
      <c r="H33" s="11"/>
      <c r="I33" s="11" t="s">
        <v>435</v>
      </c>
      <c r="J33" s="11" t="s">
        <v>320</v>
      </c>
      <c r="K33" s="11" t="s">
        <v>121</v>
      </c>
      <c r="L33" s="11" t="s">
        <v>68</v>
      </c>
      <c r="M33" s="11">
        <v>4</v>
      </c>
      <c r="N33" s="11" t="s">
        <v>301</v>
      </c>
      <c r="O33" s="11">
        <v>43.52</v>
      </c>
      <c r="P33" s="11">
        <f t="shared" si="5"/>
        <v>1536</v>
      </c>
      <c r="Q33" s="11">
        <f t="shared" si="7"/>
        <v>1414.7600000000002</v>
      </c>
      <c r="R33" s="11">
        <f t="shared" si="2"/>
        <v>32.508272058823529</v>
      </c>
      <c r="S33" s="11" t="s">
        <v>67</v>
      </c>
      <c r="T33" s="11"/>
      <c r="U33" s="11">
        <v>5600</v>
      </c>
      <c r="V33" s="11" t="s">
        <v>244</v>
      </c>
      <c r="W33" s="54">
        <f t="shared" si="3"/>
        <v>3.9582685402471083</v>
      </c>
      <c r="X33" s="11">
        <v>3</v>
      </c>
      <c r="Y33" s="60"/>
      <c r="Z33" s="54"/>
      <c r="AA33" s="36"/>
    </row>
    <row r="34" spans="1:27" ht="40.049999999999997" customHeight="1" x14ac:dyDescent="0.3">
      <c r="A34" s="10">
        <v>1</v>
      </c>
      <c r="B34" s="11" t="s">
        <v>672</v>
      </c>
      <c r="C34" s="11"/>
      <c r="D34" s="11"/>
      <c r="E34" s="11" t="s">
        <v>540</v>
      </c>
      <c r="F34" s="11"/>
      <c r="G34" s="11" t="s">
        <v>58</v>
      </c>
      <c r="H34" s="11"/>
      <c r="I34" s="11" t="s">
        <v>70</v>
      </c>
      <c r="J34" s="11" t="s">
        <v>322</v>
      </c>
      <c r="K34" s="11" t="s">
        <v>76</v>
      </c>
      <c r="L34" s="11" t="s">
        <v>162</v>
      </c>
      <c r="M34" s="11">
        <v>7</v>
      </c>
      <c r="N34" s="11" t="s">
        <v>161</v>
      </c>
      <c r="O34" s="11">
        <v>73.73</v>
      </c>
      <c r="P34" s="11">
        <f t="shared" si="5"/>
        <v>2688</v>
      </c>
      <c r="Q34" s="11">
        <f>((32-2*0.3)*(12-2*0.3))*M34</f>
        <v>2505.7199999999998</v>
      </c>
      <c r="R34" s="11">
        <f t="shared" si="2"/>
        <v>33.985080699850805</v>
      </c>
      <c r="S34" s="11" t="s">
        <v>65</v>
      </c>
      <c r="T34" s="11"/>
      <c r="U34" s="11">
        <f>1044000+926400+145920+875520+259200+145920+91200+172800</f>
        <v>3660960</v>
      </c>
      <c r="V34" s="11" t="s">
        <v>244</v>
      </c>
      <c r="W34" s="54">
        <f t="shared" si="3"/>
        <v>1461.0411378765386</v>
      </c>
      <c r="X34" s="11">
        <v>4</v>
      </c>
      <c r="Y34" s="60"/>
      <c r="Z34" s="54"/>
      <c r="AA34" s="36"/>
    </row>
    <row r="35" spans="1:27" ht="40.049999999999997" customHeight="1" x14ac:dyDescent="0.3">
      <c r="A35" s="10">
        <v>1</v>
      </c>
      <c r="B35" s="11" t="s">
        <v>672</v>
      </c>
      <c r="C35" s="11"/>
      <c r="D35" s="11"/>
      <c r="E35" s="11" t="s">
        <v>540</v>
      </c>
      <c r="F35" s="11"/>
      <c r="G35" s="11" t="s">
        <v>58</v>
      </c>
      <c r="H35" s="11"/>
      <c r="I35" s="11" t="s">
        <v>70</v>
      </c>
      <c r="J35" s="11" t="s">
        <v>322</v>
      </c>
      <c r="K35" s="11" t="s">
        <v>76</v>
      </c>
      <c r="L35" s="11" t="s">
        <v>162</v>
      </c>
      <c r="M35" s="11">
        <v>7</v>
      </c>
      <c r="N35" s="11" t="s">
        <v>161</v>
      </c>
      <c r="O35" s="11">
        <v>73.73</v>
      </c>
      <c r="P35" s="11">
        <f t="shared" si="5"/>
        <v>2688</v>
      </c>
      <c r="Q35" s="11">
        <f>((32-2*0.3)*(12-2*0.3))*M35</f>
        <v>2505.7199999999998</v>
      </c>
      <c r="R35" s="11">
        <f t="shared" si="2"/>
        <v>33.985080699850805</v>
      </c>
      <c r="S35" s="11" t="s">
        <v>67</v>
      </c>
      <c r="T35" s="11"/>
      <c r="U35" s="11">
        <v>8720</v>
      </c>
      <c r="V35" s="11" t="s">
        <v>244</v>
      </c>
      <c r="W35" s="54">
        <f t="shared" si="3"/>
        <v>3.4800376738023404</v>
      </c>
      <c r="X35" s="11">
        <v>4</v>
      </c>
      <c r="Y35" s="60"/>
      <c r="Z35" s="54"/>
      <c r="AA35" s="36"/>
    </row>
    <row r="36" spans="1:27" ht="40.049999999999997" customHeight="1" x14ac:dyDescent="0.3">
      <c r="A36" s="10">
        <v>1</v>
      </c>
      <c r="B36" s="11" t="s">
        <v>672</v>
      </c>
      <c r="C36" s="11"/>
      <c r="D36" s="11"/>
      <c r="E36" s="11" t="s">
        <v>540</v>
      </c>
      <c r="F36" s="11"/>
      <c r="G36" s="11" t="s">
        <v>58</v>
      </c>
      <c r="H36" s="11"/>
      <c r="I36" s="11" t="s">
        <v>70</v>
      </c>
      <c r="J36" s="11" t="s">
        <v>323</v>
      </c>
      <c r="K36" s="11" t="s">
        <v>74</v>
      </c>
      <c r="L36" s="11" t="s">
        <v>87</v>
      </c>
      <c r="M36" s="11">
        <v>7</v>
      </c>
      <c r="N36" s="11" t="s">
        <v>161</v>
      </c>
      <c r="O36" s="11">
        <v>73.73</v>
      </c>
      <c r="P36" s="11">
        <f t="shared" si="5"/>
        <v>2688</v>
      </c>
      <c r="Q36" s="11">
        <f t="shared" ref="Q36:Q39" si="8">((32-2*0.2)*(12-2*0.2))*M36</f>
        <v>2565.92</v>
      </c>
      <c r="R36" s="11">
        <f t="shared" si="2"/>
        <v>34.801573308015733</v>
      </c>
      <c r="S36" s="11" t="s">
        <v>65</v>
      </c>
      <c r="T36" s="11"/>
      <c r="U36" s="11">
        <f>926400+145920+875520+259200+145920+91200+172800</f>
        <v>2616960</v>
      </c>
      <c r="V36" s="11" t="s">
        <v>244</v>
      </c>
      <c r="W36" s="54">
        <f t="shared" si="3"/>
        <v>1019.8915009041591</v>
      </c>
      <c r="X36" s="11">
        <v>4</v>
      </c>
      <c r="Y36" s="60"/>
      <c r="Z36" s="54"/>
      <c r="AA36" s="36"/>
    </row>
    <row r="37" spans="1:27" ht="40.049999999999997" customHeight="1" x14ac:dyDescent="0.3">
      <c r="A37" s="10">
        <v>1</v>
      </c>
      <c r="B37" s="11" t="s">
        <v>672</v>
      </c>
      <c r="C37" s="11"/>
      <c r="D37" s="11"/>
      <c r="E37" s="11" t="s">
        <v>540</v>
      </c>
      <c r="F37" s="11"/>
      <c r="G37" s="11" t="s">
        <v>58</v>
      </c>
      <c r="H37" s="11"/>
      <c r="I37" s="11" t="s">
        <v>70</v>
      </c>
      <c r="J37" s="11" t="s">
        <v>323</v>
      </c>
      <c r="K37" s="11" t="s">
        <v>74</v>
      </c>
      <c r="L37" s="11" t="s">
        <v>87</v>
      </c>
      <c r="M37" s="11">
        <v>7</v>
      </c>
      <c r="N37" s="11" t="s">
        <v>161</v>
      </c>
      <c r="O37" s="11">
        <v>73.73</v>
      </c>
      <c r="P37" s="11">
        <f t="shared" si="5"/>
        <v>2688</v>
      </c>
      <c r="Q37" s="11">
        <f t="shared" si="8"/>
        <v>2565.92</v>
      </c>
      <c r="R37" s="11">
        <f t="shared" si="2"/>
        <v>34.801573308015733</v>
      </c>
      <c r="S37" s="11" t="s">
        <v>67</v>
      </c>
      <c r="T37" s="11"/>
      <c r="U37" s="11">
        <v>8720</v>
      </c>
      <c r="V37" s="11" t="s">
        <v>244</v>
      </c>
      <c r="W37" s="54">
        <f t="shared" si="3"/>
        <v>3.3983912203030493</v>
      </c>
      <c r="X37" s="11">
        <v>4</v>
      </c>
      <c r="Y37" s="60"/>
      <c r="Z37" s="54"/>
      <c r="AA37" s="36"/>
    </row>
    <row r="38" spans="1:27" ht="40.049999999999997" customHeight="1" x14ac:dyDescent="0.3">
      <c r="A38" s="10">
        <v>1</v>
      </c>
      <c r="B38" s="11" t="s">
        <v>672</v>
      </c>
      <c r="C38" s="11"/>
      <c r="D38" s="11"/>
      <c r="E38" s="11" t="s">
        <v>540</v>
      </c>
      <c r="F38" s="11"/>
      <c r="G38" s="11" t="s">
        <v>58</v>
      </c>
      <c r="H38" s="11"/>
      <c r="I38" s="11" t="s">
        <v>70</v>
      </c>
      <c r="J38" s="11" t="s">
        <v>324</v>
      </c>
      <c r="K38" s="11" t="s">
        <v>121</v>
      </c>
      <c r="L38" s="11" t="s">
        <v>68</v>
      </c>
      <c r="M38" s="11">
        <v>7</v>
      </c>
      <c r="N38" s="11" t="s">
        <v>160</v>
      </c>
      <c r="O38" s="11">
        <v>76.16</v>
      </c>
      <c r="P38" s="11">
        <f t="shared" si="5"/>
        <v>2688</v>
      </c>
      <c r="Q38" s="11">
        <f t="shared" si="8"/>
        <v>2565.92</v>
      </c>
      <c r="R38" s="11">
        <f t="shared" si="2"/>
        <v>33.691176470588239</v>
      </c>
      <c r="S38" s="11" t="s">
        <v>65</v>
      </c>
      <c r="T38" s="11"/>
      <c r="U38" s="11">
        <f>926400+145920+875520+259200+145920+91200+172800</f>
        <v>2616960</v>
      </c>
      <c r="V38" s="11" t="s">
        <v>244</v>
      </c>
      <c r="W38" s="54">
        <f t="shared" si="3"/>
        <v>1019.8915009041591</v>
      </c>
      <c r="X38" s="11">
        <v>4</v>
      </c>
      <c r="Y38" s="60"/>
      <c r="Z38" s="54"/>
      <c r="AA38" s="36"/>
    </row>
    <row r="39" spans="1:27" ht="40.049999999999997" customHeight="1" x14ac:dyDescent="0.3">
      <c r="A39" s="10">
        <v>1</v>
      </c>
      <c r="B39" s="11" t="s">
        <v>672</v>
      </c>
      <c r="C39" s="11"/>
      <c r="D39" s="11"/>
      <c r="E39" s="11" t="s">
        <v>540</v>
      </c>
      <c r="F39" s="11"/>
      <c r="G39" s="11" t="s">
        <v>58</v>
      </c>
      <c r="H39" s="11"/>
      <c r="I39" s="11" t="s">
        <v>70</v>
      </c>
      <c r="J39" s="11" t="s">
        <v>324</v>
      </c>
      <c r="K39" s="11" t="s">
        <v>121</v>
      </c>
      <c r="L39" s="11" t="s">
        <v>68</v>
      </c>
      <c r="M39" s="11">
        <v>7</v>
      </c>
      <c r="N39" s="11" t="s">
        <v>160</v>
      </c>
      <c r="O39" s="11">
        <v>76.16</v>
      </c>
      <c r="P39" s="11">
        <f t="shared" si="5"/>
        <v>2688</v>
      </c>
      <c r="Q39" s="11">
        <f t="shared" si="8"/>
        <v>2565.92</v>
      </c>
      <c r="R39" s="11">
        <f t="shared" si="2"/>
        <v>33.691176470588239</v>
      </c>
      <c r="S39" s="11" t="s">
        <v>67</v>
      </c>
      <c r="T39" s="11"/>
      <c r="U39" s="11">
        <v>8720</v>
      </c>
      <c r="V39" s="11" t="s">
        <v>244</v>
      </c>
      <c r="W39" s="54">
        <f t="shared" si="3"/>
        <v>3.3983912203030493</v>
      </c>
      <c r="X39" s="11">
        <v>4</v>
      </c>
      <c r="Y39" s="60"/>
      <c r="Z39" s="54"/>
      <c r="AA39" s="36"/>
    </row>
    <row r="40" spans="1:27" ht="40.049999999999997" customHeight="1" x14ac:dyDescent="0.3">
      <c r="A40" s="10">
        <v>1</v>
      </c>
      <c r="B40" s="11" t="s">
        <v>672</v>
      </c>
      <c r="C40" s="11"/>
      <c r="D40" s="11"/>
      <c r="E40" s="11" t="s">
        <v>540</v>
      </c>
      <c r="F40" s="11"/>
      <c r="G40" s="11" t="s">
        <v>58</v>
      </c>
      <c r="H40" s="11"/>
      <c r="I40" s="11" t="s">
        <v>70</v>
      </c>
      <c r="J40" s="11" t="s">
        <v>325</v>
      </c>
      <c r="K40" s="11" t="s">
        <v>74</v>
      </c>
      <c r="L40" s="11" t="s">
        <v>159</v>
      </c>
      <c r="M40" s="11">
        <v>10</v>
      </c>
      <c r="N40" s="11" t="s">
        <v>158</v>
      </c>
      <c r="O40" s="11">
        <v>131.66999999999999</v>
      </c>
      <c r="P40" s="11">
        <f>(30*15)*M40</f>
        <v>4500</v>
      </c>
      <c r="Q40" s="11">
        <f>((30-2*0.35)*(15-2*0.35))*M40</f>
        <v>4189.8999999999996</v>
      </c>
      <c r="R40" s="11">
        <f t="shared" si="2"/>
        <v>31.821219715956559</v>
      </c>
      <c r="S40" s="11" t="s">
        <v>65</v>
      </c>
      <c r="T40" s="11"/>
      <c r="U40" s="11">
        <f>864000+172800+1555200+259200+145920+91200+172800</f>
        <v>3261120</v>
      </c>
      <c r="V40" s="11" t="s">
        <v>244</v>
      </c>
      <c r="W40" s="54">
        <f t="shared" si="3"/>
        <v>778.3288383970978</v>
      </c>
      <c r="X40" s="11">
        <v>4</v>
      </c>
      <c r="Y40" s="60"/>
      <c r="Z40" s="54"/>
      <c r="AA40" s="36"/>
    </row>
    <row r="41" spans="1:27" ht="40.049999999999997" customHeight="1" x14ac:dyDescent="0.3">
      <c r="A41" s="10">
        <v>1</v>
      </c>
      <c r="B41" s="11" t="s">
        <v>672</v>
      </c>
      <c r="C41" s="11"/>
      <c r="D41" s="11"/>
      <c r="E41" s="11" t="s">
        <v>540</v>
      </c>
      <c r="F41" s="11"/>
      <c r="G41" s="11" t="s">
        <v>58</v>
      </c>
      <c r="H41" s="11"/>
      <c r="I41" s="11" t="s">
        <v>70</v>
      </c>
      <c r="J41" s="11" t="s">
        <v>325</v>
      </c>
      <c r="K41" s="11" t="s">
        <v>74</v>
      </c>
      <c r="L41" s="11" t="s">
        <v>159</v>
      </c>
      <c r="M41" s="11">
        <v>10</v>
      </c>
      <c r="N41" s="11" t="s">
        <v>158</v>
      </c>
      <c r="O41" s="11">
        <v>131.66999999999999</v>
      </c>
      <c r="P41" s="11">
        <f>(30*15)*M41</f>
        <v>4500</v>
      </c>
      <c r="Q41" s="11">
        <f>((30-2*0.35)*(15-2*0.35))*M41</f>
        <v>4189.8999999999996</v>
      </c>
      <c r="R41" s="11">
        <f t="shared" si="2"/>
        <v>31.821219715956559</v>
      </c>
      <c r="S41" s="11" t="s">
        <v>67</v>
      </c>
      <c r="T41" s="11"/>
      <c r="U41" s="11">
        <v>10800</v>
      </c>
      <c r="V41" s="11" t="s">
        <v>244</v>
      </c>
      <c r="W41" s="54">
        <f t="shared" si="3"/>
        <v>2.5776271510059909</v>
      </c>
      <c r="X41" s="11">
        <v>4</v>
      </c>
      <c r="Y41" s="60"/>
      <c r="Z41" s="54"/>
      <c r="AA41" s="36"/>
    </row>
    <row r="42" spans="1:27" ht="40.049999999999997" customHeight="1" x14ac:dyDescent="0.3">
      <c r="A42" s="10">
        <v>1</v>
      </c>
      <c r="B42" s="11" t="s">
        <v>672</v>
      </c>
      <c r="C42" s="11"/>
      <c r="D42" s="11"/>
      <c r="E42" s="11" t="s">
        <v>540</v>
      </c>
      <c r="F42" s="11"/>
      <c r="G42" s="11" t="s">
        <v>58</v>
      </c>
      <c r="H42" s="11"/>
      <c r="I42" s="11" t="s">
        <v>70</v>
      </c>
      <c r="J42" s="11" t="s">
        <v>326</v>
      </c>
      <c r="K42" s="11" t="s">
        <v>121</v>
      </c>
      <c r="L42" s="11" t="s">
        <v>68</v>
      </c>
      <c r="M42" s="11">
        <v>10</v>
      </c>
      <c r="N42" s="11" t="s">
        <v>300</v>
      </c>
      <c r="O42" s="11">
        <v>131.66999999999999</v>
      </c>
      <c r="P42" s="11">
        <f>(30*15)*M42</f>
        <v>4500</v>
      </c>
      <c r="Q42" s="11">
        <f>((30-2*0.35)*(15-2*0.35))*M42</f>
        <v>4189.8999999999996</v>
      </c>
      <c r="R42" s="11">
        <f t="shared" si="2"/>
        <v>31.821219715956559</v>
      </c>
      <c r="S42" s="11" t="s">
        <v>65</v>
      </c>
      <c r="T42" s="11"/>
      <c r="U42" s="11">
        <f>864000+172800+1555200+259200+145920+91200+230400</f>
        <v>3318720</v>
      </c>
      <c r="V42" s="11" t="s">
        <v>244</v>
      </c>
      <c r="W42" s="54">
        <f t="shared" si="3"/>
        <v>792.07618320246308</v>
      </c>
      <c r="X42" s="11">
        <v>4</v>
      </c>
      <c r="Y42" s="60"/>
      <c r="Z42" s="54"/>
      <c r="AA42" s="36"/>
    </row>
    <row r="43" spans="1:27" ht="40.049999999999997" customHeight="1" x14ac:dyDescent="0.3">
      <c r="A43" s="10">
        <v>1</v>
      </c>
      <c r="B43" s="11" t="s">
        <v>672</v>
      </c>
      <c r="C43" s="11"/>
      <c r="D43" s="11"/>
      <c r="E43" s="11" t="s">
        <v>540</v>
      </c>
      <c r="F43" s="11"/>
      <c r="G43" s="11" t="s">
        <v>58</v>
      </c>
      <c r="H43" s="11"/>
      <c r="I43" s="11" t="s">
        <v>70</v>
      </c>
      <c r="J43" s="11" t="s">
        <v>326</v>
      </c>
      <c r="K43" s="11" t="s">
        <v>121</v>
      </c>
      <c r="L43" s="11" t="s">
        <v>68</v>
      </c>
      <c r="M43" s="11">
        <v>10</v>
      </c>
      <c r="N43" s="11" t="s">
        <v>300</v>
      </c>
      <c r="O43" s="11">
        <v>131.66999999999999</v>
      </c>
      <c r="P43" s="11">
        <f>(30*15)*M43</f>
        <v>4500</v>
      </c>
      <c r="Q43" s="11">
        <f>((30-2*0.35)*(15-2*0.35))*M43</f>
        <v>4189.8999999999996</v>
      </c>
      <c r="R43" s="11">
        <f t="shared" si="2"/>
        <v>31.821219715956559</v>
      </c>
      <c r="S43" s="11" t="s">
        <v>67</v>
      </c>
      <c r="T43" s="11"/>
      <c r="U43" s="11">
        <v>10800</v>
      </c>
      <c r="V43" s="11" t="s">
        <v>244</v>
      </c>
      <c r="W43" s="54">
        <f t="shared" si="3"/>
        <v>2.5776271510059909</v>
      </c>
      <c r="X43" s="11">
        <v>4</v>
      </c>
      <c r="Y43" s="60"/>
      <c r="Z43" s="54"/>
      <c r="AA43" s="36"/>
    </row>
    <row r="44" spans="1:27" ht="40.049999999999997" customHeight="1" x14ac:dyDescent="0.3">
      <c r="A44" s="10">
        <v>1</v>
      </c>
      <c r="B44" s="11" t="s">
        <v>672</v>
      </c>
      <c r="C44" s="11"/>
      <c r="D44" s="11"/>
      <c r="E44" s="11" t="s">
        <v>540</v>
      </c>
      <c r="F44" s="11"/>
      <c r="G44" s="11" t="s">
        <v>58</v>
      </c>
      <c r="H44" s="11"/>
      <c r="I44" s="11" t="s">
        <v>70</v>
      </c>
      <c r="J44" s="11" t="s">
        <v>327</v>
      </c>
      <c r="K44" s="11" t="s">
        <v>76</v>
      </c>
      <c r="L44" s="11">
        <v>1970</v>
      </c>
      <c r="M44" s="11">
        <v>10</v>
      </c>
      <c r="N44" s="11" t="s">
        <v>157</v>
      </c>
      <c r="O44" s="11">
        <v>131.66999999999999</v>
      </c>
      <c r="P44" s="11">
        <f>(30*15)*M44</f>
        <v>4500</v>
      </c>
      <c r="Q44" s="11">
        <f>((30-2*0.3)*(15-2*0.3))*M44</f>
        <v>4233.6000000000004</v>
      </c>
      <c r="R44" s="11">
        <f t="shared" si="2"/>
        <v>32.153110047846894</v>
      </c>
      <c r="S44" s="11" t="s">
        <v>65</v>
      </c>
      <c r="T44" s="11"/>
      <c r="U44" s="11">
        <f>1440000+864000+518400+172800+1036800+288000+172800+108000+230400</f>
        <v>4831200</v>
      </c>
      <c r="V44" s="11" t="s">
        <v>244</v>
      </c>
      <c r="W44" s="54">
        <f t="shared" si="3"/>
        <v>1141.156462585034</v>
      </c>
      <c r="X44" s="11">
        <v>4</v>
      </c>
      <c r="Y44" s="60"/>
      <c r="Z44" s="54"/>
      <c r="AA44" s="36"/>
    </row>
    <row r="45" spans="1:27" ht="40.049999999999997" customHeight="1" x14ac:dyDescent="0.3">
      <c r="A45" s="10">
        <v>1</v>
      </c>
      <c r="B45" s="11" t="s">
        <v>672</v>
      </c>
      <c r="C45" s="11"/>
      <c r="D45" s="11"/>
      <c r="E45" s="11" t="s">
        <v>541</v>
      </c>
      <c r="F45" s="11"/>
      <c r="G45" s="11" t="s">
        <v>58</v>
      </c>
      <c r="H45" s="11"/>
      <c r="I45" s="11" t="s">
        <v>391</v>
      </c>
      <c r="J45" s="11" t="s">
        <v>328</v>
      </c>
      <c r="K45" s="11" t="s">
        <v>119</v>
      </c>
      <c r="L45" s="11" t="s">
        <v>116</v>
      </c>
      <c r="M45" s="11">
        <v>2</v>
      </c>
      <c r="N45" s="11" t="s">
        <v>156</v>
      </c>
      <c r="O45" s="11">
        <v>3.7</v>
      </c>
      <c r="P45" s="11">
        <f t="shared" ref="P45:P63" si="9">(10*9)*M45</f>
        <v>180</v>
      </c>
      <c r="Q45" s="11">
        <f>((10-2*0.5)*(9-2*0.5))*M45</f>
        <v>144</v>
      </c>
      <c r="R45" s="11">
        <f t="shared" si="2"/>
        <v>38.918918918918919</v>
      </c>
      <c r="S45" s="11" t="s">
        <v>67</v>
      </c>
      <c r="T45" s="11"/>
      <c r="U45" s="11">
        <f>400+1750+250+2500+2484+1250+1242</f>
        <v>9876</v>
      </c>
      <c r="V45" s="11" t="s">
        <v>244</v>
      </c>
      <c r="W45" s="54">
        <f t="shared" si="3"/>
        <v>68.583333333333329</v>
      </c>
      <c r="X45" s="11">
        <v>1</v>
      </c>
      <c r="Y45" s="60"/>
      <c r="Z45" s="54"/>
      <c r="AA45" s="36"/>
    </row>
    <row r="46" spans="1:27" ht="40.049999999999997" customHeight="1" x14ac:dyDescent="0.3">
      <c r="A46" s="10">
        <v>1</v>
      </c>
      <c r="B46" s="11" t="s">
        <v>672</v>
      </c>
      <c r="C46" s="11"/>
      <c r="D46" s="11"/>
      <c r="E46" s="11" t="s">
        <v>541</v>
      </c>
      <c r="F46" s="11"/>
      <c r="G46" s="11" t="s">
        <v>58</v>
      </c>
      <c r="H46" s="11"/>
      <c r="I46" s="11" t="s">
        <v>391</v>
      </c>
      <c r="J46" s="11" t="s">
        <v>329</v>
      </c>
      <c r="K46" s="11" t="s">
        <v>155</v>
      </c>
      <c r="L46" s="11" t="s">
        <v>140</v>
      </c>
      <c r="M46" s="11">
        <v>2</v>
      </c>
      <c r="N46" s="11" t="s">
        <v>154</v>
      </c>
      <c r="O46" s="11">
        <v>3.7</v>
      </c>
      <c r="P46" s="11">
        <f t="shared" si="9"/>
        <v>180</v>
      </c>
      <c r="Q46" s="11">
        <f>((10-2*0.5)*(9-2*0.5))*M46</f>
        <v>144</v>
      </c>
      <c r="R46" s="11">
        <f t="shared" si="2"/>
        <v>38.918918918918919</v>
      </c>
      <c r="S46" s="11" t="s">
        <v>67</v>
      </c>
      <c r="T46" s="11"/>
      <c r="U46" s="11">
        <f>400+1750+250+2700+2500+2484+1250+1242</f>
        <v>12576</v>
      </c>
      <c r="V46" s="11" t="s">
        <v>244</v>
      </c>
      <c r="W46" s="54">
        <f t="shared" si="3"/>
        <v>87.333333333333329</v>
      </c>
      <c r="X46" s="11">
        <v>1</v>
      </c>
      <c r="Y46" s="60"/>
      <c r="Z46" s="54"/>
      <c r="AA46" s="36"/>
    </row>
    <row r="47" spans="1:27" ht="40.049999999999997" customHeight="1" x14ac:dyDescent="0.3">
      <c r="A47" s="10">
        <v>1</v>
      </c>
      <c r="B47" s="11" t="s">
        <v>672</v>
      </c>
      <c r="C47" s="11"/>
      <c r="D47" s="11"/>
      <c r="E47" s="11" t="s">
        <v>541</v>
      </c>
      <c r="F47" s="11"/>
      <c r="G47" s="11" t="s">
        <v>58</v>
      </c>
      <c r="H47" s="11"/>
      <c r="I47" s="11" t="s">
        <v>391</v>
      </c>
      <c r="J47" s="11" t="s">
        <v>330</v>
      </c>
      <c r="K47" s="11" t="s">
        <v>153</v>
      </c>
      <c r="L47" s="11" t="s">
        <v>140</v>
      </c>
      <c r="M47" s="11">
        <v>1</v>
      </c>
      <c r="N47" s="11" t="s">
        <v>152</v>
      </c>
      <c r="O47" s="11">
        <v>3.7</v>
      </c>
      <c r="P47" s="11">
        <f t="shared" si="9"/>
        <v>90</v>
      </c>
      <c r="Q47" s="11">
        <f>((10-2*0.32)*(9-2*0.32))*M47</f>
        <v>78.249599999999987</v>
      </c>
      <c r="R47" s="11">
        <f t="shared" si="2"/>
        <v>21.148540540540537</v>
      </c>
      <c r="S47" s="11" t="s">
        <v>67</v>
      </c>
      <c r="T47" s="11"/>
      <c r="U47" s="11">
        <f>3200+1600+400+1750+250+2700+2500+2484+1250+1242</f>
        <v>17376</v>
      </c>
      <c r="V47" s="11" t="s">
        <v>244</v>
      </c>
      <c r="W47" s="54">
        <f t="shared" si="3"/>
        <v>222.05864311127473</v>
      </c>
      <c r="X47" s="11">
        <v>1</v>
      </c>
      <c r="Y47" s="60"/>
      <c r="Z47" s="54"/>
      <c r="AA47" s="36"/>
    </row>
    <row r="48" spans="1:27" ht="40.049999999999997" customHeight="1" x14ac:dyDescent="0.3">
      <c r="A48" s="10">
        <v>1</v>
      </c>
      <c r="B48" s="11" t="s">
        <v>672</v>
      </c>
      <c r="C48" s="11"/>
      <c r="D48" s="11"/>
      <c r="E48" s="11" t="s">
        <v>541</v>
      </c>
      <c r="F48" s="11"/>
      <c r="G48" s="11" t="s">
        <v>58</v>
      </c>
      <c r="H48" s="11"/>
      <c r="I48" s="11" t="s">
        <v>391</v>
      </c>
      <c r="J48" s="11" t="s">
        <v>331</v>
      </c>
      <c r="K48" s="11" t="s">
        <v>151</v>
      </c>
      <c r="L48" s="11" t="s">
        <v>111</v>
      </c>
      <c r="M48" s="11">
        <v>1</v>
      </c>
      <c r="N48" s="11" t="s">
        <v>150</v>
      </c>
      <c r="O48" s="11">
        <v>3.8</v>
      </c>
      <c r="P48" s="11">
        <f t="shared" si="9"/>
        <v>90</v>
      </c>
      <c r="Q48" s="11">
        <f>((10-2*0.3)*(9-2*0.3))*M48</f>
        <v>78.960000000000008</v>
      </c>
      <c r="R48" s="11">
        <f t="shared" si="2"/>
        <v>20.778947368421054</v>
      </c>
      <c r="S48" s="11" t="s">
        <v>65</v>
      </c>
      <c r="T48" s="11"/>
      <c r="U48" s="11">
        <f>17280+38400+34560+21600+30000</f>
        <v>141840</v>
      </c>
      <c r="V48" s="11" t="s">
        <v>244</v>
      </c>
      <c r="W48" s="54">
        <f t="shared" si="3"/>
        <v>1796.352583586626</v>
      </c>
      <c r="X48" s="11">
        <v>1</v>
      </c>
      <c r="Y48" s="60"/>
      <c r="Z48" s="54"/>
      <c r="AA48" s="36"/>
    </row>
    <row r="49" spans="1:27" ht="40.049999999999997" customHeight="1" x14ac:dyDescent="0.3">
      <c r="A49" s="10">
        <v>1</v>
      </c>
      <c r="B49" s="11" t="s">
        <v>672</v>
      </c>
      <c r="C49" s="11"/>
      <c r="D49" s="11"/>
      <c r="E49" s="11" t="s">
        <v>541</v>
      </c>
      <c r="F49" s="11"/>
      <c r="G49" s="11" t="s">
        <v>58</v>
      </c>
      <c r="H49" s="11"/>
      <c r="I49" s="11" t="s">
        <v>391</v>
      </c>
      <c r="J49" s="11" t="s">
        <v>331</v>
      </c>
      <c r="K49" s="11" t="s">
        <v>151</v>
      </c>
      <c r="L49" s="11" t="s">
        <v>111</v>
      </c>
      <c r="M49" s="11">
        <v>1</v>
      </c>
      <c r="N49" s="11" t="s">
        <v>150</v>
      </c>
      <c r="O49" s="11">
        <v>3.8</v>
      </c>
      <c r="P49" s="11">
        <f t="shared" si="9"/>
        <v>90</v>
      </c>
      <c r="Q49" s="11">
        <f>((10-2*0.3)*(9-2*0.3))*M49</f>
        <v>78.960000000000008</v>
      </c>
      <c r="R49" s="11">
        <f t="shared" si="2"/>
        <v>20.778947368421054</v>
      </c>
      <c r="S49" s="11" t="s">
        <v>67</v>
      </c>
      <c r="T49" s="11"/>
      <c r="U49" s="11">
        <f>400+1750+250</f>
        <v>2400</v>
      </c>
      <c r="V49" s="11" t="s">
        <v>244</v>
      </c>
      <c r="W49" s="54">
        <f t="shared" si="3"/>
        <v>30.3951367781155</v>
      </c>
      <c r="X49" s="11">
        <v>1</v>
      </c>
      <c r="Y49" s="60"/>
      <c r="Z49" s="54"/>
      <c r="AA49" s="36"/>
    </row>
    <row r="50" spans="1:27" ht="40.049999999999997" customHeight="1" x14ac:dyDescent="0.3">
      <c r="A50" s="10">
        <v>1</v>
      </c>
      <c r="B50" s="11" t="s">
        <v>672</v>
      </c>
      <c r="C50" s="11"/>
      <c r="D50" s="11"/>
      <c r="E50" s="11" t="s">
        <v>541</v>
      </c>
      <c r="F50" s="11"/>
      <c r="G50" s="11" t="s">
        <v>58</v>
      </c>
      <c r="H50" s="11"/>
      <c r="I50" s="11" t="s">
        <v>391</v>
      </c>
      <c r="J50" s="11" t="s">
        <v>332</v>
      </c>
      <c r="K50" s="11" t="s">
        <v>110</v>
      </c>
      <c r="L50" s="11" t="s">
        <v>93</v>
      </c>
      <c r="M50" s="11">
        <v>1</v>
      </c>
      <c r="N50" s="11" t="s">
        <v>149</v>
      </c>
      <c r="O50" s="11">
        <v>3.7</v>
      </c>
      <c r="P50" s="11">
        <f t="shared" si="9"/>
        <v>90</v>
      </c>
      <c r="Q50" s="11">
        <f>((10-2*0.35)*(9-2*0.35))*M50</f>
        <v>77.190000000000012</v>
      </c>
      <c r="R50" s="11">
        <f t="shared" si="2"/>
        <v>20.862162162162164</v>
      </c>
      <c r="S50" s="11" t="s">
        <v>65</v>
      </c>
      <c r="T50" s="11"/>
      <c r="U50" s="11">
        <f>69120+38400+34560+21600+30000</f>
        <v>193680</v>
      </c>
      <c r="V50" s="11" t="s">
        <v>244</v>
      </c>
      <c r="W50" s="54">
        <f t="shared" si="3"/>
        <v>2509.1333074232411</v>
      </c>
      <c r="X50" s="11">
        <v>1</v>
      </c>
      <c r="Y50" s="60"/>
      <c r="Z50" s="54"/>
      <c r="AA50" s="36"/>
    </row>
    <row r="51" spans="1:27" ht="40.049999999999997" customHeight="1" x14ac:dyDescent="0.3">
      <c r="A51" s="10">
        <v>1</v>
      </c>
      <c r="B51" s="11" t="s">
        <v>672</v>
      </c>
      <c r="C51" s="11"/>
      <c r="D51" s="11"/>
      <c r="E51" s="11" t="s">
        <v>541</v>
      </c>
      <c r="F51" s="11"/>
      <c r="G51" s="11" t="s">
        <v>58</v>
      </c>
      <c r="H51" s="11"/>
      <c r="I51" s="11" t="s">
        <v>391</v>
      </c>
      <c r="J51" s="11" t="s">
        <v>332</v>
      </c>
      <c r="K51" s="11" t="s">
        <v>110</v>
      </c>
      <c r="L51" s="11" t="s">
        <v>93</v>
      </c>
      <c r="M51" s="11">
        <v>1</v>
      </c>
      <c r="N51" s="11" t="s">
        <v>149</v>
      </c>
      <c r="O51" s="11">
        <v>3.7</v>
      </c>
      <c r="P51" s="11">
        <f t="shared" si="9"/>
        <v>90</v>
      </c>
      <c r="Q51" s="11">
        <f>((10-2*0.35)*(9-2*0.35))*M51</f>
        <v>77.190000000000012</v>
      </c>
      <c r="R51" s="11">
        <f t="shared" si="2"/>
        <v>20.862162162162164</v>
      </c>
      <c r="S51" s="11" t="s">
        <v>67</v>
      </c>
      <c r="T51" s="11"/>
      <c r="U51" s="11">
        <f>400+1750+250</f>
        <v>2400</v>
      </c>
      <c r="V51" s="11" t="s">
        <v>244</v>
      </c>
      <c r="W51" s="54">
        <f t="shared" si="3"/>
        <v>31.092110376991833</v>
      </c>
      <c r="X51" s="11">
        <v>1</v>
      </c>
      <c r="Y51" s="60"/>
      <c r="Z51" s="54"/>
      <c r="AA51" s="36"/>
    </row>
    <row r="52" spans="1:27" ht="40.049999999999997" customHeight="1" x14ac:dyDescent="0.3">
      <c r="A52" s="10">
        <v>1</v>
      </c>
      <c r="B52" s="11" t="s">
        <v>672</v>
      </c>
      <c r="C52" s="11"/>
      <c r="D52" s="11"/>
      <c r="E52" s="11" t="s">
        <v>541</v>
      </c>
      <c r="F52" s="11"/>
      <c r="G52" s="11" t="s">
        <v>58</v>
      </c>
      <c r="H52" s="11"/>
      <c r="I52" s="11" t="s">
        <v>391</v>
      </c>
      <c r="J52" s="11" t="s">
        <v>333</v>
      </c>
      <c r="K52" s="11" t="s">
        <v>110</v>
      </c>
      <c r="L52" s="11" t="s">
        <v>83</v>
      </c>
      <c r="M52" s="11">
        <v>1</v>
      </c>
      <c r="N52" s="11" t="s">
        <v>148</v>
      </c>
      <c r="O52" s="11">
        <v>3.7</v>
      </c>
      <c r="P52" s="11">
        <f t="shared" si="9"/>
        <v>90</v>
      </c>
      <c r="Q52" s="11">
        <f t="shared" ref="Q52:Q55" si="10">((10-2*0.25)*(9-2*0.25))*M52</f>
        <v>80.75</v>
      </c>
      <c r="R52" s="11">
        <f t="shared" si="2"/>
        <v>21.824324324324323</v>
      </c>
      <c r="S52" s="11" t="s">
        <v>65</v>
      </c>
      <c r="T52" s="11"/>
      <c r="U52" s="11">
        <f>69120+38400+34560+21600+30000</f>
        <v>193680</v>
      </c>
      <c r="V52" s="11" t="s">
        <v>244</v>
      </c>
      <c r="W52" s="54">
        <f t="shared" si="3"/>
        <v>2398.5139318885449</v>
      </c>
      <c r="X52" s="11">
        <v>1</v>
      </c>
      <c r="Y52" s="60"/>
      <c r="Z52" s="54"/>
      <c r="AA52" s="36"/>
    </row>
    <row r="53" spans="1:27" ht="40.049999999999997" customHeight="1" x14ac:dyDescent="0.3">
      <c r="A53" s="10">
        <v>1</v>
      </c>
      <c r="B53" s="11" t="s">
        <v>672</v>
      </c>
      <c r="C53" s="11"/>
      <c r="D53" s="11"/>
      <c r="E53" s="11" t="s">
        <v>541</v>
      </c>
      <c r="F53" s="11"/>
      <c r="G53" s="11" t="s">
        <v>58</v>
      </c>
      <c r="H53" s="11"/>
      <c r="I53" s="11" t="s">
        <v>391</v>
      </c>
      <c r="J53" s="11" t="s">
        <v>333</v>
      </c>
      <c r="K53" s="11" t="s">
        <v>110</v>
      </c>
      <c r="L53" s="11" t="s">
        <v>83</v>
      </c>
      <c r="M53" s="11">
        <v>1</v>
      </c>
      <c r="N53" s="11" t="s">
        <v>148</v>
      </c>
      <c r="O53" s="11">
        <v>3.7</v>
      </c>
      <c r="P53" s="11">
        <f t="shared" si="9"/>
        <v>90</v>
      </c>
      <c r="Q53" s="11">
        <f t="shared" si="10"/>
        <v>80.75</v>
      </c>
      <c r="R53" s="11">
        <f t="shared" si="2"/>
        <v>21.824324324324323</v>
      </c>
      <c r="S53" s="11" t="s">
        <v>67</v>
      </c>
      <c r="T53" s="11"/>
      <c r="U53" s="11">
        <f>400+1750</f>
        <v>2150</v>
      </c>
      <c r="V53" s="11" t="s">
        <v>244</v>
      </c>
      <c r="W53" s="54">
        <f t="shared" si="3"/>
        <v>26.625386996904023</v>
      </c>
      <c r="X53" s="11">
        <v>1</v>
      </c>
      <c r="Y53" s="60"/>
      <c r="Z53" s="54"/>
      <c r="AA53" s="36"/>
    </row>
    <row r="54" spans="1:27" ht="40.049999999999997" customHeight="1" x14ac:dyDescent="0.3">
      <c r="A54" s="10">
        <v>1</v>
      </c>
      <c r="B54" s="11" t="s">
        <v>672</v>
      </c>
      <c r="C54" s="11"/>
      <c r="D54" s="11"/>
      <c r="E54" s="11" t="s">
        <v>541</v>
      </c>
      <c r="F54" s="11"/>
      <c r="G54" s="11" t="s">
        <v>58</v>
      </c>
      <c r="H54" s="11"/>
      <c r="I54" s="11" t="s">
        <v>391</v>
      </c>
      <c r="J54" s="11" t="s">
        <v>334</v>
      </c>
      <c r="K54" s="11" t="s">
        <v>108</v>
      </c>
      <c r="L54" s="11" t="s">
        <v>68</v>
      </c>
      <c r="M54" s="11">
        <v>1</v>
      </c>
      <c r="N54" s="11" t="s">
        <v>147</v>
      </c>
      <c r="O54" s="11">
        <v>3.7</v>
      </c>
      <c r="P54" s="11">
        <f t="shared" si="9"/>
        <v>90</v>
      </c>
      <c r="Q54" s="11">
        <f t="shared" si="10"/>
        <v>80.75</v>
      </c>
      <c r="R54" s="11">
        <f t="shared" si="2"/>
        <v>21.824324324324323</v>
      </c>
      <c r="S54" s="11" t="s">
        <v>65</v>
      </c>
      <c r="T54" s="11"/>
      <c r="U54" s="11">
        <f>69120+38400+34560+21600+30000</f>
        <v>193680</v>
      </c>
      <c r="V54" s="11" t="s">
        <v>244</v>
      </c>
      <c r="W54" s="54">
        <f t="shared" si="3"/>
        <v>2398.5139318885449</v>
      </c>
      <c r="X54" s="11">
        <v>1</v>
      </c>
      <c r="Y54" s="60"/>
      <c r="Z54" s="54"/>
      <c r="AA54" s="36"/>
    </row>
    <row r="55" spans="1:27" ht="40.049999999999997" customHeight="1" x14ac:dyDescent="0.3">
      <c r="A55" s="10">
        <v>1</v>
      </c>
      <c r="B55" s="11" t="s">
        <v>672</v>
      </c>
      <c r="C55" s="11"/>
      <c r="D55" s="11"/>
      <c r="E55" s="11" t="s">
        <v>541</v>
      </c>
      <c r="F55" s="11"/>
      <c r="G55" s="11" t="s">
        <v>58</v>
      </c>
      <c r="H55" s="11"/>
      <c r="I55" s="11" t="s">
        <v>391</v>
      </c>
      <c r="J55" s="11" t="s">
        <v>334</v>
      </c>
      <c r="K55" s="11" t="s">
        <v>108</v>
      </c>
      <c r="L55" s="11" t="s">
        <v>68</v>
      </c>
      <c r="M55" s="11">
        <v>1</v>
      </c>
      <c r="N55" s="11" t="s">
        <v>147</v>
      </c>
      <c r="O55" s="11">
        <v>3.7</v>
      </c>
      <c r="P55" s="11">
        <f t="shared" si="9"/>
        <v>90</v>
      </c>
      <c r="Q55" s="11">
        <f t="shared" si="10"/>
        <v>80.75</v>
      </c>
      <c r="R55" s="11">
        <f t="shared" si="2"/>
        <v>21.824324324324323</v>
      </c>
      <c r="S55" s="11" t="s">
        <v>67</v>
      </c>
      <c r="T55" s="11"/>
      <c r="U55" s="11">
        <f>400+1750+250</f>
        <v>2400</v>
      </c>
      <c r="V55" s="11" t="s">
        <v>244</v>
      </c>
      <c r="W55" s="54">
        <f t="shared" si="3"/>
        <v>29.721362229102166</v>
      </c>
      <c r="X55" s="11">
        <v>1</v>
      </c>
      <c r="Y55" s="60"/>
      <c r="Z55" s="54"/>
      <c r="AA55" s="36"/>
    </row>
    <row r="56" spans="1:27" ht="40.049999999999997" customHeight="1" x14ac:dyDescent="0.3">
      <c r="A56" s="10">
        <v>1</v>
      </c>
      <c r="B56" s="11" t="s">
        <v>672</v>
      </c>
      <c r="C56" s="11"/>
      <c r="D56" s="11"/>
      <c r="E56" s="11" t="s">
        <v>541</v>
      </c>
      <c r="F56" s="11"/>
      <c r="G56" s="11" t="s">
        <v>58</v>
      </c>
      <c r="H56" s="11"/>
      <c r="I56" s="11" t="s">
        <v>391</v>
      </c>
      <c r="J56" s="11" t="s">
        <v>335</v>
      </c>
      <c r="K56" s="11" t="s">
        <v>146</v>
      </c>
      <c r="L56" s="11" t="s">
        <v>87</v>
      </c>
      <c r="M56" s="11">
        <v>1</v>
      </c>
      <c r="N56" s="11" t="s">
        <v>145</v>
      </c>
      <c r="O56" s="11">
        <v>3.7</v>
      </c>
      <c r="P56" s="11">
        <f t="shared" si="9"/>
        <v>90</v>
      </c>
      <c r="Q56" s="11">
        <f t="shared" ref="Q56:Q59" si="11">((10-2*0.2)*(9-2*0.2))*M56</f>
        <v>82.559999999999988</v>
      </c>
      <c r="R56" s="11">
        <f t="shared" si="2"/>
        <v>22.313513513513509</v>
      </c>
      <c r="S56" s="11" t="s">
        <v>65</v>
      </c>
      <c r="T56" s="11"/>
      <c r="U56" s="11">
        <f>69120+38400+34560+21600+30000</f>
        <v>193680</v>
      </c>
      <c r="V56" s="11" t="s">
        <v>244</v>
      </c>
      <c r="W56" s="54">
        <f t="shared" si="3"/>
        <v>2345.9302325581398</v>
      </c>
      <c r="X56" s="11">
        <v>1</v>
      </c>
      <c r="Y56" s="60"/>
      <c r="Z56" s="54"/>
      <c r="AA56" s="36"/>
    </row>
    <row r="57" spans="1:27" ht="40.049999999999997" customHeight="1" x14ac:dyDescent="0.3">
      <c r="A57" s="10">
        <v>1</v>
      </c>
      <c r="B57" s="11" t="s">
        <v>672</v>
      </c>
      <c r="C57" s="11"/>
      <c r="D57" s="11"/>
      <c r="E57" s="11" t="s">
        <v>541</v>
      </c>
      <c r="F57" s="11"/>
      <c r="G57" s="11" t="s">
        <v>58</v>
      </c>
      <c r="H57" s="11"/>
      <c r="I57" s="11" t="s">
        <v>391</v>
      </c>
      <c r="J57" s="11" t="s">
        <v>335</v>
      </c>
      <c r="K57" s="11" t="s">
        <v>146</v>
      </c>
      <c r="L57" s="11" t="s">
        <v>87</v>
      </c>
      <c r="M57" s="11">
        <v>1</v>
      </c>
      <c r="N57" s="11" t="s">
        <v>145</v>
      </c>
      <c r="O57" s="11">
        <v>3.7</v>
      </c>
      <c r="P57" s="11">
        <f t="shared" si="9"/>
        <v>90</v>
      </c>
      <c r="Q57" s="11">
        <f t="shared" si="11"/>
        <v>82.559999999999988</v>
      </c>
      <c r="R57" s="11">
        <f t="shared" si="2"/>
        <v>22.313513513513509</v>
      </c>
      <c r="S57" s="11" t="s">
        <v>67</v>
      </c>
      <c r="T57" s="11"/>
      <c r="U57" s="11">
        <f>400+1750+250</f>
        <v>2400</v>
      </c>
      <c r="V57" s="11" t="s">
        <v>244</v>
      </c>
      <c r="W57" s="54">
        <f t="shared" si="3"/>
        <v>29.069767441860471</v>
      </c>
      <c r="X57" s="11">
        <v>1</v>
      </c>
      <c r="Y57" s="60"/>
      <c r="Z57" s="54"/>
      <c r="AA57" s="36"/>
    </row>
    <row r="58" spans="1:27" ht="40.049999999999997" customHeight="1" x14ac:dyDescent="0.3">
      <c r="A58" s="10">
        <v>1</v>
      </c>
      <c r="B58" s="11" t="s">
        <v>672</v>
      </c>
      <c r="C58" s="11"/>
      <c r="D58" s="11"/>
      <c r="E58" s="11" t="s">
        <v>541</v>
      </c>
      <c r="F58" s="11"/>
      <c r="G58" s="11" t="s">
        <v>58</v>
      </c>
      <c r="H58" s="11"/>
      <c r="I58" s="11" t="s">
        <v>391</v>
      </c>
      <c r="J58" s="11" t="s">
        <v>336</v>
      </c>
      <c r="K58" s="11" t="s">
        <v>144</v>
      </c>
      <c r="L58" s="11" t="s">
        <v>68</v>
      </c>
      <c r="M58" s="11">
        <v>1</v>
      </c>
      <c r="N58" s="11" t="s">
        <v>299</v>
      </c>
      <c r="O58" s="11">
        <v>3.7</v>
      </c>
      <c r="P58" s="11">
        <f t="shared" si="9"/>
        <v>90</v>
      </c>
      <c r="Q58" s="11">
        <f t="shared" si="11"/>
        <v>82.559999999999988</v>
      </c>
      <c r="R58" s="11">
        <f t="shared" si="2"/>
        <v>22.313513513513509</v>
      </c>
      <c r="S58" s="11" t="s">
        <v>65</v>
      </c>
      <c r="T58" s="11"/>
      <c r="U58" s="11">
        <f>69120+38400+34560+21600+30000</f>
        <v>193680</v>
      </c>
      <c r="V58" s="11" t="s">
        <v>244</v>
      </c>
      <c r="W58" s="54">
        <f t="shared" si="3"/>
        <v>2345.9302325581398</v>
      </c>
      <c r="X58" s="11">
        <v>1</v>
      </c>
      <c r="Y58" s="60"/>
      <c r="Z58" s="54"/>
      <c r="AA58" s="36"/>
    </row>
    <row r="59" spans="1:27" ht="40.049999999999997" customHeight="1" x14ac:dyDescent="0.3">
      <c r="A59" s="10">
        <v>1</v>
      </c>
      <c r="B59" s="11" t="s">
        <v>672</v>
      </c>
      <c r="C59" s="11"/>
      <c r="D59" s="11"/>
      <c r="E59" s="11" t="s">
        <v>541</v>
      </c>
      <c r="F59" s="11"/>
      <c r="G59" s="11" t="s">
        <v>58</v>
      </c>
      <c r="H59" s="11"/>
      <c r="I59" s="11" t="s">
        <v>391</v>
      </c>
      <c r="J59" s="11" t="s">
        <v>336</v>
      </c>
      <c r="K59" s="11" t="s">
        <v>144</v>
      </c>
      <c r="L59" s="11" t="s">
        <v>68</v>
      </c>
      <c r="M59" s="11">
        <v>1</v>
      </c>
      <c r="N59" s="11" t="s">
        <v>299</v>
      </c>
      <c r="O59" s="11">
        <v>3.7</v>
      </c>
      <c r="P59" s="11">
        <f t="shared" si="9"/>
        <v>90</v>
      </c>
      <c r="Q59" s="11">
        <f t="shared" si="11"/>
        <v>82.559999999999988</v>
      </c>
      <c r="R59" s="11">
        <f t="shared" si="2"/>
        <v>22.313513513513509</v>
      </c>
      <c r="S59" s="11" t="s">
        <v>67</v>
      </c>
      <c r="T59" s="11"/>
      <c r="U59" s="11">
        <f>400+1750+250</f>
        <v>2400</v>
      </c>
      <c r="V59" s="11" t="s">
        <v>244</v>
      </c>
      <c r="W59" s="54">
        <f t="shared" si="3"/>
        <v>29.069767441860471</v>
      </c>
      <c r="X59" s="11">
        <v>1</v>
      </c>
      <c r="Y59" s="60"/>
      <c r="Z59" s="54"/>
      <c r="AA59" s="36"/>
    </row>
    <row r="60" spans="1:27" ht="40.049999999999997" customHeight="1" x14ac:dyDescent="0.3">
      <c r="A60" s="10">
        <v>1</v>
      </c>
      <c r="B60" s="11" t="s">
        <v>672</v>
      </c>
      <c r="C60" s="11"/>
      <c r="D60" s="11"/>
      <c r="E60" s="11" t="s">
        <v>541</v>
      </c>
      <c r="F60" s="11"/>
      <c r="G60" s="11" t="s">
        <v>58</v>
      </c>
      <c r="H60" s="11"/>
      <c r="I60" s="11" t="s">
        <v>391</v>
      </c>
      <c r="J60" s="11" t="s">
        <v>337</v>
      </c>
      <c r="K60" s="11" t="s">
        <v>107</v>
      </c>
      <c r="L60" s="11" t="s">
        <v>83</v>
      </c>
      <c r="M60" s="11">
        <v>1</v>
      </c>
      <c r="N60" s="11" t="s">
        <v>133</v>
      </c>
      <c r="O60" s="11">
        <v>3.6</v>
      </c>
      <c r="P60" s="11">
        <f t="shared" si="9"/>
        <v>90</v>
      </c>
      <c r="Q60" s="11">
        <f t="shared" ref="Q60:Q63" si="12">((10-2*0.16)*(9-2*0.16))*M60</f>
        <v>84.02239999999999</v>
      </c>
      <c r="R60" s="11">
        <f t="shared" si="2"/>
        <v>23.339555555555553</v>
      </c>
      <c r="S60" s="11" t="s">
        <v>65</v>
      </c>
      <c r="T60" s="11"/>
      <c r="U60" s="11">
        <f>38400+34560+21600+30000</f>
        <v>124560</v>
      </c>
      <c r="V60" s="11" t="s">
        <v>244</v>
      </c>
      <c r="W60" s="54">
        <f t="shared" si="3"/>
        <v>1482.4618197052216</v>
      </c>
      <c r="X60" s="11">
        <v>1</v>
      </c>
      <c r="Y60" s="60"/>
      <c r="Z60" s="54"/>
      <c r="AA60" s="36"/>
    </row>
    <row r="61" spans="1:27" ht="40.049999999999997" customHeight="1" x14ac:dyDescent="0.3">
      <c r="A61" s="10">
        <v>1</v>
      </c>
      <c r="B61" s="11" t="s">
        <v>672</v>
      </c>
      <c r="C61" s="11"/>
      <c r="D61" s="11"/>
      <c r="E61" s="11" t="s">
        <v>541</v>
      </c>
      <c r="F61" s="11"/>
      <c r="G61" s="11" t="s">
        <v>58</v>
      </c>
      <c r="H61" s="11"/>
      <c r="I61" s="11" t="s">
        <v>391</v>
      </c>
      <c r="J61" s="11" t="s">
        <v>337</v>
      </c>
      <c r="K61" s="11" t="s">
        <v>107</v>
      </c>
      <c r="L61" s="11" t="s">
        <v>83</v>
      </c>
      <c r="M61" s="11">
        <v>1</v>
      </c>
      <c r="N61" s="11" t="s">
        <v>133</v>
      </c>
      <c r="O61" s="11">
        <v>3.6</v>
      </c>
      <c r="P61" s="11">
        <f t="shared" si="9"/>
        <v>90</v>
      </c>
      <c r="Q61" s="11">
        <f t="shared" si="12"/>
        <v>84.02239999999999</v>
      </c>
      <c r="R61" s="11">
        <f t="shared" si="2"/>
        <v>23.339555555555553</v>
      </c>
      <c r="S61" s="11" t="s">
        <v>67</v>
      </c>
      <c r="T61" s="11"/>
      <c r="U61" s="11">
        <f>3200+1600+400+1750+250+2700+2500+2484</f>
        <v>14884</v>
      </c>
      <c r="V61" s="11" t="s">
        <v>244</v>
      </c>
      <c r="W61" s="54">
        <f t="shared" si="3"/>
        <v>177.1432379936779</v>
      </c>
      <c r="X61" s="11">
        <v>1</v>
      </c>
      <c r="Y61" s="60"/>
      <c r="Z61" s="54"/>
      <c r="AA61" s="36"/>
    </row>
    <row r="62" spans="1:27" ht="40.049999999999997" customHeight="1" x14ac:dyDescent="0.3">
      <c r="A62" s="10">
        <v>1</v>
      </c>
      <c r="B62" s="11" t="s">
        <v>672</v>
      </c>
      <c r="C62" s="11"/>
      <c r="D62" s="11"/>
      <c r="E62" s="11" t="s">
        <v>541</v>
      </c>
      <c r="F62" s="11"/>
      <c r="G62" s="11" t="s">
        <v>58</v>
      </c>
      <c r="H62" s="11"/>
      <c r="I62" s="11" t="s">
        <v>391</v>
      </c>
      <c r="J62" s="11" t="s">
        <v>338</v>
      </c>
      <c r="K62" s="11" t="s">
        <v>105</v>
      </c>
      <c r="L62" s="11" t="s">
        <v>68</v>
      </c>
      <c r="M62" s="11">
        <v>1</v>
      </c>
      <c r="N62" s="11" t="s">
        <v>143</v>
      </c>
      <c r="O62" s="11">
        <v>3.7</v>
      </c>
      <c r="P62" s="11">
        <f t="shared" si="9"/>
        <v>90</v>
      </c>
      <c r="Q62" s="11">
        <f t="shared" si="12"/>
        <v>84.02239999999999</v>
      </c>
      <c r="R62" s="11">
        <f t="shared" si="2"/>
        <v>22.708756756756753</v>
      </c>
      <c r="S62" s="11" t="s">
        <v>65</v>
      </c>
      <c r="T62" s="11"/>
      <c r="U62" s="11">
        <f>38400+34560+21600+30000</f>
        <v>124560</v>
      </c>
      <c r="V62" s="11" t="s">
        <v>244</v>
      </c>
      <c r="W62" s="54">
        <f t="shared" si="3"/>
        <v>1482.4618197052216</v>
      </c>
      <c r="X62" s="11">
        <v>1</v>
      </c>
      <c r="Y62" s="60"/>
      <c r="Z62" s="54"/>
      <c r="AA62" s="36"/>
    </row>
    <row r="63" spans="1:27" ht="40.049999999999997" customHeight="1" x14ac:dyDescent="0.3">
      <c r="A63" s="10">
        <v>1</v>
      </c>
      <c r="B63" s="11" t="s">
        <v>672</v>
      </c>
      <c r="C63" s="11"/>
      <c r="D63" s="11"/>
      <c r="E63" s="11" t="s">
        <v>541</v>
      </c>
      <c r="F63" s="11"/>
      <c r="G63" s="11" t="s">
        <v>58</v>
      </c>
      <c r="H63" s="11"/>
      <c r="I63" s="11" t="s">
        <v>391</v>
      </c>
      <c r="J63" s="11" t="s">
        <v>338</v>
      </c>
      <c r="K63" s="11" t="s">
        <v>105</v>
      </c>
      <c r="L63" s="11" t="s">
        <v>68</v>
      </c>
      <c r="M63" s="11">
        <v>1</v>
      </c>
      <c r="N63" s="11" t="s">
        <v>143</v>
      </c>
      <c r="O63" s="11">
        <v>3.7</v>
      </c>
      <c r="P63" s="11">
        <f t="shared" si="9"/>
        <v>90</v>
      </c>
      <c r="Q63" s="11">
        <f t="shared" si="12"/>
        <v>84.02239999999999</v>
      </c>
      <c r="R63" s="11">
        <f t="shared" si="2"/>
        <v>22.708756756756753</v>
      </c>
      <c r="S63" s="11" t="s">
        <v>67</v>
      </c>
      <c r="T63" s="11"/>
      <c r="U63" s="11">
        <f>3200+1600+400+1750+250+2700+2500+2484</f>
        <v>14884</v>
      </c>
      <c r="V63" s="11" t="s">
        <v>244</v>
      </c>
      <c r="W63" s="54">
        <f t="shared" si="3"/>
        <v>177.1432379936779</v>
      </c>
      <c r="X63" s="11">
        <v>1</v>
      </c>
      <c r="Y63" s="60"/>
      <c r="Z63" s="54"/>
      <c r="AA63" s="36"/>
    </row>
    <row r="64" spans="1:27" ht="40.049999999999997" customHeight="1" x14ac:dyDescent="0.3">
      <c r="A64" s="10">
        <v>1</v>
      </c>
      <c r="B64" s="11" t="s">
        <v>672</v>
      </c>
      <c r="C64" s="11"/>
      <c r="D64" s="11"/>
      <c r="E64" s="11" t="s">
        <v>541</v>
      </c>
      <c r="F64" s="11"/>
      <c r="G64" s="11" t="s">
        <v>58</v>
      </c>
      <c r="H64" s="11"/>
      <c r="I64" s="11" t="s">
        <v>435</v>
      </c>
      <c r="J64" s="11" t="s">
        <v>339</v>
      </c>
      <c r="K64" s="11" t="s">
        <v>103</v>
      </c>
      <c r="L64" s="11" t="s">
        <v>116</v>
      </c>
      <c r="M64" s="11">
        <v>4</v>
      </c>
      <c r="N64" s="11" t="s">
        <v>142</v>
      </c>
      <c r="O64" s="11">
        <v>39.9</v>
      </c>
      <c r="P64" s="11">
        <f t="shared" ref="P64:P82" si="13">(32*12)*M64</f>
        <v>1536</v>
      </c>
      <c r="Q64" s="11">
        <f>((32-2*0.5)*(12-2*0.5))*M64</f>
        <v>1364</v>
      </c>
      <c r="R64" s="11">
        <f t="shared" si="2"/>
        <v>34.185463659147871</v>
      </c>
      <c r="S64" s="11" t="s">
        <v>67</v>
      </c>
      <c r="T64" s="11"/>
      <c r="U64" s="11">
        <f>7000+1250+22800+22000+20976+2500+5244</f>
        <v>81770</v>
      </c>
      <c r="V64" s="11" t="s">
        <v>244</v>
      </c>
      <c r="W64" s="54">
        <f t="shared" si="3"/>
        <v>59.948680351906155</v>
      </c>
      <c r="X64" s="11">
        <v>3</v>
      </c>
      <c r="Y64" s="60"/>
      <c r="Z64" s="54"/>
      <c r="AA64" s="36"/>
    </row>
    <row r="65" spans="1:27" ht="40.049999999999997" customHeight="1" x14ac:dyDescent="0.3">
      <c r="A65" s="10">
        <v>1</v>
      </c>
      <c r="B65" s="11" t="s">
        <v>672</v>
      </c>
      <c r="C65" s="11"/>
      <c r="D65" s="11"/>
      <c r="E65" s="11" t="s">
        <v>541</v>
      </c>
      <c r="F65" s="11"/>
      <c r="G65" s="11" t="s">
        <v>58</v>
      </c>
      <c r="H65" s="11"/>
      <c r="I65" s="11" t="s">
        <v>435</v>
      </c>
      <c r="J65" s="11" t="s">
        <v>340</v>
      </c>
      <c r="K65" s="11" t="s">
        <v>141</v>
      </c>
      <c r="L65" s="11" t="s">
        <v>140</v>
      </c>
      <c r="M65" s="11">
        <v>4</v>
      </c>
      <c r="N65" s="11" t="s">
        <v>139</v>
      </c>
      <c r="O65" s="11">
        <v>39.4</v>
      </c>
      <c r="P65" s="11">
        <f t="shared" si="13"/>
        <v>1536</v>
      </c>
      <c r="Q65" s="11">
        <f>((32-2*0.5)*(12-2*0.5))*M65</f>
        <v>1364</v>
      </c>
      <c r="R65" s="11">
        <f t="shared" si="2"/>
        <v>34.619289340101524</v>
      </c>
      <c r="S65" s="11" t="s">
        <v>67</v>
      </c>
      <c r="T65" s="11"/>
      <c r="U65" s="11">
        <f>5600+7000+1250+22800+22000+20976+2500+5244</f>
        <v>87370</v>
      </c>
      <c r="V65" s="11" t="s">
        <v>244</v>
      </c>
      <c r="W65" s="54">
        <f t="shared" si="3"/>
        <v>64.054252199413483</v>
      </c>
      <c r="X65" s="11">
        <v>3</v>
      </c>
      <c r="Y65" s="60"/>
      <c r="Z65" s="54"/>
      <c r="AA65" s="36"/>
    </row>
    <row r="66" spans="1:27" ht="40.049999999999997" customHeight="1" x14ac:dyDescent="0.3">
      <c r="A66" s="10">
        <v>1</v>
      </c>
      <c r="B66" s="11" t="s">
        <v>672</v>
      </c>
      <c r="C66" s="11"/>
      <c r="D66" s="11"/>
      <c r="E66" s="11" t="s">
        <v>541</v>
      </c>
      <c r="F66" s="11"/>
      <c r="G66" s="11" t="s">
        <v>58</v>
      </c>
      <c r="H66" s="11"/>
      <c r="I66" s="11" t="s">
        <v>435</v>
      </c>
      <c r="J66" s="11" t="s">
        <v>341</v>
      </c>
      <c r="K66" s="11" t="s">
        <v>138</v>
      </c>
      <c r="L66" s="11" t="s">
        <v>93</v>
      </c>
      <c r="M66" s="11">
        <v>4</v>
      </c>
      <c r="N66" s="11" t="s">
        <v>137</v>
      </c>
      <c r="O66" s="11">
        <v>39.9</v>
      </c>
      <c r="P66" s="11">
        <f t="shared" si="13"/>
        <v>1536</v>
      </c>
      <c r="Q66" s="11">
        <f>((32-2*0.35)*(12-2*0.35))*M66</f>
        <v>1414.7600000000002</v>
      </c>
      <c r="R66" s="11">
        <f t="shared" ref="R66:R129" si="14">Q66/O66</f>
        <v>35.457644110275695</v>
      </c>
      <c r="S66" s="11" t="s">
        <v>65</v>
      </c>
      <c r="T66" s="11"/>
      <c r="U66" s="11">
        <f>437760+259200+145920+91200+108000</f>
        <v>1042080</v>
      </c>
      <c r="V66" s="11" t="s">
        <v>244</v>
      </c>
      <c r="W66" s="54">
        <f t="shared" ref="W66:W129" si="15">U66/Q66</f>
        <v>736.57722864655477</v>
      </c>
      <c r="X66" s="11">
        <v>3</v>
      </c>
      <c r="Y66" s="60"/>
      <c r="Z66" s="54"/>
      <c r="AA66" s="36"/>
    </row>
    <row r="67" spans="1:27" ht="40.049999999999997" customHeight="1" x14ac:dyDescent="0.3">
      <c r="A67" s="10">
        <v>1</v>
      </c>
      <c r="B67" s="11" t="s">
        <v>672</v>
      </c>
      <c r="C67" s="11"/>
      <c r="D67" s="11"/>
      <c r="E67" s="11" t="s">
        <v>541</v>
      </c>
      <c r="F67" s="11"/>
      <c r="G67" s="11" t="s">
        <v>58</v>
      </c>
      <c r="H67" s="11"/>
      <c r="I67" s="11" t="s">
        <v>435</v>
      </c>
      <c r="J67" s="11" t="s">
        <v>341</v>
      </c>
      <c r="K67" s="11" t="s">
        <v>138</v>
      </c>
      <c r="L67" s="11" t="s">
        <v>93</v>
      </c>
      <c r="M67" s="11">
        <v>4</v>
      </c>
      <c r="N67" s="11" t="s">
        <v>137</v>
      </c>
      <c r="O67" s="11">
        <v>39.9</v>
      </c>
      <c r="P67" s="11">
        <f t="shared" si="13"/>
        <v>1536</v>
      </c>
      <c r="Q67" s="11">
        <f>((32-2*0.35)*(12-2*0.35))*M67</f>
        <v>1414.7600000000002</v>
      </c>
      <c r="R67" s="11">
        <f t="shared" si="14"/>
        <v>35.457644110275695</v>
      </c>
      <c r="S67" s="11" t="s">
        <v>67</v>
      </c>
      <c r="T67" s="11"/>
      <c r="U67" s="11">
        <f>5600+7000+1250</f>
        <v>13850</v>
      </c>
      <c r="V67" s="11" t="s">
        <v>244</v>
      </c>
      <c r="W67" s="54">
        <f t="shared" si="15"/>
        <v>9.7896463004325813</v>
      </c>
      <c r="X67" s="11">
        <v>3</v>
      </c>
      <c r="Y67" s="60"/>
      <c r="Z67" s="54"/>
      <c r="AA67" s="36"/>
    </row>
    <row r="68" spans="1:27" ht="40.049999999999997" customHeight="1" x14ac:dyDescent="0.3">
      <c r="A68" s="10">
        <v>1</v>
      </c>
      <c r="B68" s="11" t="s">
        <v>672</v>
      </c>
      <c r="C68" s="11"/>
      <c r="D68" s="11"/>
      <c r="E68" s="11" t="s">
        <v>541</v>
      </c>
      <c r="F68" s="11"/>
      <c r="G68" s="11" t="s">
        <v>58</v>
      </c>
      <c r="H68" s="11"/>
      <c r="I68" s="11" t="s">
        <v>435</v>
      </c>
      <c r="J68" s="11" t="s">
        <v>342</v>
      </c>
      <c r="K68" s="11" t="s">
        <v>94</v>
      </c>
      <c r="L68" s="11" t="s">
        <v>136</v>
      </c>
      <c r="M68" s="11">
        <v>4</v>
      </c>
      <c r="N68" s="11" t="s">
        <v>133</v>
      </c>
      <c r="O68" s="11">
        <v>39.700000000000003</v>
      </c>
      <c r="P68" s="11">
        <f t="shared" si="13"/>
        <v>1536</v>
      </c>
      <c r="Q68" s="11">
        <f>((32-2*0.3)*(12-2*0.3))*M68</f>
        <v>1431.84</v>
      </c>
      <c r="R68" s="11">
        <f t="shared" si="14"/>
        <v>36.066498740554152</v>
      </c>
      <c r="S68" s="11" t="s">
        <v>65</v>
      </c>
      <c r="T68" s="11"/>
      <c r="U68" s="11">
        <f>528000+437760+259200+145920+91200+108000</f>
        <v>1570080</v>
      </c>
      <c r="V68" s="11" t="s">
        <v>244</v>
      </c>
      <c r="W68" s="54">
        <f t="shared" si="15"/>
        <v>1096.547100234663</v>
      </c>
      <c r="X68" s="11">
        <v>3</v>
      </c>
      <c r="Y68" s="60"/>
      <c r="Z68" s="54"/>
      <c r="AA68" s="36"/>
    </row>
    <row r="69" spans="1:27" ht="40.049999999999997" customHeight="1" x14ac:dyDescent="0.3">
      <c r="A69" s="10">
        <v>1</v>
      </c>
      <c r="B69" s="11" t="s">
        <v>672</v>
      </c>
      <c r="C69" s="11"/>
      <c r="D69" s="11"/>
      <c r="E69" s="11" t="s">
        <v>541</v>
      </c>
      <c r="F69" s="11"/>
      <c r="G69" s="11" t="s">
        <v>58</v>
      </c>
      <c r="H69" s="11"/>
      <c r="I69" s="11" t="s">
        <v>435</v>
      </c>
      <c r="J69" s="11" t="s">
        <v>342</v>
      </c>
      <c r="K69" s="11" t="s">
        <v>94</v>
      </c>
      <c r="L69" s="11" t="s">
        <v>136</v>
      </c>
      <c r="M69" s="11">
        <v>4</v>
      </c>
      <c r="N69" s="11" t="s">
        <v>133</v>
      </c>
      <c r="O69" s="11">
        <v>39.700000000000003</v>
      </c>
      <c r="P69" s="11">
        <f t="shared" si="13"/>
        <v>1536</v>
      </c>
      <c r="Q69" s="11">
        <f>((32-2*0.3)*(12-2*0.3))*M69</f>
        <v>1431.84</v>
      </c>
      <c r="R69" s="11">
        <f t="shared" si="14"/>
        <v>36.066498740554152</v>
      </c>
      <c r="S69" s="11" t="s">
        <v>67</v>
      </c>
      <c r="T69" s="11"/>
      <c r="U69" s="11">
        <f>5600+7000+1250</f>
        <v>13850</v>
      </c>
      <c r="V69" s="11" t="s">
        <v>244</v>
      </c>
      <c r="W69" s="54">
        <f t="shared" si="15"/>
        <v>9.6728684769247959</v>
      </c>
      <c r="X69" s="11">
        <v>3</v>
      </c>
      <c r="Y69" s="60"/>
      <c r="Z69" s="54"/>
      <c r="AA69" s="36"/>
    </row>
    <row r="70" spans="1:27" ht="40.049999999999997" customHeight="1" x14ac:dyDescent="0.3">
      <c r="A70" s="10">
        <v>1</v>
      </c>
      <c r="B70" s="11" t="s">
        <v>672</v>
      </c>
      <c r="C70" s="11"/>
      <c r="D70" s="11"/>
      <c r="E70" s="11" t="s">
        <v>541</v>
      </c>
      <c r="F70" s="11"/>
      <c r="G70" s="11" t="s">
        <v>58</v>
      </c>
      <c r="H70" s="11"/>
      <c r="I70" s="11" t="s">
        <v>435</v>
      </c>
      <c r="J70" s="11" t="s">
        <v>343</v>
      </c>
      <c r="K70" s="11" t="s">
        <v>100</v>
      </c>
      <c r="L70" s="11" t="s">
        <v>83</v>
      </c>
      <c r="M70" s="11">
        <v>4</v>
      </c>
      <c r="N70" s="11" t="s">
        <v>135</v>
      </c>
      <c r="O70" s="11">
        <v>39.1</v>
      </c>
      <c r="P70" s="11">
        <f t="shared" si="13"/>
        <v>1536</v>
      </c>
      <c r="Q70" s="11">
        <f t="shared" ref="Q70:Q73" si="16">((32-2*0.25)*(12-2*0.25))*M70</f>
        <v>1449</v>
      </c>
      <c r="R70" s="11">
        <f t="shared" si="14"/>
        <v>37.058823529411761</v>
      </c>
      <c r="S70" s="11" t="s">
        <v>65</v>
      </c>
      <c r="T70" s="11"/>
      <c r="U70" s="11">
        <f>437760+259200+145920+91200+108000</f>
        <v>1042080</v>
      </c>
      <c r="V70" s="11" t="s">
        <v>244</v>
      </c>
      <c r="W70" s="54">
        <f t="shared" si="15"/>
        <v>719.17184265010349</v>
      </c>
      <c r="X70" s="11">
        <v>3</v>
      </c>
      <c r="Y70" s="60"/>
      <c r="Z70" s="54"/>
      <c r="AA70" s="36"/>
    </row>
    <row r="71" spans="1:27" ht="40.049999999999997" customHeight="1" x14ac:dyDescent="0.3">
      <c r="A71" s="10">
        <v>1</v>
      </c>
      <c r="B71" s="11" t="s">
        <v>672</v>
      </c>
      <c r="C71" s="11"/>
      <c r="D71" s="11"/>
      <c r="E71" s="11" t="s">
        <v>541</v>
      </c>
      <c r="F71" s="11"/>
      <c r="G71" s="11" t="s">
        <v>58</v>
      </c>
      <c r="H71" s="11"/>
      <c r="I71" s="11" t="s">
        <v>435</v>
      </c>
      <c r="J71" s="11" t="s">
        <v>343</v>
      </c>
      <c r="K71" s="11" t="s">
        <v>100</v>
      </c>
      <c r="L71" s="11" t="s">
        <v>83</v>
      </c>
      <c r="M71" s="11">
        <v>4</v>
      </c>
      <c r="N71" s="11" t="s">
        <v>135</v>
      </c>
      <c r="O71" s="11">
        <v>39.1</v>
      </c>
      <c r="P71" s="11">
        <f t="shared" si="13"/>
        <v>1536</v>
      </c>
      <c r="Q71" s="11">
        <f t="shared" si="16"/>
        <v>1449</v>
      </c>
      <c r="R71" s="11">
        <f t="shared" si="14"/>
        <v>37.058823529411761</v>
      </c>
      <c r="S71" s="11" t="s">
        <v>67</v>
      </c>
      <c r="T71" s="11"/>
      <c r="U71" s="11">
        <f>5600+7000+1250</f>
        <v>13850</v>
      </c>
      <c r="V71" s="11" t="s">
        <v>244</v>
      </c>
      <c r="W71" s="54">
        <f t="shared" si="15"/>
        <v>9.5583160800552101</v>
      </c>
      <c r="X71" s="11">
        <v>3</v>
      </c>
      <c r="Y71" s="60"/>
      <c r="Z71" s="54"/>
      <c r="AA71" s="36"/>
    </row>
    <row r="72" spans="1:27" ht="40.049999999999997" customHeight="1" x14ac:dyDescent="0.3">
      <c r="A72" s="10">
        <v>1</v>
      </c>
      <c r="B72" s="11" t="s">
        <v>672</v>
      </c>
      <c r="C72" s="11"/>
      <c r="D72" s="11"/>
      <c r="E72" s="11" t="s">
        <v>541</v>
      </c>
      <c r="F72" s="11"/>
      <c r="G72" s="11" t="s">
        <v>58</v>
      </c>
      <c r="H72" s="11"/>
      <c r="I72" s="11" t="s">
        <v>435</v>
      </c>
      <c r="J72" s="11" t="s">
        <v>344</v>
      </c>
      <c r="K72" s="11" t="s">
        <v>134</v>
      </c>
      <c r="L72" s="11" t="s">
        <v>68</v>
      </c>
      <c r="M72" s="11">
        <v>4</v>
      </c>
      <c r="N72" s="11" t="s">
        <v>127</v>
      </c>
      <c r="O72" s="11">
        <v>39.9</v>
      </c>
      <c r="P72" s="11">
        <f t="shared" si="13"/>
        <v>1536</v>
      </c>
      <c r="Q72" s="11">
        <f t="shared" si="16"/>
        <v>1449</v>
      </c>
      <c r="R72" s="11">
        <f t="shared" si="14"/>
        <v>36.315789473684212</v>
      </c>
      <c r="S72" s="11" t="s">
        <v>65</v>
      </c>
      <c r="T72" s="11"/>
      <c r="U72" s="11">
        <f>437760+259200+145920+91200+108000</f>
        <v>1042080</v>
      </c>
      <c r="V72" s="11" t="s">
        <v>244</v>
      </c>
      <c r="W72" s="54">
        <f t="shared" si="15"/>
        <v>719.17184265010349</v>
      </c>
      <c r="X72" s="11">
        <v>3</v>
      </c>
      <c r="Y72" s="60"/>
      <c r="Z72" s="54"/>
      <c r="AA72" s="36"/>
    </row>
    <row r="73" spans="1:27" ht="40.049999999999997" customHeight="1" x14ac:dyDescent="0.3">
      <c r="A73" s="10">
        <v>1</v>
      </c>
      <c r="B73" s="11" t="s">
        <v>672</v>
      </c>
      <c r="C73" s="11"/>
      <c r="D73" s="11"/>
      <c r="E73" s="11" t="s">
        <v>541</v>
      </c>
      <c r="F73" s="11"/>
      <c r="G73" s="11" t="s">
        <v>58</v>
      </c>
      <c r="H73" s="11"/>
      <c r="I73" s="11" t="s">
        <v>435</v>
      </c>
      <c r="J73" s="11" t="s">
        <v>344</v>
      </c>
      <c r="K73" s="11" t="s">
        <v>134</v>
      </c>
      <c r="L73" s="11" t="s">
        <v>68</v>
      </c>
      <c r="M73" s="11">
        <v>4</v>
      </c>
      <c r="N73" s="11" t="s">
        <v>127</v>
      </c>
      <c r="O73" s="11">
        <v>39.9</v>
      </c>
      <c r="P73" s="11">
        <f t="shared" si="13"/>
        <v>1536</v>
      </c>
      <c r="Q73" s="11">
        <f t="shared" si="16"/>
        <v>1449</v>
      </c>
      <c r="R73" s="11">
        <f t="shared" si="14"/>
        <v>36.315789473684212</v>
      </c>
      <c r="S73" s="11" t="s">
        <v>67</v>
      </c>
      <c r="T73" s="11"/>
      <c r="U73" s="11">
        <f>5600+7000+1250</f>
        <v>13850</v>
      </c>
      <c r="V73" s="11" t="s">
        <v>244</v>
      </c>
      <c r="W73" s="54">
        <f t="shared" si="15"/>
        <v>9.5583160800552101</v>
      </c>
      <c r="X73" s="11">
        <v>3</v>
      </c>
      <c r="Y73" s="60"/>
      <c r="Z73" s="54"/>
      <c r="AA73" s="36"/>
    </row>
    <row r="74" spans="1:27" ht="40.049999999999997" customHeight="1" x14ac:dyDescent="0.3">
      <c r="A74" s="10">
        <v>1</v>
      </c>
      <c r="B74" s="11" t="s">
        <v>672</v>
      </c>
      <c r="C74" s="11"/>
      <c r="D74" s="11"/>
      <c r="E74" s="11" t="s">
        <v>541</v>
      </c>
      <c r="F74" s="11"/>
      <c r="G74" s="11" t="s">
        <v>58</v>
      </c>
      <c r="H74" s="11"/>
      <c r="I74" s="11" t="s">
        <v>435</v>
      </c>
      <c r="J74" s="11" t="s">
        <v>345</v>
      </c>
      <c r="K74" s="11" t="s">
        <v>84</v>
      </c>
      <c r="L74" s="11" t="s">
        <v>83</v>
      </c>
      <c r="M74" s="11">
        <v>4</v>
      </c>
      <c r="N74" s="11" t="s">
        <v>133</v>
      </c>
      <c r="O74" s="11">
        <v>38.1</v>
      </c>
      <c r="P74" s="11">
        <f t="shared" si="13"/>
        <v>1536</v>
      </c>
      <c r="Q74" s="11">
        <f t="shared" ref="Q74:Q81" si="17">((32-2*0.2)*(12-2*0.2))*M74</f>
        <v>1466.24</v>
      </c>
      <c r="R74" s="11">
        <f t="shared" si="14"/>
        <v>38.483989501312337</v>
      </c>
      <c r="S74" s="11" t="s">
        <v>65</v>
      </c>
      <c r="T74" s="11"/>
      <c r="U74" s="11">
        <f>291840+259200+145920+91200+108000</f>
        <v>896160</v>
      </c>
      <c r="V74" s="11" t="s">
        <v>244</v>
      </c>
      <c r="W74" s="54">
        <f t="shared" si="15"/>
        <v>611.19598428633788</v>
      </c>
      <c r="X74" s="11">
        <v>3</v>
      </c>
      <c r="Y74" s="60"/>
      <c r="Z74" s="54"/>
      <c r="AA74" s="36"/>
    </row>
    <row r="75" spans="1:27" ht="40.049999999999997" customHeight="1" x14ac:dyDescent="0.3">
      <c r="A75" s="10">
        <v>1</v>
      </c>
      <c r="B75" s="11" t="s">
        <v>672</v>
      </c>
      <c r="C75" s="11"/>
      <c r="D75" s="11"/>
      <c r="E75" s="11" t="s">
        <v>541</v>
      </c>
      <c r="F75" s="11"/>
      <c r="G75" s="11" t="s">
        <v>58</v>
      </c>
      <c r="H75" s="11"/>
      <c r="I75" s="11" t="s">
        <v>435</v>
      </c>
      <c r="J75" s="11" t="s">
        <v>345</v>
      </c>
      <c r="K75" s="11" t="s">
        <v>84</v>
      </c>
      <c r="L75" s="11" t="s">
        <v>83</v>
      </c>
      <c r="M75" s="11">
        <v>4</v>
      </c>
      <c r="N75" s="11" t="s">
        <v>133</v>
      </c>
      <c r="O75" s="11">
        <v>38.1</v>
      </c>
      <c r="P75" s="11">
        <f t="shared" si="13"/>
        <v>1536</v>
      </c>
      <c r="Q75" s="11">
        <f t="shared" si="17"/>
        <v>1466.24</v>
      </c>
      <c r="R75" s="11">
        <f t="shared" si="14"/>
        <v>38.483989501312337</v>
      </c>
      <c r="S75" s="11" t="s">
        <v>67</v>
      </c>
      <c r="T75" s="11"/>
      <c r="U75" s="11">
        <f>5600+7000+1250</f>
        <v>13850</v>
      </c>
      <c r="V75" s="11" t="s">
        <v>244</v>
      </c>
      <c r="W75" s="54">
        <f t="shared" si="15"/>
        <v>9.4459297250109113</v>
      </c>
      <c r="X75" s="11">
        <v>3</v>
      </c>
      <c r="Y75" s="60"/>
      <c r="Z75" s="54"/>
      <c r="AA75" s="36"/>
    </row>
    <row r="76" spans="1:27" ht="40.049999999999997" customHeight="1" x14ac:dyDescent="0.3">
      <c r="A76" s="10">
        <v>1</v>
      </c>
      <c r="B76" s="11" t="s">
        <v>672</v>
      </c>
      <c r="C76" s="11"/>
      <c r="D76" s="11"/>
      <c r="E76" s="11" t="s">
        <v>541</v>
      </c>
      <c r="F76" s="11"/>
      <c r="G76" s="11" t="s">
        <v>58</v>
      </c>
      <c r="H76" s="11"/>
      <c r="I76" s="11" t="s">
        <v>435</v>
      </c>
      <c r="J76" s="11" t="s">
        <v>346</v>
      </c>
      <c r="K76" s="11" t="s">
        <v>132</v>
      </c>
      <c r="L76" s="11" t="s">
        <v>68</v>
      </c>
      <c r="M76" s="11">
        <v>4</v>
      </c>
      <c r="N76" s="11" t="s">
        <v>127</v>
      </c>
      <c r="O76" s="11">
        <v>39.9</v>
      </c>
      <c r="P76" s="11">
        <f t="shared" si="13"/>
        <v>1536</v>
      </c>
      <c r="Q76" s="11">
        <f t="shared" si="17"/>
        <v>1466.24</v>
      </c>
      <c r="R76" s="11">
        <f t="shared" si="14"/>
        <v>36.747869674185466</v>
      </c>
      <c r="S76" s="11" t="s">
        <v>65</v>
      </c>
      <c r="T76" s="11"/>
      <c r="U76" s="11">
        <f>291840+259200+145920+91200+108000</f>
        <v>896160</v>
      </c>
      <c r="V76" s="11" t="s">
        <v>244</v>
      </c>
      <c r="W76" s="54">
        <f t="shared" si="15"/>
        <v>611.19598428633788</v>
      </c>
      <c r="X76" s="11">
        <v>3</v>
      </c>
      <c r="Y76" s="60"/>
      <c r="Z76" s="54"/>
      <c r="AA76" s="36"/>
    </row>
    <row r="77" spans="1:27" ht="40.049999999999997" customHeight="1" x14ac:dyDescent="0.3">
      <c r="A77" s="10">
        <v>1</v>
      </c>
      <c r="B77" s="11" t="s">
        <v>672</v>
      </c>
      <c r="C77" s="11"/>
      <c r="D77" s="11"/>
      <c r="E77" s="11" t="s">
        <v>541</v>
      </c>
      <c r="F77" s="11"/>
      <c r="G77" s="11" t="s">
        <v>58</v>
      </c>
      <c r="H77" s="11"/>
      <c r="I77" s="11" t="s">
        <v>435</v>
      </c>
      <c r="J77" s="11" t="s">
        <v>346</v>
      </c>
      <c r="K77" s="11" t="s">
        <v>132</v>
      </c>
      <c r="L77" s="11" t="s">
        <v>68</v>
      </c>
      <c r="M77" s="11">
        <v>4</v>
      </c>
      <c r="N77" s="11" t="s">
        <v>127</v>
      </c>
      <c r="O77" s="11">
        <v>39.9</v>
      </c>
      <c r="P77" s="11">
        <f t="shared" si="13"/>
        <v>1536</v>
      </c>
      <c r="Q77" s="11">
        <f t="shared" si="17"/>
        <v>1466.24</v>
      </c>
      <c r="R77" s="11">
        <f t="shared" si="14"/>
        <v>36.747869674185466</v>
      </c>
      <c r="S77" s="11" t="s">
        <v>67</v>
      </c>
      <c r="T77" s="11"/>
      <c r="U77" s="11">
        <f>5600+7000+1250</f>
        <v>13850</v>
      </c>
      <c r="V77" s="11" t="s">
        <v>244</v>
      </c>
      <c r="W77" s="54">
        <f t="shared" si="15"/>
        <v>9.4459297250109113</v>
      </c>
      <c r="X77" s="11">
        <v>3</v>
      </c>
      <c r="Y77" s="60"/>
      <c r="Z77" s="54"/>
      <c r="AA77" s="36"/>
    </row>
    <row r="78" spans="1:27" ht="40.049999999999997" customHeight="1" x14ac:dyDescent="0.3">
      <c r="A78" s="10">
        <v>1</v>
      </c>
      <c r="B78" s="11" t="s">
        <v>672</v>
      </c>
      <c r="C78" s="11"/>
      <c r="D78" s="11"/>
      <c r="E78" s="11" t="s">
        <v>541</v>
      </c>
      <c r="F78" s="11"/>
      <c r="G78" s="11" t="s">
        <v>58</v>
      </c>
      <c r="H78" s="11"/>
      <c r="I78" s="11" t="s">
        <v>435</v>
      </c>
      <c r="J78" s="11" t="s">
        <v>347</v>
      </c>
      <c r="K78" s="11" t="s">
        <v>131</v>
      </c>
      <c r="L78" s="11" t="s">
        <v>130</v>
      </c>
      <c r="M78" s="11">
        <v>4</v>
      </c>
      <c r="N78" s="11" t="s">
        <v>129</v>
      </c>
      <c r="O78" s="11">
        <v>40</v>
      </c>
      <c r="P78" s="11">
        <f t="shared" si="13"/>
        <v>1536</v>
      </c>
      <c r="Q78" s="11">
        <f t="shared" si="17"/>
        <v>1466.24</v>
      </c>
      <c r="R78" s="11">
        <f t="shared" si="14"/>
        <v>36.655999999999999</v>
      </c>
      <c r="S78" s="11" t="s">
        <v>65</v>
      </c>
      <c r="T78" s="11"/>
      <c r="U78" s="11">
        <f>437760+259200+145920+91200+108000</f>
        <v>1042080</v>
      </c>
      <c r="V78" s="11" t="s">
        <v>244</v>
      </c>
      <c r="W78" s="54">
        <f t="shared" si="15"/>
        <v>710.71584460934093</v>
      </c>
      <c r="X78" s="11">
        <v>3</v>
      </c>
      <c r="Y78" s="60"/>
      <c r="Z78" s="54"/>
      <c r="AA78" s="36"/>
    </row>
    <row r="79" spans="1:27" ht="40.049999999999997" customHeight="1" x14ac:dyDescent="0.3">
      <c r="A79" s="10">
        <v>1</v>
      </c>
      <c r="B79" s="11" t="s">
        <v>672</v>
      </c>
      <c r="C79" s="11"/>
      <c r="D79" s="11"/>
      <c r="E79" s="11" t="s">
        <v>541</v>
      </c>
      <c r="F79" s="11"/>
      <c r="G79" s="11" t="s">
        <v>58</v>
      </c>
      <c r="H79" s="11"/>
      <c r="I79" s="11" t="s">
        <v>435</v>
      </c>
      <c r="J79" s="11" t="s">
        <v>347</v>
      </c>
      <c r="K79" s="11" t="s">
        <v>131</v>
      </c>
      <c r="L79" s="11" t="s">
        <v>130</v>
      </c>
      <c r="M79" s="11">
        <v>4</v>
      </c>
      <c r="N79" s="11" t="s">
        <v>129</v>
      </c>
      <c r="O79" s="11">
        <v>40</v>
      </c>
      <c r="P79" s="11">
        <f t="shared" si="13"/>
        <v>1536</v>
      </c>
      <c r="Q79" s="11">
        <f t="shared" si="17"/>
        <v>1466.24</v>
      </c>
      <c r="R79" s="11">
        <f t="shared" si="14"/>
        <v>36.655999999999999</v>
      </c>
      <c r="S79" s="11" t="s">
        <v>67</v>
      </c>
      <c r="T79" s="11"/>
      <c r="U79" s="11">
        <v>5244</v>
      </c>
      <c r="V79" s="11" t="s">
        <v>244</v>
      </c>
      <c r="W79" s="54">
        <f t="shared" si="15"/>
        <v>3.5764949803579222</v>
      </c>
      <c r="X79" s="11">
        <v>3</v>
      </c>
      <c r="Y79" s="60"/>
      <c r="Z79" s="54"/>
      <c r="AA79" s="36"/>
    </row>
    <row r="80" spans="1:27" ht="40.049999999999997" customHeight="1" x14ac:dyDescent="0.3">
      <c r="A80" s="10">
        <v>1</v>
      </c>
      <c r="B80" s="11" t="s">
        <v>672</v>
      </c>
      <c r="C80" s="11"/>
      <c r="D80" s="11"/>
      <c r="E80" s="11" t="s">
        <v>541</v>
      </c>
      <c r="F80" s="11"/>
      <c r="G80" s="11" t="s">
        <v>58</v>
      </c>
      <c r="H80" s="11"/>
      <c r="I80" s="11" t="s">
        <v>435</v>
      </c>
      <c r="J80" s="11" t="s">
        <v>348</v>
      </c>
      <c r="K80" s="11" t="s">
        <v>128</v>
      </c>
      <c r="L80" s="11" t="s">
        <v>68</v>
      </c>
      <c r="M80" s="11">
        <v>4</v>
      </c>
      <c r="N80" s="11" t="s">
        <v>127</v>
      </c>
      <c r="O80" s="11">
        <v>39.9</v>
      </c>
      <c r="P80" s="11">
        <f t="shared" si="13"/>
        <v>1536</v>
      </c>
      <c r="Q80" s="11">
        <f t="shared" si="17"/>
        <v>1466.24</v>
      </c>
      <c r="R80" s="11">
        <f t="shared" si="14"/>
        <v>36.747869674185466</v>
      </c>
      <c r="S80" s="11" t="s">
        <v>65</v>
      </c>
      <c r="T80" s="11"/>
      <c r="U80" s="11">
        <f>384000+528000+201600+15200+437760+259200+145920+91200+108000</f>
        <v>2170880</v>
      </c>
      <c r="V80" s="11" t="s">
        <v>244</v>
      </c>
      <c r="W80" s="54">
        <f t="shared" si="15"/>
        <v>1480.5761676123964</v>
      </c>
      <c r="X80" s="11">
        <v>3</v>
      </c>
      <c r="Y80" s="60"/>
      <c r="Z80" s="54"/>
      <c r="AA80" s="36"/>
    </row>
    <row r="81" spans="1:27" ht="40.049999999999997" customHeight="1" x14ac:dyDescent="0.3">
      <c r="A81" s="10">
        <v>1</v>
      </c>
      <c r="B81" s="11" t="s">
        <v>672</v>
      </c>
      <c r="C81" s="11"/>
      <c r="D81" s="11"/>
      <c r="E81" s="11" t="s">
        <v>541</v>
      </c>
      <c r="F81" s="11"/>
      <c r="G81" s="11" t="s">
        <v>58</v>
      </c>
      <c r="H81" s="11"/>
      <c r="I81" s="11" t="s">
        <v>435</v>
      </c>
      <c r="J81" s="11" t="s">
        <v>348</v>
      </c>
      <c r="K81" s="11" t="s">
        <v>128</v>
      </c>
      <c r="L81" s="11" t="s">
        <v>68</v>
      </c>
      <c r="M81" s="11">
        <v>4</v>
      </c>
      <c r="N81" s="11" t="s">
        <v>127</v>
      </c>
      <c r="O81" s="11">
        <v>39.9</v>
      </c>
      <c r="P81" s="11">
        <f t="shared" si="13"/>
        <v>1536</v>
      </c>
      <c r="Q81" s="11">
        <f t="shared" si="17"/>
        <v>1466.24</v>
      </c>
      <c r="R81" s="11">
        <f t="shared" si="14"/>
        <v>36.747869674185466</v>
      </c>
      <c r="S81" s="11" t="s">
        <v>67</v>
      </c>
      <c r="T81" s="11"/>
      <c r="U81" s="11">
        <v>5244</v>
      </c>
      <c r="V81" s="11" t="s">
        <v>244</v>
      </c>
      <c r="W81" s="54">
        <f t="shared" si="15"/>
        <v>3.5764949803579222</v>
      </c>
      <c r="X81" s="11">
        <v>3</v>
      </c>
      <c r="Y81" s="60"/>
      <c r="Z81" s="54"/>
      <c r="AA81" s="36"/>
    </row>
    <row r="82" spans="1:27" ht="40.049999999999997" customHeight="1" x14ac:dyDescent="0.3">
      <c r="A82" s="10">
        <v>1</v>
      </c>
      <c r="B82" s="11" t="s">
        <v>672</v>
      </c>
      <c r="C82" s="11"/>
      <c r="D82" s="11"/>
      <c r="E82" s="11" t="s">
        <v>541</v>
      </c>
      <c r="F82" s="11"/>
      <c r="G82" s="11" t="s">
        <v>58</v>
      </c>
      <c r="H82" s="11"/>
      <c r="I82" s="11" t="s">
        <v>70</v>
      </c>
      <c r="J82" s="11" t="s">
        <v>349</v>
      </c>
      <c r="K82" s="11" t="s">
        <v>126</v>
      </c>
      <c r="L82" s="11" t="s">
        <v>125</v>
      </c>
      <c r="M82" s="11">
        <v>7</v>
      </c>
      <c r="N82" s="11" t="s">
        <v>124</v>
      </c>
      <c r="O82" s="11">
        <v>70.3</v>
      </c>
      <c r="P82" s="11">
        <f t="shared" si="13"/>
        <v>2688</v>
      </c>
      <c r="Q82" s="11">
        <f>((32-2*0.25)*(12-2*0.25))*M82</f>
        <v>2535.75</v>
      </c>
      <c r="R82" s="11">
        <f t="shared" si="14"/>
        <v>36.070412517780937</v>
      </c>
      <c r="S82" s="11" t="s">
        <v>65</v>
      </c>
      <c r="T82" s="11"/>
      <c r="U82" s="11">
        <f>696000+926400+313920+145920+875520+259200+145920+91200+172800</f>
        <v>3626880</v>
      </c>
      <c r="V82" s="11" t="s">
        <v>244</v>
      </c>
      <c r="W82" s="54">
        <f t="shared" si="15"/>
        <v>1430.2987281869268</v>
      </c>
      <c r="X82" s="11">
        <v>4</v>
      </c>
      <c r="Y82" s="60"/>
      <c r="Z82" s="54"/>
      <c r="AA82" s="36"/>
    </row>
    <row r="83" spans="1:27" ht="40.049999999999997" customHeight="1" x14ac:dyDescent="0.3">
      <c r="A83" s="10">
        <v>1</v>
      </c>
      <c r="B83" s="11" t="s">
        <v>672</v>
      </c>
      <c r="C83" s="11"/>
      <c r="D83" s="11"/>
      <c r="E83" s="11" t="s">
        <v>541</v>
      </c>
      <c r="F83" s="11"/>
      <c r="G83" s="11" t="s">
        <v>58</v>
      </c>
      <c r="H83" s="11"/>
      <c r="I83" s="11" t="s">
        <v>70</v>
      </c>
      <c r="J83" s="11" t="s">
        <v>350</v>
      </c>
      <c r="K83" s="11" t="s">
        <v>76</v>
      </c>
      <c r="L83" s="11" t="s">
        <v>78</v>
      </c>
      <c r="M83" s="11">
        <v>10</v>
      </c>
      <c r="N83" s="11" t="s">
        <v>123</v>
      </c>
      <c r="O83" s="11">
        <v>124</v>
      </c>
      <c r="P83" s="11">
        <f t="shared" ref="P83:P87" si="18">(30*15)*M83</f>
        <v>4500</v>
      </c>
      <c r="Q83" s="11">
        <f t="shared" ref="Q83:Q87" si="19">((30-2*0.25)*(15-2*0.25))*M83</f>
        <v>4277.5</v>
      </c>
      <c r="R83" s="11">
        <f t="shared" si="14"/>
        <v>34.49596774193548</v>
      </c>
      <c r="S83" s="11" t="s">
        <v>65</v>
      </c>
      <c r="T83" s="11"/>
      <c r="U83" s="11">
        <f>1200000+864000+388800+172800+1036800+288000+172800+108000+230400</f>
        <v>4461600</v>
      </c>
      <c r="V83" s="11" t="s">
        <v>244</v>
      </c>
      <c r="W83" s="54">
        <f t="shared" si="15"/>
        <v>1043.0391583869082</v>
      </c>
      <c r="X83" s="11">
        <v>4</v>
      </c>
      <c r="Y83" s="60"/>
      <c r="Z83" s="54"/>
      <c r="AA83" s="36"/>
    </row>
    <row r="84" spans="1:27" ht="40.049999999999997" customHeight="1" x14ac:dyDescent="0.3">
      <c r="A84" s="10">
        <v>1</v>
      </c>
      <c r="B84" s="11" t="s">
        <v>672</v>
      </c>
      <c r="C84" s="11"/>
      <c r="D84" s="11"/>
      <c r="E84" s="11" t="s">
        <v>541</v>
      </c>
      <c r="F84" s="11"/>
      <c r="G84" s="11" t="s">
        <v>58</v>
      </c>
      <c r="H84" s="11"/>
      <c r="I84" s="11" t="s">
        <v>70</v>
      </c>
      <c r="J84" s="11" t="s">
        <v>351</v>
      </c>
      <c r="K84" s="11" t="s">
        <v>74</v>
      </c>
      <c r="L84" s="11" t="s">
        <v>87</v>
      </c>
      <c r="M84" s="11">
        <v>10</v>
      </c>
      <c r="N84" s="11" t="s">
        <v>122</v>
      </c>
      <c r="O84" s="11">
        <v>124</v>
      </c>
      <c r="P84" s="11">
        <f t="shared" si="18"/>
        <v>4500</v>
      </c>
      <c r="Q84" s="11">
        <f t="shared" si="19"/>
        <v>4277.5</v>
      </c>
      <c r="R84" s="11">
        <f t="shared" si="14"/>
        <v>34.49596774193548</v>
      </c>
      <c r="S84" s="11" t="s">
        <v>65</v>
      </c>
      <c r="T84" s="11"/>
      <c r="U84" s="11">
        <f>172800+1555200+259200+145920+91200+230400</f>
        <v>2454720</v>
      </c>
      <c r="V84" s="11" t="s">
        <v>244</v>
      </c>
      <c r="W84" s="54">
        <f t="shared" si="15"/>
        <v>573.86791350087663</v>
      </c>
      <c r="X84" s="11">
        <v>4</v>
      </c>
      <c r="Y84" s="60"/>
      <c r="Z84" s="54"/>
      <c r="AA84" s="36"/>
    </row>
    <row r="85" spans="1:27" ht="40.049999999999997" customHeight="1" x14ac:dyDescent="0.3">
      <c r="A85" s="10">
        <v>1</v>
      </c>
      <c r="B85" s="11" t="s">
        <v>672</v>
      </c>
      <c r="C85" s="11"/>
      <c r="D85" s="11"/>
      <c r="E85" s="11" t="s">
        <v>541</v>
      </c>
      <c r="F85" s="11"/>
      <c r="G85" s="11" t="s">
        <v>58</v>
      </c>
      <c r="H85" s="11"/>
      <c r="I85" s="11" t="s">
        <v>70</v>
      </c>
      <c r="J85" s="11" t="s">
        <v>351</v>
      </c>
      <c r="K85" s="11" t="s">
        <v>74</v>
      </c>
      <c r="L85" s="11" t="s">
        <v>87</v>
      </c>
      <c r="M85" s="11">
        <v>10</v>
      </c>
      <c r="N85" s="11" t="s">
        <v>122</v>
      </c>
      <c r="O85" s="11">
        <v>124</v>
      </c>
      <c r="P85" s="11">
        <f t="shared" si="18"/>
        <v>4500</v>
      </c>
      <c r="Q85" s="11">
        <f t="shared" si="19"/>
        <v>4277.5</v>
      </c>
      <c r="R85" s="11">
        <f t="shared" si="14"/>
        <v>34.49596774193548</v>
      </c>
      <c r="S85" s="11" t="s">
        <v>67</v>
      </c>
      <c r="T85" s="11"/>
      <c r="U85" s="11">
        <v>10800</v>
      </c>
      <c r="V85" s="11" t="s">
        <v>244</v>
      </c>
      <c r="W85" s="54">
        <f t="shared" si="15"/>
        <v>2.5248392752776154</v>
      </c>
      <c r="X85" s="11">
        <v>4</v>
      </c>
      <c r="Y85" s="60"/>
      <c r="Z85" s="54"/>
      <c r="AA85" s="36"/>
    </row>
    <row r="86" spans="1:27" ht="40.049999999999997" customHeight="1" x14ac:dyDescent="0.3">
      <c r="A86" s="10">
        <v>1</v>
      </c>
      <c r="B86" s="11" t="s">
        <v>672</v>
      </c>
      <c r="C86" s="11"/>
      <c r="D86" s="11"/>
      <c r="E86" s="11" t="s">
        <v>541</v>
      </c>
      <c r="F86" s="11"/>
      <c r="G86" s="11" t="s">
        <v>58</v>
      </c>
      <c r="H86" s="11"/>
      <c r="I86" s="11" t="s">
        <v>70</v>
      </c>
      <c r="J86" s="11" t="s">
        <v>352</v>
      </c>
      <c r="K86" s="11" t="s">
        <v>121</v>
      </c>
      <c r="L86" s="11" t="s">
        <v>68</v>
      </c>
      <c r="M86" s="11">
        <v>10</v>
      </c>
      <c r="N86" s="11" t="s">
        <v>120</v>
      </c>
      <c r="O86" s="11">
        <v>123.2</v>
      </c>
      <c r="P86" s="11">
        <f t="shared" si="18"/>
        <v>4500</v>
      </c>
      <c r="Q86" s="11">
        <f t="shared" si="19"/>
        <v>4277.5</v>
      </c>
      <c r="R86" s="11">
        <f t="shared" si="14"/>
        <v>34.719967532467528</v>
      </c>
      <c r="S86" s="11" t="s">
        <v>65</v>
      </c>
      <c r="T86" s="11"/>
      <c r="U86" s="11">
        <f>172800+1555200+259200+145920+91200+230400</f>
        <v>2454720</v>
      </c>
      <c r="V86" s="11" t="s">
        <v>244</v>
      </c>
      <c r="W86" s="54">
        <f t="shared" si="15"/>
        <v>573.86791350087663</v>
      </c>
      <c r="X86" s="11">
        <v>4</v>
      </c>
      <c r="Y86" s="60"/>
      <c r="Z86" s="54"/>
      <c r="AA86" s="36"/>
    </row>
    <row r="87" spans="1:27" ht="40.049999999999997" customHeight="1" x14ac:dyDescent="0.3">
      <c r="A87" s="10">
        <v>1</v>
      </c>
      <c r="B87" s="11" t="s">
        <v>672</v>
      </c>
      <c r="C87" s="11"/>
      <c r="D87" s="11"/>
      <c r="E87" s="11" t="s">
        <v>541</v>
      </c>
      <c r="F87" s="11"/>
      <c r="G87" s="11" t="s">
        <v>58</v>
      </c>
      <c r="H87" s="11"/>
      <c r="I87" s="11" t="s">
        <v>70</v>
      </c>
      <c r="J87" s="11" t="s">
        <v>352</v>
      </c>
      <c r="K87" s="11" t="s">
        <v>121</v>
      </c>
      <c r="L87" s="11" t="s">
        <v>68</v>
      </c>
      <c r="M87" s="11">
        <v>10</v>
      </c>
      <c r="N87" s="11" t="s">
        <v>120</v>
      </c>
      <c r="O87" s="11">
        <v>123.2</v>
      </c>
      <c r="P87" s="11">
        <f t="shared" si="18"/>
        <v>4500</v>
      </c>
      <c r="Q87" s="11">
        <f t="shared" si="19"/>
        <v>4277.5</v>
      </c>
      <c r="R87" s="11">
        <f t="shared" si="14"/>
        <v>34.719967532467528</v>
      </c>
      <c r="S87" s="11" t="s">
        <v>67</v>
      </c>
      <c r="T87" s="11"/>
      <c r="U87" s="11">
        <v>10800</v>
      </c>
      <c r="V87" s="11" t="s">
        <v>244</v>
      </c>
      <c r="W87" s="54">
        <f t="shared" si="15"/>
        <v>2.5248392752776154</v>
      </c>
      <c r="X87" s="11">
        <v>4</v>
      </c>
      <c r="Y87" s="60"/>
      <c r="Z87" s="54"/>
      <c r="AA87" s="36"/>
    </row>
    <row r="88" spans="1:27" ht="40.049999999999997" customHeight="1" x14ac:dyDescent="0.3">
      <c r="A88" s="10">
        <v>1</v>
      </c>
      <c r="B88" s="11" t="s">
        <v>672</v>
      </c>
      <c r="C88" s="11"/>
      <c r="D88" s="11"/>
      <c r="E88" s="11" t="s">
        <v>542</v>
      </c>
      <c r="F88" s="11"/>
      <c r="G88" s="11" t="s">
        <v>58</v>
      </c>
      <c r="H88" s="11"/>
      <c r="I88" s="11" t="s">
        <v>391</v>
      </c>
      <c r="J88" s="11" t="s">
        <v>353</v>
      </c>
      <c r="K88" s="11" t="s">
        <v>119</v>
      </c>
      <c r="L88" s="11" t="s">
        <v>116</v>
      </c>
      <c r="M88" s="11">
        <v>2</v>
      </c>
      <c r="N88" s="11" t="s">
        <v>113</v>
      </c>
      <c r="O88" s="11">
        <v>3.6</v>
      </c>
      <c r="P88" s="11">
        <f t="shared" ref="P88:P103" si="20">(10*9)*M88</f>
        <v>180</v>
      </c>
      <c r="Q88" s="11">
        <f>((10-2*0.5)*(9-2*0.5))*M88</f>
        <v>144</v>
      </c>
      <c r="R88" s="11">
        <f t="shared" si="14"/>
        <v>40</v>
      </c>
      <c r="S88" s="11" t="s">
        <v>67</v>
      </c>
      <c r="T88" s="11"/>
      <c r="U88" s="11">
        <f>400+1750+250+2700+2500+2484+1250+1242</f>
        <v>12576</v>
      </c>
      <c r="V88" s="11" t="s">
        <v>244</v>
      </c>
      <c r="W88" s="54">
        <f t="shared" si="15"/>
        <v>87.333333333333329</v>
      </c>
      <c r="X88" s="11">
        <v>1</v>
      </c>
      <c r="Y88" s="60"/>
      <c r="Z88" s="54"/>
      <c r="AA88" s="36"/>
    </row>
    <row r="89" spans="1:27" ht="40.049999999999997" customHeight="1" x14ac:dyDescent="0.3">
      <c r="A89" s="10">
        <v>1</v>
      </c>
      <c r="B89" s="11" t="s">
        <v>672</v>
      </c>
      <c r="C89" s="11"/>
      <c r="D89" s="11"/>
      <c r="E89" s="11" t="s">
        <v>542</v>
      </c>
      <c r="F89" s="11"/>
      <c r="G89" s="11" t="s">
        <v>58</v>
      </c>
      <c r="H89" s="11"/>
      <c r="I89" s="11" t="s">
        <v>391</v>
      </c>
      <c r="J89" s="11" t="s">
        <v>354</v>
      </c>
      <c r="K89" s="11" t="s">
        <v>110</v>
      </c>
      <c r="L89" s="11" t="s">
        <v>93</v>
      </c>
      <c r="M89" s="11">
        <v>1</v>
      </c>
      <c r="N89" s="11" t="s">
        <v>118</v>
      </c>
      <c r="O89" s="11">
        <v>3.6</v>
      </c>
      <c r="P89" s="11">
        <f t="shared" si="20"/>
        <v>90</v>
      </c>
      <c r="Q89" s="11">
        <f>((10-2*0.4)*(9-2*0.4))*M89</f>
        <v>75.439999999999984</v>
      </c>
      <c r="R89" s="11">
        <f t="shared" si="14"/>
        <v>20.955555555555552</v>
      </c>
      <c r="S89" s="11" t="s">
        <v>65</v>
      </c>
      <c r="T89" s="11"/>
      <c r="U89" s="11">
        <f>28800+69120+38400+34560+21600+30000</f>
        <v>222480</v>
      </c>
      <c r="V89" s="11" t="s">
        <v>244</v>
      </c>
      <c r="W89" s="54">
        <f t="shared" si="15"/>
        <v>2949.0986214209975</v>
      </c>
      <c r="X89" s="11">
        <v>1</v>
      </c>
      <c r="Y89" s="60"/>
      <c r="Z89" s="54"/>
      <c r="AA89" s="36"/>
    </row>
    <row r="90" spans="1:27" ht="40.049999999999997" customHeight="1" x14ac:dyDescent="0.3">
      <c r="A90" s="10">
        <v>1</v>
      </c>
      <c r="B90" s="11" t="s">
        <v>672</v>
      </c>
      <c r="C90" s="11"/>
      <c r="D90" s="11"/>
      <c r="E90" s="11" t="s">
        <v>542</v>
      </c>
      <c r="F90" s="11"/>
      <c r="G90" s="11" t="s">
        <v>58</v>
      </c>
      <c r="H90" s="11"/>
      <c r="I90" s="11" t="s">
        <v>391</v>
      </c>
      <c r="J90" s="11" t="s">
        <v>354</v>
      </c>
      <c r="K90" s="11" t="s">
        <v>110</v>
      </c>
      <c r="L90" s="11" t="s">
        <v>93</v>
      </c>
      <c r="M90" s="11">
        <v>1</v>
      </c>
      <c r="N90" s="11" t="s">
        <v>118</v>
      </c>
      <c r="O90" s="11">
        <v>3.6</v>
      </c>
      <c r="P90" s="11">
        <f t="shared" si="20"/>
        <v>90</v>
      </c>
      <c r="Q90" s="11">
        <f>((10-2*0.4)*(9-2*0.4))*M90</f>
        <v>75.439999999999984</v>
      </c>
      <c r="R90" s="11">
        <f t="shared" si="14"/>
        <v>20.955555555555552</v>
      </c>
      <c r="S90" s="11" t="s">
        <v>67</v>
      </c>
      <c r="T90" s="11"/>
      <c r="U90" s="11">
        <f>400+1750+250</f>
        <v>2400</v>
      </c>
      <c r="V90" s="11" t="s">
        <v>244</v>
      </c>
      <c r="W90" s="54">
        <f t="shared" si="15"/>
        <v>31.813361611876996</v>
      </c>
      <c r="X90" s="11">
        <v>1</v>
      </c>
      <c r="Y90" s="60"/>
      <c r="Z90" s="54"/>
      <c r="AA90" s="36"/>
    </row>
    <row r="91" spans="1:27" ht="40.049999999999997" customHeight="1" x14ac:dyDescent="0.3">
      <c r="A91" s="10">
        <v>1</v>
      </c>
      <c r="B91" s="11" t="s">
        <v>672</v>
      </c>
      <c r="C91" s="11"/>
      <c r="D91" s="11"/>
      <c r="E91" s="11" t="s">
        <v>542</v>
      </c>
      <c r="F91" s="11"/>
      <c r="G91" s="11" t="s">
        <v>58</v>
      </c>
      <c r="H91" s="11"/>
      <c r="I91" s="11" t="s">
        <v>391</v>
      </c>
      <c r="J91" s="11" t="s">
        <v>355</v>
      </c>
      <c r="K91" s="11" t="s">
        <v>117</v>
      </c>
      <c r="L91" s="11" t="s">
        <v>116</v>
      </c>
      <c r="M91" s="11">
        <v>1</v>
      </c>
      <c r="N91" s="11" t="s">
        <v>115</v>
      </c>
      <c r="O91" s="11">
        <v>3.6</v>
      </c>
      <c r="P91" s="11">
        <f t="shared" si="20"/>
        <v>90</v>
      </c>
      <c r="Q91" s="11">
        <f>((10-2*0.2)*(9-2*0.2))*M91</f>
        <v>82.559999999999988</v>
      </c>
      <c r="R91" s="11">
        <f t="shared" si="14"/>
        <v>22.93333333333333</v>
      </c>
      <c r="S91" s="11" t="s">
        <v>67</v>
      </c>
      <c r="T91" s="11"/>
      <c r="U91" s="11">
        <f>17600+4800+400+1750+250+2700+2500+2484+1250+1242</f>
        <v>34976</v>
      </c>
      <c r="V91" s="11" t="s">
        <v>244</v>
      </c>
      <c r="W91" s="54">
        <f t="shared" si="15"/>
        <v>423.64341085271326</v>
      </c>
      <c r="X91" s="11">
        <v>1</v>
      </c>
      <c r="Y91" s="60"/>
      <c r="Z91" s="54"/>
      <c r="AA91" s="36"/>
    </row>
    <row r="92" spans="1:27" ht="40.049999999999997" customHeight="1" x14ac:dyDescent="0.3">
      <c r="A92" s="10">
        <v>1</v>
      </c>
      <c r="B92" s="11" t="s">
        <v>672</v>
      </c>
      <c r="C92" s="11"/>
      <c r="D92" s="11"/>
      <c r="E92" s="11" t="s">
        <v>542</v>
      </c>
      <c r="F92" s="11"/>
      <c r="G92" s="11" t="s">
        <v>58</v>
      </c>
      <c r="H92" s="11"/>
      <c r="I92" s="11" t="s">
        <v>391</v>
      </c>
      <c r="J92" s="11" t="s">
        <v>356</v>
      </c>
      <c r="K92" s="11" t="s">
        <v>114</v>
      </c>
      <c r="L92" s="11" t="s">
        <v>96</v>
      </c>
      <c r="M92" s="11">
        <v>1</v>
      </c>
      <c r="N92" s="11" t="s">
        <v>113</v>
      </c>
      <c r="O92" s="11">
        <v>3.6</v>
      </c>
      <c r="P92" s="11">
        <f t="shared" si="20"/>
        <v>90</v>
      </c>
      <c r="Q92" s="11">
        <f>((10-2*0.16)*(9-2*0.16))*M92</f>
        <v>84.02239999999999</v>
      </c>
      <c r="R92" s="11">
        <f t="shared" si="14"/>
        <v>23.339555555555553</v>
      </c>
      <c r="S92" s="11" t="s">
        <v>65</v>
      </c>
      <c r="T92" s="11"/>
      <c r="U92" s="11">
        <f>69120+38400+34560+21600+30000</f>
        <v>193680</v>
      </c>
      <c r="V92" s="11" t="s">
        <v>244</v>
      </c>
      <c r="W92" s="54">
        <f t="shared" si="15"/>
        <v>2305.099592489622</v>
      </c>
      <c r="X92" s="11">
        <v>1</v>
      </c>
      <c r="Y92" s="60"/>
      <c r="Z92" s="54"/>
      <c r="AA92" s="36"/>
    </row>
    <row r="93" spans="1:27" ht="40.049999999999997" customHeight="1" x14ac:dyDescent="0.3">
      <c r="A93" s="10">
        <v>1</v>
      </c>
      <c r="B93" s="11" t="s">
        <v>672</v>
      </c>
      <c r="C93" s="11"/>
      <c r="D93" s="11"/>
      <c r="E93" s="11" t="s">
        <v>542</v>
      </c>
      <c r="F93" s="11"/>
      <c r="G93" s="11" t="s">
        <v>58</v>
      </c>
      <c r="H93" s="11"/>
      <c r="I93" s="11" t="s">
        <v>391</v>
      </c>
      <c r="J93" s="11" t="s">
        <v>356</v>
      </c>
      <c r="K93" s="11" t="s">
        <v>114</v>
      </c>
      <c r="L93" s="11" t="s">
        <v>96</v>
      </c>
      <c r="M93" s="11">
        <v>1</v>
      </c>
      <c r="N93" s="11" t="s">
        <v>113</v>
      </c>
      <c r="O93" s="11">
        <v>3.6</v>
      </c>
      <c r="P93" s="11">
        <f t="shared" si="20"/>
        <v>90</v>
      </c>
      <c r="Q93" s="11">
        <f>((10-2*0.16)*(9-2*0.16))*M93</f>
        <v>84.02239999999999</v>
      </c>
      <c r="R93" s="11">
        <f t="shared" si="14"/>
        <v>23.339555555555553</v>
      </c>
      <c r="S93" s="11" t="s">
        <v>67</v>
      </c>
      <c r="T93" s="11"/>
      <c r="U93" s="11">
        <f>4000+400+1750+250</f>
        <v>6400</v>
      </c>
      <c r="V93" s="11" t="s">
        <v>244</v>
      </c>
      <c r="W93" s="54">
        <f t="shared" si="15"/>
        <v>76.17016414670374</v>
      </c>
      <c r="X93" s="11">
        <v>1</v>
      </c>
      <c r="Y93" s="60"/>
      <c r="Z93" s="54"/>
      <c r="AA93" s="36"/>
    </row>
    <row r="94" spans="1:27" ht="40.049999999999997" customHeight="1" x14ac:dyDescent="0.3">
      <c r="A94" s="10">
        <v>1</v>
      </c>
      <c r="B94" s="11" t="s">
        <v>672</v>
      </c>
      <c r="C94" s="11"/>
      <c r="D94" s="11"/>
      <c r="E94" s="11" t="s">
        <v>542</v>
      </c>
      <c r="F94" s="11"/>
      <c r="G94" s="11" t="s">
        <v>58</v>
      </c>
      <c r="H94" s="11"/>
      <c r="I94" s="11" t="s">
        <v>391</v>
      </c>
      <c r="J94" s="11" t="s">
        <v>357</v>
      </c>
      <c r="K94" s="11" t="s">
        <v>112</v>
      </c>
      <c r="L94" s="11" t="s">
        <v>111</v>
      </c>
      <c r="M94" s="11">
        <v>1</v>
      </c>
      <c r="N94" s="11" t="s">
        <v>98</v>
      </c>
      <c r="O94" s="11">
        <v>3.6</v>
      </c>
      <c r="P94" s="11">
        <f t="shared" si="20"/>
        <v>90</v>
      </c>
      <c r="Q94" s="11">
        <f>((10-2*0.3)*(9-2*0.3))*M94</f>
        <v>78.960000000000008</v>
      </c>
      <c r="R94" s="11">
        <f t="shared" si="14"/>
        <v>21.933333333333334</v>
      </c>
      <c r="S94" s="11" t="s">
        <v>65</v>
      </c>
      <c r="T94" s="11"/>
      <c r="U94" s="11">
        <f>39600+10800+8640+17280+38400+34560+21600+30000</f>
        <v>200880</v>
      </c>
      <c r="V94" s="11" t="s">
        <v>244</v>
      </c>
      <c r="W94" s="54">
        <f t="shared" si="15"/>
        <v>2544.0729483282671</v>
      </c>
      <c r="X94" s="11">
        <v>1</v>
      </c>
      <c r="Y94" s="60"/>
      <c r="Z94" s="54"/>
      <c r="AA94" s="36"/>
    </row>
    <row r="95" spans="1:27" ht="40.049999999999997" customHeight="1" x14ac:dyDescent="0.3">
      <c r="A95" s="10">
        <v>1</v>
      </c>
      <c r="B95" s="11" t="s">
        <v>672</v>
      </c>
      <c r="C95" s="11"/>
      <c r="D95" s="11"/>
      <c r="E95" s="11" t="s">
        <v>542</v>
      </c>
      <c r="F95" s="11"/>
      <c r="G95" s="11" t="s">
        <v>58</v>
      </c>
      <c r="H95" s="11"/>
      <c r="I95" s="11" t="s">
        <v>391</v>
      </c>
      <c r="J95" s="11" t="s">
        <v>357</v>
      </c>
      <c r="K95" s="11" t="s">
        <v>112</v>
      </c>
      <c r="L95" s="11" t="s">
        <v>111</v>
      </c>
      <c r="M95" s="11">
        <v>1</v>
      </c>
      <c r="N95" s="11" t="s">
        <v>98</v>
      </c>
      <c r="O95" s="11">
        <v>3.6</v>
      </c>
      <c r="P95" s="11">
        <f t="shared" si="20"/>
        <v>90</v>
      </c>
      <c r="Q95" s="11">
        <f>((10-2*0.3)*(9-2*0.3))*M95</f>
        <v>78.960000000000008</v>
      </c>
      <c r="R95" s="11">
        <f t="shared" si="14"/>
        <v>21.933333333333334</v>
      </c>
      <c r="S95" s="11" t="s">
        <v>67</v>
      </c>
      <c r="T95" s="11"/>
      <c r="U95" s="11">
        <f>400+1750+250</f>
        <v>2400</v>
      </c>
      <c r="V95" s="11" t="s">
        <v>244</v>
      </c>
      <c r="W95" s="54">
        <f t="shared" si="15"/>
        <v>30.3951367781155</v>
      </c>
      <c r="X95" s="11">
        <v>1</v>
      </c>
      <c r="Y95" s="60"/>
      <c r="Z95" s="54"/>
      <c r="AA95" s="36"/>
    </row>
    <row r="96" spans="1:27" ht="40.049999999999997" customHeight="1" x14ac:dyDescent="0.3">
      <c r="A96" s="10">
        <v>1</v>
      </c>
      <c r="B96" s="11" t="s">
        <v>672</v>
      </c>
      <c r="C96" s="11"/>
      <c r="D96" s="11"/>
      <c r="E96" s="11" t="s">
        <v>542</v>
      </c>
      <c r="F96" s="11"/>
      <c r="G96" s="11" t="s">
        <v>58</v>
      </c>
      <c r="H96" s="11"/>
      <c r="I96" s="11" t="s">
        <v>391</v>
      </c>
      <c r="J96" s="11" t="s">
        <v>358</v>
      </c>
      <c r="K96" s="11" t="s">
        <v>110</v>
      </c>
      <c r="L96" s="11" t="s">
        <v>83</v>
      </c>
      <c r="M96" s="11">
        <v>1</v>
      </c>
      <c r="N96" s="11" t="s">
        <v>109</v>
      </c>
      <c r="O96" s="11">
        <v>3.6</v>
      </c>
      <c r="P96" s="11">
        <f t="shared" si="20"/>
        <v>90</v>
      </c>
      <c r="Q96" s="11">
        <f t="shared" ref="Q96:Q99" si="21">((10-2*0.25)*(9-2*0.25))*M96</f>
        <v>80.75</v>
      </c>
      <c r="R96" s="11">
        <f t="shared" si="14"/>
        <v>22.430555555555554</v>
      </c>
      <c r="S96" s="11" t="s">
        <v>65</v>
      </c>
      <c r="T96" s="11"/>
      <c r="U96" s="11">
        <f>28800+69120+38400+34560+21600+30000</f>
        <v>222480</v>
      </c>
      <c r="V96" s="11" t="s">
        <v>244</v>
      </c>
      <c r="W96" s="54">
        <f t="shared" si="15"/>
        <v>2755.1702786377709</v>
      </c>
      <c r="X96" s="11">
        <v>1</v>
      </c>
      <c r="Y96" s="60"/>
      <c r="Z96" s="54"/>
      <c r="AA96" s="36"/>
    </row>
    <row r="97" spans="1:24" ht="40.049999999999997" customHeight="1" x14ac:dyDescent="0.3">
      <c r="A97" s="10">
        <v>1</v>
      </c>
      <c r="B97" s="11" t="s">
        <v>672</v>
      </c>
      <c r="C97" s="11"/>
      <c r="D97" s="11"/>
      <c r="E97" s="11" t="s">
        <v>542</v>
      </c>
      <c r="F97" s="11"/>
      <c r="G97" s="11" t="s">
        <v>58</v>
      </c>
      <c r="H97" s="11"/>
      <c r="I97" s="11" t="s">
        <v>391</v>
      </c>
      <c r="J97" s="11" t="s">
        <v>358</v>
      </c>
      <c r="K97" s="11" t="s">
        <v>110</v>
      </c>
      <c r="L97" s="11" t="s">
        <v>83</v>
      </c>
      <c r="M97" s="11">
        <v>1</v>
      </c>
      <c r="N97" s="11" t="s">
        <v>109</v>
      </c>
      <c r="O97" s="11">
        <v>3.6</v>
      </c>
      <c r="P97" s="11">
        <f t="shared" si="20"/>
        <v>90</v>
      </c>
      <c r="Q97" s="11">
        <f t="shared" si="21"/>
        <v>80.75</v>
      </c>
      <c r="R97" s="11">
        <f t="shared" si="14"/>
        <v>22.430555555555554</v>
      </c>
      <c r="S97" s="11" t="s">
        <v>67</v>
      </c>
      <c r="T97" s="11"/>
      <c r="U97" s="11">
        <f>400+1750+250</f>
        <v>2400</v>
      </c>
      <c r="V97" s="11" t="s">
        <v>244</v>
      </c>
      <c r="W97" s="54">
        <f t="shared" si="15"/>
        <v>29.721362229102166</v>
      </c>
      <c r="X97" s="11">
        <v>1</v>
      </c>
    </row>
    <row r="98" spans="1:24" ht="40.049999999999997" customHeight="1" x14ac:dyDescent="0.3">
      <c r="A98" s="10">
        <v>1</v>
      </c>
      <c r="B98" s="11" t="s">
        <v>672</v>
      </c>
      <c r="C98" s="11"/>
      <c r="D98" s="11"/>
      <c r="E98" s="11" t="s">
        <v>542</v>
      </c>
      <c r="F98" s="11"/>
      <c r="G98" s="11" t="s">
        <v>58</v>
      </c>
      <c r="H98" s="11"/>
      <c r="I98" s="11" t="s">
        <v>391</v>
      </c>
      <c r="J98" s="11" t="s">
        <v>359</v>
      </c>
      <c r="K98" s="11" t="s">
        <v>108</v>
      </c>
      <c r="L98" s="11" t="s">
        <v>68</v>
      </c>
      <c r="M98" s="11">
        <v>1</v>
      </c>
      <c r="N98" s="11" t="s">
        <v>104</v>
      </c>
      <c r="O98" s="11">
        <v>3.6</v>
      </c>
      <c r="P98" s="11">
        <f t="shared" si="20"/>
        <v>90</v>
      </c>
      <c r="Q98" s="11">
        <f t="shared" si="21"/>
        <v>80.75</v>
      </c>
      <c r="R98" s="11">
        <f t="shared" si="14"/>
        <v>22.430555555555554</v>
      </c>
      <c r="S98" s="11" t="s">
        <v>65</v>
      </c>
      <c r="T98" s="11"/>
      <c r="U98" s="11">
        <f>69120+38400+34560+21600+30000</f>
        <v>193680</v>
      </c>
      <c r="V98" s="11" t="s">
        <v>244</v>
      </c>
      <c r="W98" s="54">
        <f t="shared" si="15"/>
        <v>2398.5139318885449</v>
      </c>
      <c r="X98" s="11">
        <v>1</v>
      </c>
    </row>
    <row r="99" spans="1:24" ht="40.049999999999997" customHeight="1" x14ac:dyDescent="0.3">
      <c r="A99" s="10">
        <v>1</v>
      </c>
      <c r="B99" s="11" t="s">
        <v>672</v>
      </c>
      <c r="C99" s="11"/>
      <c r="D99" s="11"/>
      <c r="E99" s="11" t="s">
        <v>542</v>
      </c>
      <c r="F99" s="11"/>
      <c r="G99" s="11" t="s">
        <v>58</v>
      </c>
      <c r="H99" s="11"/>
      <c r="I99" s="11" t="s">
        <v>391</v>
      </c>
      <c r="J99" s="11" t="s">
        <v>359</v>
      </c>
      <c r="K99" s="11" t="s">
        <v>108</v>
      </c>
      <c r="L99" s="11" t="s">
        <v>68</v>
      </c>
      <c r="M99" s="11">
        <v>1</v>
      </c>
      <c r="N99" s="11" t="s">
        <v>104</v>
      </c>
      <c r="O99" s="11">
        <v>3.6</v>
      </c>
      <c r="P99" s="11">
        <f t="shared" si="20"/>
        <v>90</v>
      </c>
      <c r="Q99" s="11">
        <f t="shared" si="21"/>
        <v>80.75</v>
      </c>
      <c r="R99" s="11">
        <f t="shared" si="14"/>
        <v>22.430555555555554</v>
      </c>
      <c r="S99" s="11" t="s">
        <v>67</v>
      </c>
      <c r="T99" s="11"/>
      <c r="U99" s="11">
        <f>400+1750+250</f>
        <v>2400</v>
      </c>
      <c r="V99" s="11" t="s">
        <v>244</v>
      </c>
      <c r="W99" s="54">
        <f t="shared" si="15"/>
        <v>29.721362229102166</v>
      </c>
      <c r="X99" s="11">
        <v>1</v>
      </c>
    </row>
    <row r="100" spans="1:24" ht="40.049999999999997" customHeight="1" x14ac:dyDescent="0.3">
      <c r="A100" s="10">
        <v>1</v>
      </c>
      <c r="B100" s="11" t="s">
        <v>672</v>
      </c>
      <c r="C100" s="11"/>
      <c r="D100" s="11"/>
      <c r="E100" s="11" t="s">
        <v>542</v>
      </c>
      <c r="F100" s="11"/>
      <c r="G100" s="11" t="s">
        <v>58</v>
      </c>
      <c r="H100" s="11"/>
      <c r="I100" s="11" t="s">
        <v>391</v>
      </c>
      <c r="J100" s="11" t="s">
        <v>360</v>
      </c>
      <c r="K100" s="11" t="s">
        <v>107</v>
      </c>
      <c r="L100" s="11" t="s">
        <v>73</v>
      </c>
      <c r="M100" s="11">
        <v>1</v>
      </c>
      <c r="N100" s="11" t="s">
        <v>106</v>
      </c>
      <c r="O100" s="11">
        <v>3.6</v>
      </c>
      <c r="P100" s="11">
        <f t="shared" si="20"/>
        <v>90</v>
      </c>
      <c r="Q100" s="11">
        <f t="shared" ref="Q100:Q103" si="22">((10-2*0.16)*(9-2*0.16))*M100</f>
        <v>84.02239999999999</v>
      </c>
      <c r="R100" s="11">
        <f t="shared" si="14"/>
        <v>23.339555555555553</v>
      </c>
      <c r="S100" s="11" t="s">
        <v>65</v>
      </c>
      <c r="T100" s="11"/>
      <c r="U100" s="11">
        <f>38400+34560+21600+30000</f>
        <v>124560</v>
      </c>
      <c r="V100" s="11" t="s">
        <v>244</v>
      </c>
      <c r="W100" s="54">
        <f t="shared" si="15"/>
        <v>1482.4618197052216</v>
      </c>
      <c r="X100" s="11">
        <v>1</v>
      </c>
    </row>
    <row r="101" spans="1:24" ht="40.049999999999997" customHeight="1" x14ac:dyDescent="0.3">
      <c r="A101" s="10">
        <v>1</v>
      </c>
      <c r="B101" s="11" t="s">
        <v>672</v>
      </c>
      <c r="C101" s="11"/>
      <c r="D101" s="11"/>
      <c r="E101" s="11" t="s">
        <v>542</v>
      </c>
      <c r="F101" s="11"/>
      <c r="G101" s="11" t="s">
        <v>58</v>
      </c>
      <c r="H101" s="11"/>
      <c r="I101" s="11" t="s">
        <v>391</v>
      </c>
      <c r="J101" s="11" t="s">
        <v>360</v>
      </c>
      <c r="K101" s="11" t="s">
        <v>107</v>
      </c>
      <c r="L101" s="11" t="s">
        <v>73</v>
      </c>
      <c r="M101" s="11">
        <v>1</v>
      </c>
      <c r="N101" s="11" t="s">
        <v>106</v>
      </c>
      <c r="O101" s="11">
        <v>3.6</v>
      </c>
      <c r="P101" s="11">
        <f t="shared" si="20"/>
        <v>90</v>
      </c>
      <c r="Q101" s="11">
        <f t="shared" si="22"/>
        <v>84.02239999999999</v>
      </c>
      <c r="R101" s="11">
        <f t="shared" si="14"/>
        <v>23.339555555555553</v>
      </c>
      <c r="S101" s="11" t="s">
        <v>67</v>
      </c>
      <c r="T101" s="11"/>
      <c r="U101" s="11">
        <f>3200+1600+400+1750+250+2700+2500+2484</f>
        <v>14884</v>
      </c>
      <c r="V101" s="11" t="s">
        <v>244</v>
      </c>
      <c r="W101" s="54">
        <f t="shared" si="15"/>
        <v>177.1432379936779</v>
      </c>
      <c r="X101" s="11">
        <v>1</v>
      </c>
    </row>
    <row r="102" spans="1:24" ht="40.049999999999997" customHeight="1" x14ac:dyDescent="0.3">
      <c r="A102" s="10">
        <v>1</v>
      </c>
      <c r="B102" s="11" t="s">
        <v>672</v>
      </c>
      <c r="C102" s="11"/>
      <c r="D102" s="11"/>
      <c r="E102" s="11" t="s">
        <v>542</v>
      </c>
      <c r="F102" s="11"/>
      <c r="G102" s="11" t="s">
        <v>58</v>
      </c>
      <c r="H102" s="11"/>
      <c r="I102" s="11" t="s">
        <v>391</v>
      </c>
      <c r="J102" s="11" t="s">
        <v>361</v>
      </c>
      <c r="K102" s="11" t="s">
        <v>105</v>
      </c>
      <c r="L102" s="11" t="s">
        <v>68</v>
      </c>
      <c r="M102" s="11">
        <v>1</v>
      </c>
      <c r="N102" s="11" t="s">
        <v>104</v>
      </c>
      <c r="O102" s="11">
        <v>3.6</v>
      </c>
      <c r="P102" s="11">
        <f t="shared" si="20"/>
        <v>90</v>
      </c>
      <c r="Q102" s="11">
        <f t="shared" si="22"/>
        <v>84.02239999999999</v>
      </c>
      <c r="R102" s="11">
        <f t="shared" si="14"/>
        <v>23.339555555555553</v>
      </c>
      <c r="S102" s="11" t="s">
        <v>65</v>
      </c>
      <c r="T102" s="11"/>
      <c r="U102" s="11">
        <f>38400+34560+21600+30000</f>
        <v>124560</v>
      </c>
      <c r="V102" s="11" t="s">
        <v>244</v>
      </c>
      <c r="W102" s="54">
        <f t="shared" si="15"/>
        <v>1482.4618197052216</v>
      </c>
      <c r="X102" s="11">
        <v>1</v>
      </c>
    </row>
    <row r="103" spans="1:24" ht="40.049999999999997" customHeight="1" x14ac:dyDescent="0.3">
      <c r="A103" s="10">
        <v>1</v>
      </c>
      <c r="B103" s="11" t="s">
        <v>672</v>
      </c>
      <c r="C103" s="11"/>
      <c r="D103" s="11"/>
      <c r="E103" s="11" t="s">
        <v>542</v>
      </c>
      <c r="F103" s="11"/>
      <c r="G103" s="11" t="s">
        <v>58</v>
      </c>
      <c r="H103" s="11"/>
      <c r="I103" s="11" t="s">
        <v>391</v>
      </c>
      <c r="J103" s="11" t="s">
        <v>361</v>
      </c>
      <c r="K103" s="11" t="s">
        <v>105</v>
      </c>
      <c r="L103" s="11" t="s">
        <v>68</v>
      </c>
      <c r="M103" s="11">
        <v>1</v>
      </c>
      <c r="N103" s="11" t="s">
        <v>104</v>
      </c>
      <c r="O103" s="11">
        <v>3.6</v>
      </c>
      <c r="P103" s="11">
        <f t="shared" si="20"/>
        <v>90</v>
      </c>
      <c r="Q103" s="11">
        <f t="shared" si="22"/>
        <v>84.02239999999999</v>
      </c>
      <c r="R103" s="11">
        <f t="shared" si="14"/>
        <v>23.339555555555553</v>
      </c>
      <c r="S103" s="11" t="s">
        <v>67</v>
      </c>
      <c r="T103" s="11"/>
      <c r="U103" s="11">
        <f>3200+1600+400+1750+250+2700+2500+2484</f>
        <v>14884</v>
      </c>
      <c r="V103" s="11" t="s">
        <v>244</v>
      </c>
      <c r="W103" s="54">
        <f t="shared" si="15"/>
        <v>177.1432379936779</v>
      </c>
      <c r="X103" s="11">
        <v>1</v>
      </c>
    </row>
    <row r="104" spans="1:24" ht="40.049999999999997" customHeight="1" x14ac:dyDescent="0.3">
      <c r="A104" s="10">
        <v>1</v>
      </c>
      <c r="B104" s="11" t="s">
        <v>672</v>
      </c>
      <c r="C104" s="11"/>
      <c r="D104" s="11"/>
      <c r="E104" s="11" t="s">
        <v>542</v>
      </c>
      <c r="F104" s="11"/>
      <c r="G104" s="11" t="s">
        <v>58</v>
      </c>
      <c r="H104" s="11"/>
      <c r="I104" s="11" t="s">
        <v>435</v>
      </c>
      <c r="J104" s="11" t="s">
        <v>362</v>
      </c>
      <c r="K104" s="11" t="s">
        <v>103</v>
      </c>
      <c r="L104" s="11" t="s">
        <v>102</v>
      </c>
      <c r="M104" s="11">
        <v>4</v>
      </c>
      <c r="N104" s="11" t="s">
        <v>101</v>
      </c>
      <c r="O104" s="11">
        <v>38.4</v>
      </c>
      <c r="P104" s="11">
        <f t="shared" ref="P104:P120" si="23">(32*12)*M104</f>
        <v>1536</v>
      </c>
      <c r="Q104" s="11">
        <f>((32-2*0.5)*(12-2*0.5))*M104</f>
        <v>1364</v>
      </c>
      <c r="R104" s="11">
        <f t="shared" si="14"/>
        <v>35.520833333333336</v>
      </c>
      <c r="S104" s="11" t="s">
        <v>67</v>
      </c>
      <c r="T104" s="11"/>
      <c r="U104" s="11">
        <f>7000+1250+22800+22000+20976+2500+5244</f>
        <v>81770</v>
      </c>
      <c r="V104" s="11" t="s">
        <v>244</v>
      </c>
      <c r="W104" s="54">
        <f t="shared" si="15"/>
        <v>59.948680351906155</v>
      </c>
      <c r="X104" s="11">
        <v>3</v>
      </c>
    </row>
    <row r="105" spans="1:24" ht="40.049999999999997" customHeight="1" x14ac:dyDescent="0.3">
      <c r="A105" s="10">
        <v>1</v>
      </c>
      <c r="B105" s="11" t="s">
        <v>672</v>
      </c>
      <c r="C105" s="11"/>
      <c r="D105" s="11"/>
      <c r="E105" s="11" t="s">
        <v>542</v>
      </c>
      <c r="F105" s="11"/>
      <c r="G105" s="11" t="s">
        <v>58</v>
      </c>
      <c r="H105" s="11"/>
      <c r="I105" s="11" t="s">
        <v>435</v>
      </c>
      <c r="J105" s="11" t="s">
        <v>363</v>
      </c>
      <c r="K105" s="11" t="s">
        <v>100</v>
      </c>
      <c r="L105" s="11" t="s">
        <v>99</v>
      </c>
      <c r="M105" s="11">
        <v>4</v>
      </c>
      <c r="N105" s="11" t="s">
        <v>98</v>
      </c>
      <c r="O105" s="11">
        <v>38.4</v>
      </c>
      <c r="P105" s="11">
        <f t="shared" si="23"/>
        <v>1536</v>
      </c>
      <c r="Q105" s="11">
        <f>((32-2*0.3)*(12-2*0.3))*M105</f>
        <v>1431.84</v>
      </c>
      <c r="R105" s="11">
        <f t="shared" si="14"/>
        <v>37.287500000000001</v>
      </c>
      <c r="S105" s="11" t="s">
        <v>65</v>
      </c>
      <c r="T105" s="11"/>
      <c r="U105" s="11">
        <f>154800+528000+437760+259200+145920+91200+108000</f>
        <v>1724880</v>
      </c>
      <c r="V105" s="11" t="s">
        <v>244</v>
      </c>
      <c r="W105" s="54">
        <f t="shared" si="15"/>
        <v>1204.6597385182702</v>
      </c>
      <c r="X105" s="11">
        <v>3</v>
      </c>
    </row>
    <row r="106" spans="1:24" ht="40.049999999999997" customHeight="1" x14ac:dyDescent="0.3">
      <c r="A106" s="10">
        <v>1</v>
      </c>
      <c r="B106" s="11" t="s">
        <v>672</v>
      </c>
      <c r="C106" s="11"/>
      <c r="D106" s="11"/>
      <c r="E106" s="11" t="s">
        <v>542</v>
      </c>
      <c r="F106" s="11"/>
      <c r="G106" s="11" t="s">
        <v>58</v>
      </c>
      <c r="H106" s="11"/>
      <c r="I106" s="11" t="s">
        <v>435</v>
      </c>
      <c r="J106" s="11" t="s">
        <v>363</v>
      </c>
      <c r="K106" s="11" t="s">
        <v>100</v>
      </c>
      <c r="L106" s="11" t="s">
        <v>99</v>
      </c>
      <c r="M106" s="11">
        <v>4</v>
      </c>
      <c r="N106" s="11" t="s">
        <v>98</v>
      </c>
      <c r="O106" s="11">
        <v>38.4</v>
      </c>
      <c r="P106" s="11">
        <f t="shared" si="23"/>
        <v>1536</v>
      </c>
      <c r="Q106" s="11">
        <f>((32-2*0.3)*(12-2*0.3))*M106</f>
        <v>1431.84</v>
      </c>
      <c r="R106" s="11">
        <f t="shared" si="14"/>
        <v>37.287500000000001</v>
      </c>
      <c r="S106" s="11" t="s">
        <v>67</v>
      </c>
      <c r="T106" s="11"/>
      <c r="U106" s="11">
        <f>5600+7000+1250</f>
        <v>13850</v>
      </c>
      <c r="V106" s="11" t="s">
        <v>244</v>
      </c>
      <c r="W106" s="54">
        <f t="shared" si="15"/>
        <v>9.6728684769247959</v>
      </c>
      <c r="X106" s="11">
        <v>3</v>
      </c>
    </row>
    <row r="107" spans="1:24" ht="40.049999999999997" customHeight="1" x14ac:dyDescent="0.3">
      <c r="A107" s="10">
        <v>1</v>
      </c>
      <c r="B107" s="11" t="s">
        <v>672</v>
      </c>
      <c r="C107" s="11"/>
      <c r="D107" s="11"/>
      <c r="E107" s="11" t="s">
        <v>542</v>
      </c>
      <c r="F107" s="11"/>
      <c r="G107" s="11" t="s">
        <v>58</v>
      </c>
      <c r="H107" s="11"/>
      <c r="I107" s="11" t="s">
        <v>435</v>
      </c>
      <c r="J107" s="11" t="s">
        <v>364</v>
      </c>
      <c r="K107" s="11" t="s">
        <v>97</v>
      </c>
      <c r="L107" s="11" t="s">
        <v>96</v>
      </c>
      <c r="M107" s="11">
        <v>4</v>
      </c>
      <c r="N107" s="11" t="s">
        <v>95</v>
      </c>
      <c r="O107" s="11">
        <v>38.4</v>
      </c>
      <c r="P107" s="11">
        <f t="shared" si="23"/>
        <v>1536</v>
      </c>
      <c r="Q107" s="11">
        <f>((32-2*0.2)*(12-2*0.2))*M107</f>
        <v>1466.24</v>
      </c>
      <c r="R107" s="11">
        <f t="shared" si="14"/>
        <v>38.183333333333337</v>
      </c>
      <c r="S107" s="11" t="s">
        <v>67</v>
      </c>
      <c r="T107" s="11"/>
      <c r="U107" s="11">
        <f>16000+5600+7000+1250</f>
        <v>29850</v>
      </c>
      <c r="V107" s="11" t="s">
        <v>244</v>
      </c>
      <c r="W107" s="54">
        <f t="shared" si="15"/>
        <v>20.358195111305108</v>
      </c>
      <c r="X107" s="11">
        <v>3</v>
      </c>
    </row>
    <row r="108" spans="1:24" ht="40.049999999999997" customHeight="1" x14ac:dyDescent="0.3">
      <c r="A108" s="10">
        <v>1</v>
      </c>
      <c r="B108" s="11" t="s">
        <v>672</v>
      </c>
      <c r="C108" s="11"/>
      <c r="D108" s="11"/>
      <c r="E108" s="11" t="s">
        <v>542</v>
      </c>
      <c r="F108" s="11"/>
      <c r="G108" s="11" t="s">
        <v>58</v>
      </c>
      <c r="H108" s="11"/>
      <c r="I108" s="11" t="s">
        <v>435</v>
      </c>
      <c r="J108" s="11" t="s">
        <v>365</v>
      </c>
      <c r="K108" s="11" t="s">
        <v>94</v>
      </c>
      <c r="L108" s="11" t="s">
        <v>93</v>
      </c>
      <c r="M108" s="11">
        <v>4</v>
      </c>
      <c r="N108" s="11" t="s">
        <v>92</v>
      </c>
      <c r="O108" s="11">
        <v>38.4</v>
      </c>
      <c r="P108" s="11">
        <f t="shared" si="23"/>
        <v>1536</v>
      </c>
      <c r="Q108" s="11">
        <f>((32-2*0.4)*(12-2*0.4))*M108</f>
        <v>1397.76</v>
      </c>
      <c r="R108" s="11">
        <f t="shared" si="14"/>
        <v>36.4</v>
      </c>
      <c r="S108" s="11" t="s">
        <v>65</v>
      </c>
      <c r="T108" s="11"/>
      <c r="U108" s="11">
        <f>528000+437760+259200+145920+91200+108000</f>
        <v>1570080</v>
      </c>
      <c r="V108" s="11" t="s">
        <v>244</v>
      </c>
      <c r="W108" s="54">
        <f t="shared" si="15"/>
        <v>1123.282967032967</v>
      </c>
      <c r="X108" s="11">
        <v>3</v>
      </c>
    </row>
    <row r="109" spans="1:24" ht="40.049999999999997" customHeight="1" x14ac:dyDescent="0.3">
      <c r="A109" s="10">
        <v>1</v>
      </c>
      <c r="B109" s="11" t="s">
        <v>672</v>
      </c>
      <c r="C109" s="11"/>
      <c r="D109" s="11"/>
      <c r="E109" s="11" t="s">
        <v>542</v>
      </c>
      <c r="F109" s="11"/>
      <c r="G109" s="11" t="s">
        <v>58</v>
      </c>
      <c r="H109" s="11"/>
      <c r="I109" s="11" t="s">
        <v>435</v>
      </c>
      <c r="J109" s="11" t="s">
        <v>365</v>
      </c>
      <c r="K109" s="11" t="s">
        <v>94</v>
      </c>
      <c r="L109" s="11" t="s">
        <v>93</v>
      </c>
      <c r="M109" s="11">
        <v>4</v>
      </c>
      <c r="N109" s="11" t="s">
        <v>92</v>
      </c>
      <c r="O109" s="11">
        <v>38.4</v>
      </c>
      <c r="P109" s="11">
        <f t="shared" si="23"/>
        <v>1536</v>
      </c>
      <c r="Q109" s="11">
        <f>((32-2*0.4)*(12-2*0.4))*M109</f>
        <v>1397.76</v>
      </c>
      <c r="R109" s="11">
        <f t="shared" si="14"/>
        <v>36.4</v>
      </c>
      <c r="S109" s="11" t="s">
        <v>67</v>
      </c>
      <c r="T109" s="11"/>
      <c r="U109" s="11">
        <f>5600+7000+1250</f>
        <v>13850</v>
      </c>
      <c r="V109" s="11" t="s">
        <v>244</v>
      </c>
      <c r="W109" s="54">
        <f t="shared" si="15"/>
        <v>9.9087110805860803</v>
      </c>
      <c r="X109" s="11">
        <v>3</v>
      </c>
    </row>
    <row r="110" spans="1:24" ht="40.049999999999997" customHeight="1" x14ac:dyDescent="0.3">
      <c r="A110" s="10">
        <v>1</v>
      </c>
      <c r="B110" s="11" t="s">
        <v>672</v>
      </c>
      <c r="C110" s="11"/>
      <c r="D110" s="11"/>
      <c r="E110" s="11" t="s">
        <v>542</v>
      </c>
      <c r="F110" s="11"/>
      <c r="G110" s="11" t="s">
        <v>58</v>
      </c>
      <c r="H110" s="11"/>
      <c r="I110" s="11" t="s">
        <v>435</v>
      </c>
      <c r="J110" s="11" t="s">
        <v>366</v>
      </c>
      <c r="K110" s="11" t="s">
        <v>91</v>
      </c>
      <c r="L110" s="11" t="s">
        <v>78</v>
      </c>
      <c r="M110" s="11">
        <v>4</v>
      </c>
      <c r="N110" s="11" t="s">
        <v>90</v>
      </c>
      <c r="O110" s="11">
        <v>38.4</v>
      </c>
      <c r="P110" s="11">
        <f t="shared" si="23"/>
        <v>1536</v>
      </c>
      <c r="Q110" s="11">
        <f>((32-2*0.3)*(12-2*0.3))*M110</f>
        <v>1431.84</v>
      </c>
      <c r="R110" s="11">
        <f t="shared" si="14"/>
        <v>37.287500000000001</v>
      </c>
      <c r="S110" s="11" t="s">
        <v>65</v>
      </c>
      <c r="T110" s="11"/>
      <c r="U110" s="11">
        <f>288000+72000+528000+158400+437760+259200+145920+91200+108000</f>
        <v>2088480</v>
      </c>
      <c r="V110" s="11" t="s">
        <v>244</v>
      </c>
      <c r="W110" s="54">
        <f t="shared" si="15"/>
        <v>1458.5987261146497</v>
      </c>
      <c r="X110" s="11">
        <v>3</v>
      </c>
    </row>
    <row r="111" spans="1:24" ht="40.049999999999997" customHeight="1" x14ac:dyDescent="0.3">
      <c r="A111" s="10">
        <v>1</v>
      </c>
      <c r="B111" s="11" t="s">
        <v>672</v>
      </c>
      <c r="C111" s="11"/>
      <c r="D111" s="11"/>
      <c r="E111" s="11" t="s">
        <v>542</v>
      </c>
      <c r="F111" s="11"/>
      <c r="G111" s="11" t="s">
        <v>58</v>
      </c>
      <c r="H111" s="11"/>
      <c r="I111" s="11" t="s">
        <v>435</v>
      </c>
      <c r="J111" s="11" t="s">
        <v>366</v>
      </c>
      <c r="K111" s="11" t="s">
        <v>91</v>
      </c>
      <c r="L111" s="11" t="s">
        <v>78</v>
      </c>
      <c r="M111" s="11">
        <v>4</v>
      </c>
      <c r="N111" s="11" t="s">
        <v>90</v>
      </c>
      <c r="O111" s="11">
        <v>38.4</v>
      </c>
      <c r="P111" s="11">
        <f t="shared" si="23"/>
        <v>1536</v>
      </c>
      <c r="Q111" s="11">
        <f>((32-2*0.3)*(12-2*0.3))*M111</f>
        <v>1431.84</v>
      </c>
      <c r="R111" s="11">
        <f t="shared" si="14"/>
        <v>37.287500000000001</v>
      </c>
      <c r="S111" s="11" t="s">
        <v>67</v>
      </c>
      <c r="T111" s="11"/>
      <c r="U111" s="11">
        <v>5244</v>
      </c>
      <c r="V111" s="11" t="s">
        <v>244</v>
      </c>
      <c r="W111" s="54">
        <f t="shared" si="15"/>
        <v>3.6624203821656054</v>
      </c>
      <c r="X111" s="11">
        <v>3</v>
      </c>
    </row>
    <row r="112" spans="1:24" ht="40.049999999999997" customHeight="1" x14ac:dyDescent="0.3">
      <c r="A112" s="10">
        <v>1</v>
      </c>
      <c r="B112" s="11" t="s">
        <v>672</v>
      </c>
      <c r="C112" s="11"/>
      <c r="D112" s="11"/>
      <c r="E112" s="11" t="s">
        <v>542</v>
      </c>
      <c r="F112" s="11"/>
      <c r="G112" s="11" t="s">
        <v>58</v>
      </c>
      <c r="H112" s="11"/>
      <c r="I112" s="11" t="s">
        <v>435</v>
      </c>
      <c r="J112" s="11" t="s">
        <v>367</v>
      </c>
      <c r="K112" s="11" t="s">
        <v>88</v>
      </c>
      <c r="L112" s="11" t="s">
        <v>87</v>
      </c>
      <c r="M112" s="11">
        <v>4</v>
      </c>
      <c r="N112" s="11" t="s">
        <v>86</v>
      </c>
      <c r="O112" s="11">
        <v>38.4</v>
      </c>
      <c r="P112" s="11">
        <f t="shared" si="23"/>
        <v>1536</v>
      </c>
      <c r="Q112" s="11">
        <f>((32-2*0.16)*(12-2*0.16))*M112</f>
        <v>1480.0896</v>
      </c>
      <c r="R112" s="11">
        <f t="shared" si="14"/>
        <v>38.544000000000004</v>
      </c>
      <c r="S112" s="11" t="s">
        <v>65</v>
      </c>
      <c r="T112" s="11"/>
      <c r="U112" s="11">
        <f>91200+108000</f>
        <v>199200</v>
      </c>
      <c r="V112" s="11" t="s">
        <v>244</v>
      </c>
      <c r="W112" s="54">
        <f t="shared" si="15"/>
        <v>134.58644665836445</v>
      </c>
      <c r="X112" s="11">
        <v>3</v>
      </c>
    </row>
    <row r="113" spans="1:24" ht="40.049999999999997" customHeight="1" x14ac:dyDescent="0.3">
      <c r="A113" s="10">
        <v>1</v>
      </c>
      <c r="B113" s="11" t="s">
        <v>672</v>
      </c>
      <c r="C113" s="11"/>
      <c r="D113" s="11"/>
      <c r="E113" s="11" t="s">
        <v>542</v>
      </c>
      <c r="F113" s="11"/>
      <c r="G113" s="11" t="s">
        <v>58</v>
      </c>
      <c r="H113" s="11"/>
      <c r="I113" s="11" t="s">
        <v>435</v>
      </c>
      <c r="J113" s="11" t="s">
        <v>367</v>
      </c>
      <c r="K113" s="11" t="s">
        <v>88</v>
      </c>
      <c r="L113" s="11" t="s">
        <v>87</v>
      </c>
      <c r="M113" s="11">
        <v>4</v>
      </c>
      <c r="N113" s="11" t="s">
        <v>86</v>
      </c>
      <c r="O113" s="11">
        <v>38.4</v>
      </c>
      <c r="P113" s="11">
        <f t="shared" si="23"/>
        <v>1536</v>
      </c>
      <c r="Q113" s="11">
        <f>((32-2*0.16)*(12-2*0.16))*M113</f>
        <v>1480.0896</v>
      </c>
      <c r="R113" s="11">
        <f t="shared" si="14"/>
        <v>38.544000000000004</v>
      </c>
      <c r="S113" s="11" t="s">
        <v>67</v>
      </c>
      <c r="T113" s="11"/>
      <c r="U113" s="11">
        <f>8600+16000+17600+5600+7000+1250+11400+11000+10488</f>
        <v>88938</v>
      </c>
      <c r="V113" s="11" t="s">
        <v>244</v>
      </c>
      <c r="W113" s="54">
        <f t="shared" si="15"/>
        <v>60.089605386052305</v>
      </c>
      <c r="X113" s="11">
        <v>3</v>
      </c>
    </row>
    <row r="114" spans="1:24" ht="40.049999999999997" customHeight="1" x14ac:dyDescent="0.3">
      <c r="A114" s="10">
        <v>1</v>
      </c>
      <c r="B114" s="11" t="s">
        <v>672</v>
      </c>
      <c r="C114" s="11"/>
      <c r="D114" s="11"/>
      <c r="E114" s="11" t="s">
        <v>542</v>
      </c>
      <c r="F114" s="11"/>
      <c r="G114" s="11" t="s">
        <v>58</v>
      </c>
      <c r="H114" s="11"/>
      <c r="I114" s="11" t="s">
        <v>435</v>
      </c>
      <c r="J114" s="11" t="s">
        <v>368</v>
      </c>
      <c r="K114" s="11" t="s">
        <v>85</v>
      </c>
      <c r="L114" s="11" t="s">
        <v>68</v>
      </c>
      <c r="M114" s="11">
        <v>4</v>
      </c>
      <c r="N114" s="11" t="s">
        <v>80</v>
      </c>
      <c r="O114" s="11">
        <v>38.4</v>
      </c>
      <c r="P114" s="11">
        <f t="shared" si="23"/>
        <v>1536</v>
      </c>
      <c r="Q114" s="11">
        <f>((32-2*0.16)*(12-2*0.16))*M114</f>
        <v>1480.0896</v>
      </c>
      <c r="R114" s="11">
        <f t="shared" si="14"/>
        <v>38.544000000000004</v>
      </c>
      <c r="S114" s="11" t="s">
        <v>65</v>
      </c>
      <c r="T114" s="11"/>
      <c r="U114" s="11">
        <f>91200+108000</f>
        <v>199200</v>
      </c>
      <c r="V114" s="11" t="s">
        <v>244</v>
      </c>
      <c r="W114" s="54">
        <f t="shared" si="15"/>
        <v>134.58644665836445</v>
      </c>
      <c r="X114" s="11">
        <v>3</v>
      </c>
    </row>
    <row r="115" spans="1:24" ht="40.049999999999997" customHeight="1" x14ac:dyDescent="0.3">
      <c r="A115" s="10">
        <v>1</v>
      </c>
      <c r="B115" s="11" t="s">
        <v>672</v>
      </c>
      <c r="C115" s="11"/>
      <c r="D115" s="11"/>
      <c r="E115" s="11" t="s">
        <v>542</v>
      </c>
      <c r="F115" s="11"/>
      <c r="G115" s="11" t="s">
        <v>58</v>
      </c>
      <c r="H115" s="11"/>
      <c r="I115" s="11" t="s">
        <v>435</v>
      </c>
      <c r="J115" s="11" t="s">
        <v>368</v>
      </c>
      <c r="K115" s="11" t="s">
        <v>85</v>
      </c>
      <c r="L115" s="11" t="s">
        <v>68</v>
      </c>
      <c r="M115" s="11">
        <v>4</v>
      </c>
      <c r="N115" s="11" t="s">
        <v>80</v>
      </c>
      <c r="O115" s="11">
        <v>38.4</v>
      </c>
      <c r="P115" s="11">
        <f t="shared" si="23"/>
        <v>1536</v>
      </c>
      <c r="Q115" s="11">
        <f>((32-2*0.16)*(12-2*0.16))*M115</f>
        <v>1480.0896</v>
      </c>
      <c r="R115" s="11">
        <f t="shared" si="14"/>
        <v>38.544000000000004</v>
      </c>
      <c r="S115" s="11" t="s">
        <v>67</v>
      </c>
      <c r="T115" s="11"/>
      <c r="U115" s="11">
        <f>8600+16000+17600+5600+7000+1250+11400+11000+10488</f>
        <v>88938</v>
      </c>
      <c r="V115" s="11" t="s">
        <v>244</v>
      </c>
      <c r="W115" s="54">
        <f t="shared" si="15"/>
        <v>60.089605386052305</v>
      </c>
      <c r="X115" s="11">
        <v>3</v>
      </c>
    </row>
    <row r="116" spans="1:24" ht="40.049999999999997" customHeight="1" x14ac:dyDescent="0.3">
      <c r="A116" s="10">
        <v>1</v>
      </c>
      <c r="B116" s="11" t="s">
        <v>672</v>
      </c>
      <c r="C116" s="11"/>
      <c r="D116" s="11"/>
      <c r="E116" s="11" t="s">
        <v>542</v>
      </c>
      <c r="F116" s="11"/>
      <c r="G116" s="11" t="s">
        <v>58</v>
      </c>
      <c r="H116" s="11"/>
      <c r="I116" s="11" t="s">
        <v>435</v>
      </c>
      <c r="J116" s="11" t="s">
        <v>369</v>
      </c>
      <c r="K116" s="11" t="s">
        <v>84</v>
      </c>
      <c r="L116" s="11" t="s">
        <v>83</v>
      </c>
      <c r="M116" s="11">
        <v>4</v>
      </c>
      <c r="N116" s="11" t="s">
        <v>82</v>
      </c>
      <c r="O116" s="11">
        <v>38.4</v>
      </c>
      <c r="P116" s="11">
        <f t="shared" si="23"/>
        <v>1536</v>
      </c>
      <c r="Q116" s="11">
        <f t="shared" ref="Q116:Q119" si="24">((32-2*0.25)*(12-2*0.25))*M116</f>
        <v>1449</v>
      </c>
      <c r="R116" s="11">
        <f t="shared" si="14"/>
        <v>37.734375</v>
      </c>
      <c r="S116" s="11" t="s">
        <v>65</v>
      </c>
      <c r="T116" s="11"/>
      <c r="U116" s="11">
        <f>437760+259200+145920+91200+108000</f>
        <v>1042080</v>
      </c>
      <c r="V116" s="11" t="s">
        <v>244</v>
      </c>
      <c r="W116" s="54">
        <f t="shared" si="15"/>
        <v>719.17184265010349</v>
      </c>
      <c r="X116" s="11">
        <v>3</v>
      </c>
    </row>
    <row r="117" spans="1:24" ht="40.049999999999997" customHeight="1" x14ac:dyDescent="0.3">
      <c r="A117" s="10">
        <v>1</v>
      </c>
      <c r="B117" s="11" t="s">
        <v>672</v>
      </c>
      <c r="C117" s="11"/>
      <c r="D117" s="11"/>
      <c r="E117" s="11" t="s">
        <v>542</v>
      </c>
      <c r="F117" s="11"/>
      <c r="G117" s="11" t="s">
        <v>58</v>
      </c>
      <c r="H117" s="11"/>
      <c r="I117" s="11" t="s">
        <v>435</v>
      </c>
      <c r="J117" s="11" t="s">
        <v>369</v>
      </c>
      <c r="K117" s="11" t="s">
        <v>84</v>
      </c>
      <c r="L117" s="11" t="s">
        <v>83</v>
      </c>
      <c r="M117" s="11">
        <v>4</v>
      </c>
      <c r="N117" s="11" t="s">
        <v>82</v>
      </c>
      <c r="O117" s="11">
        <v>38.4</v>
      </c>
      <c r="P117" s="11">
        <f t="shared" si="23"/>
        <v>1536</v>
      </c>
      <c r="Q117" s="11">
        <f t="shared" si="24"/>
        <v>1449</v>
      </c>
      <c r="R117" s="11">
        <f t="shared" si="14"/>
        <v>37.734375</v>
      </c>
      <c r="S117" s="11" t="s">
        <v>67</v>
      </c>
      <c r="T117" s="11"/>
      <c r="U117" s="11">
        <f>5600+7000+1250</f>
        <v>13850</v>
      </c>
      <c r="V117" s="11" t="s">
        <v>244</v>
      </c>
      <c r="W117" s="54">
        <f t="shared" si="15"/>
        <v>9.5583160800552101</v>
      </c>
      <c r="X117" s="11">
        <v>3</v>
      </c>
    </row>
    <row r="118" spans="1:24" ht="40.049999999999997" customHeight="1" x14ac:dyDescent="0.3">
      <c r="A118" s="10">
        <v>1</v>
      </c>
      <c r="B118" s="11" t="s">
        <v>672</v>
      </c>
      <c r="C118" s="11"/>
      <c r="D118" s="11"/>
      <c r="E118" s="11" t="s">
        <v>542</v>
      </c>
      <c r="F118" s="11"/>
      <c r="G118" s="11" t="s">
        <v>58</v>
      </c>
      <c r="H118" s="11"/>
      <c r="I118" s="11" t="s">
        <v>435</v>
      </c>
      <c r="J118" s="11" t="s">
        <v>370</v>
      </c>
      <c r="K118" s="11" t="s">
        <v>81</v>
      </c>
      <c r="L118" s="11" t="s">
        <v>68</v>
      </c>
      <c r="M118" s="11">
        <v>4</v>
      </c>
      <c r="N118" s="11" t="s">
        <v>80</v>
      </c>
      <c r="O118" s="11">
        <v>38.4</v>
      </c>
      <c r="P118" s="11">
        <f t="shared" si="23"/>
        <v>1536</v>
      </c>
      <c r="Q118" s="11">
        <f t="shared" si="24"/>
        <v>1449</v>
      </c>
      <c r="R118" s="11">
        <f t="shared" si="14"/>
        <v>37.734375</v>
      </c>
      <c r="S118" s="11" t="s">
        <v>65</v>
      </c>
      <c r="T118" s="11"/>
      <c r="U118" s="11">
        <f>437760+259200+145920+91200+108000</f>
        <v>1042080</v>
      </c>
      <c r="V118" s="11" t="s">
        <v>244</v>
      </c>
      <c r="W118" s="54">
        <f t="shared" si="15"/>
        <v>719.17184265010349</v>
      </c>
      <c r="X118" s="11">
        <v>3</v>
      </c>
    </row>
    <row r="119" spans="1:24" ht="40.049999999999997" customHeight="1" x14ac:dyDescent="0.3">
      <c r="A119" s="10">
        <v>1</v>
      </c>
      <c r="B119" s="11" t="s">
        <v>672</v>
      </c>
      <c r="C119" s="11"/>
      <c r="D119" s="11"/>
      <c r="E119" s="11" t="s">
        <v>542</v>
      </c>
      <c r="F119" s="11"/>
      <c r="G119" s="11" t="s">
        <v>58</v>
      </c>
      <c r="H119" s="11"/>
      <c r="I119" s="11" t="s">
        <v>435</v>
      </c>
      <c r="J119" s="11" t="s">
        <v>370</v>
      </c>
      <c r="K119" s="11" t="s">
        <v>81</v>
      </c>
      <c r="L119" s="11" t="s">
        <v>68</v>
      </c>
      <c r="M119" s="11">
        <v>4</v>
      </c>
      <c r="N119" s="11" t="s">
        <v>80</v>
      </c>
      <c r="O119" s="11">
        <v>38.4</v>
      </c>
      <c r="P119" s="11">
        <f t="shared" si="23"/>
        <v>1536</v>
      </c>
      <c r="Q119" s="11">
        <f t="shared" si="24"/>
        <v>1449</v>
      </c>
      <c r="R119" s="11">
        <f t="shared" si="14"/>
        <v>37.734375</v>
      </c>
      <c r="S119" s="11" t="s">
        <v>67</v>
      </c>
      <c r="T119" s="11"/>
      <c r="U119" s="11">
        <f>5600+7000+1250</f>
        <v>13850</v>
      </c>
      <c r="V119" s="11" t="s">
        <v>244</v>
      </c>
      <c r="W119" s="54">
        <f t="shared" si="15"/>
        <v>9.5583160800552101</v>
      </c>
      <c r="X119" s="11">
        <v>3</v>
      </c>
    </row>
    <row r="120" spans="1:24" ht="40.049999999999997" customHeight="1" x14ac:dyDescent="0.3">
      <c r="A120" s="10">
        <v>1</v>
      </c>
      <c r="B120" s="11" t="s">
        <v>672</v>
      </c>
      <c r="C120" s="11"/>
      <c r="D120" s="11"/>
      <c r="E120" s="11" t="s">
        <v>542</v>
      </c>
      <c r="F120" s="11"/>
      <c r="G120" s="11" t="s">
        <v>58</v>
      </c>
      <c r="H120" s="11"/>
      <c r="I120" s="11" t="s">
        <v>70</v>
      </c>
      <c r="J120" s="11" t="s">
        <v>371</v>
      </c>
      <c r="K120" s="11" t="s">
        <v>79</v>
      </c>
      <c r="L120" s="11" t="s">
        <v>78</v>
      </c>
      <c r="M120" s="11">
        <v>7</v>
      </c>
      <c r="N120" s="11" t="s">
        <v>77</v>
      </c>
      <c r="O120" s="11">
        <v>69.3</v>
      </c>
      <c r="P120" s="11">
        <f t="shared" si="23"/>
        <v>2688</v>
      </c>
      <c r="Q120" s="11">
        <f>((32-2*0.15)*(12-2*0.15))*M120</f>
        <v>2596.23</v>
      </c>
      <c r="R120" s="11">
        <f t="shared" si="14"/>
        <v>37.463636363636368</v>
      </c>
      <c r="S120" s="11" t="s">
        <v>65</v>
      </c>
      <c r="T120" s="11"/>
      <c r="U120" s="11">
        <f>696000+926400+313920+145920+875520+259200+145920+91200+172800</f>
        <v>3626880</v>
      </c>
      <c r="V120" s="11" t="s">
        <v>244</v>
      </c>
      <c r="W120" s="54">
        <f t="shared" si="15"/>
        <v>1396.9794663800974</v>
      </c>
      <c r="X120" s="11">
        <v>4</v>
      </c>
    </row>
    <row r="121" spans="1:24" ht="40.049999999999997" customHeight="1" x14ac:dyDescent="0.3">
      <c r="A121" s="10">
        <v>1</v>
      </c>
      <c r="B121" s="11" t="s">
        <v>672</v>
      </c>
      <c r="C121" s="11"/>
      <c r="D121" s="11"/>
      <c r="E121" s="11" t="s">
        <v>542</v>
      </c>
      <c r="F121" s="11"/>
      <c r="G121" s="11" t="s">
        <v>58</v>
      </c>
      <c r="H121" s="11"/>
      <c r="I121" s="11" t="s">
        <v>70</v>
      </c>
      <c r="J121" s="11" t="s">
        <v>372</v>
      </c>
      <c r="K121" s="11" t="s">
        <v>76</v>
      </c>
      <c r="L121" s="11" t="s">
        <v>75</v>
      </c>
      <c r="M121" s="11">
        <v>10</v>
      </c>
      <c r="N121" s="11">
        <v>60</v>
      </c>
      <c r="O121" s="11">
        <v>120</v>
      </c>
      <c r="P121" s="11">
        <f t="shared" ref="P121:P125" si="25">(30*15)*M121</f>
        <v>4500</v>
      </c>
      <c r="Q121" s="11">
        <f>((30-2*0.25)*(15-2*0.25))*M121</f>
        <v>4277.5</v>
      </c>
      <c r="R121" s="11">
        <f t="shared" si="14"/>
        <v>35.645833333333336</v>
      </c>
      <c r="S121" s="11" t="s">
        <v>65</v>
      </c>
      <c r="T121" s="11"/>
      <c r="U121" s="11">
        <f>1200000+864000+388800+172800+1036800+288000+172800+108000+230400</f>
        <v>4461600</v>
      </c>
      <c r="V121" s="11" t="s">
        <v>244</v>
      </c>
      <c r="W121" s="54">
        <f t="shared" si="15"/>
        <v>1043.0391583869082</v>
      </c>
      <c r="X121" s="11">
        <v>4</v>
      </c>
    </row>
    <row r="122" spans="1:24" ht="40.049999999999997" customHeight="1" x14ac:dyDescent="0.3">
      <c r="A122" s="10">
        <v>1</v>
      </c>
      <c r="B122" s="11" t="s">
        <v>672</v>
      </c>
      <c r="C122" s="11"/>
      <c r="D122" s="11"/>
      <c r="E122" s="11" t="s">
        <v>542</v>
      </c>
      <c r="F122" s="11"/>
      <c r="G122" s="11" t="s">
        <v>58</v>
      </c>
      <c r="H122" s="11"/>
      <c r="I122" s="11" t="s">
        <v>70</v>
      </c>
      <c r="J122" s="11" t="s">
        <v>373</v>
      </c>
      <c r="K122" s="11" t="s">
        <v>74</v>
      </c>
      <c r="L122" s="11" t="s">
        <v>73</v>
      </c>
      <c r="M122" s="11">
        <v>10</v>
      </c>
      <c r="N122" s="11">
        <v>90</v>
      </c>
      <c r="O122" s="11">
        <v>120</v>
      </c>
      <c r="P122" s="11">
        <f t="shared" si="25"/>
        <v>4500</v>
      </c>
      <c r="Q122" s="11">
        <f t="shared" ref="Q122:Q125" si="26">((30-2*0.3)*(15-2*0.3))*M122</f>
        <v>4233.6000000000004</v>
      </c>
      <c r="R122" s="11">
        <f t="shared" si="14"/>
        <v>35.28</v>
      </c>
      <c r="S122" s="11" t="s">
        <v>65</v>
      </c>
      <c r="T122" s="11"/>
      <c r="U122" s="11">
        <f>172800+1555200+259200+145920+91200+230400</f>
        <v>2454720</v>
      </c>
      <c r="V122" s="11" t="s">
        <v>244</v>
      </c>
      <c r="W122" s="54">
        <f t="shared" si="15"/>
        <v>579.81859410430832</v>
      </c>
      <c r="X122" s="11">
        <v>4</v>
      </c>
    </row>
    <row r="123" spans="1:24" ht="40.049999999999997" customHeight="1" x14ac:dyDescent="0.3">
      <c r="A123" s="10">
        <v>1</v>
      </c>
      <c r="B123" s="11" t="s">
        <v>672</v>
      </c>
      <c r="C123" s="11"/>
      <c r="D123" s="11"/>
      <c r="E123" s="11" t="s">
        <v>542</v>
      </c>
      <c r="F123" s="11"/>
      <c r="G123" s="11" t="s">
        <v>58</v>
      </c>
      <c r="H123" s="11"/>
      <c r="I123" s="11" t="s">
        <v>70</v>
      </c>
      <c r="J123" s="11" t="s">
        <v>373</v>
      </c>
      <c r="K123" s="11" t="s">
        <v>74</v>
      </c>
      <c r="L123" s="11" t="s">
        <v>73</v>
      </c>
      <c r="M123" s="11">
        <v>10</v>
      </c>
      <c r="N123" s="11">
        <v>90</v>
      </c>
      <c r="O123" s="11">
        <v>120</v>
      </c>
      <c r="P123" s="11">
        <f t="shared" si="25"/>
        <v>4500</v>
      </c>
      <c r="Q123" s="11">
        <f t="shared" si="26"/>
        <v>4233.6000000000004</v>
      </c>
      <c r="R123" s="11">
        <f t="shared" si="14"/>
        <v>35.28</v>
      </c>
      <c r="S123" s="11" t="s">
        <v>67</v>
      </c>
      <c r="T123" s="11"/>
      <c r="U123" s="11">
        <v>10800</v>
      </c>
      <c r="V123" s="11" t="s">
        <v>244</v>
      </c>
      <c r="W123" s="54">
        <f t="shared" si="15"/>
        <v>2.5510204081632653</v>
      </c>
      <c r="X123" s="11">
        <v>4</v>
      </c>
    </row>
    <row r="124" spans="1:24" ht="40.049999999999997" customHeight="1" x14ac:dyDescent="0.3">
      <c r="A124" s="10">
        <v>1</v>
      </c>
      <c r="B124" s="11" t="s">
        <v>672</v>
      </c>
      <c r="C124" s="11"/>
      <c r="D124" s="11"/>
      <c r="E124" s="11" t="s">
        <v>542</v>
      </c>
      <c r="F124" s="11"/>
      <c r="G124" s="11" t="s">
        <v>58</v>
      </c>
      <c r="H124" s="11"/>
      <c r="I124" s="11" t="s">
        <v>70</v>
      </c>
      <c r="J124" s="11" t="s">
        <v>374</v>
      </c>
      <c r="K124" s="11"/>
      <c r="L124" s="11" t="s">
        <v>68</v>
      </c>
      <c r="M124" s="11">
        <v>10</v>
      </c>
      <c r="N124" s="11">
        <v>3.1</v>
      </c>
      <c r="O124" s="11">
        <v>120</v>
      </c>
      <c r="P124" s="11">
        <f t="shared" si="25"/>
        <v>4500</v>
      </c>
      <c r="Q124" s="11">
        <f t="shared" si="26"/>
        <v>4233.6000000000004</v>
      </c>
      <c r="R124" s="11">
        <f t="shared" si="14"/>
        <v>35.28</v>
      </c>
      <c r="S124" s="11" t="s">
        <v>65</v>
      </c>
      <c r="T124" s="11"/>
      <c r="U124" s="11">
        <f>172800+1555200+259200+145920+91200+230400</f>
        <v>2454720</v>
      </c>
      <c r="V124" s="11" t="s">
        <v>244</v>
      </c>
      <c r="W124" s="54">
        <f t="shared" si="15"/>
        <v>579.81859410430832</v>
      </c>
      <c r="X124" s="11">
        <v>4</v>
      </c>
    </row>
    <row r="125" spans="1:24" ht="40.049999999999997" customHeight="1" x14ac:dyDescent="0.3">
      <c r="A125" s="10">
        <v>1</v>
      </c>
      <c r="B125" s="11" t="s">
        <v>672</v>
      </c>
      <c r="C125" s="11"/>
      <c r="D125" s="11"/>
      <c r="E125" s="11" t="s">
        <v>542</v>
      </c>
      <c r="F125" s="11"/>
      <c r="G125" s="11" t="s">
        <v>58</v>
      </c>
      <c r="H125" s="11"/>
      <c r="I125" s="11" t="s">
        <v>70</v>
      </c>
      <c r="J125" s="11" t="s">
        <v>374</v>
      </c>
      <c r="K125" s="11"/>
      <c r="L125" s="11" t="s">
        <v>68</v>
      </c>
      <c r="M125" s="11">
        <v>10</v>
      </c>
      <c r="N125" s="11">
        <v>3.1</v>
      </c>
      <c r="O125" s="11">
        <v>120</v>
      </c>
      <c r="P125" s="11">
        <f t="shared" si="25"/>
        <v>4500</v>
      </c>
      <c r="Q125" s="11">
        <f t="shared" si="26"/>
        <v>4233.6000000000004</v>
      </c>
      <c r="R125" s="11">
        <f t="shared" si="14"/>
        <v>35.28</v>
      </c>
      <c r="S125" s="11" t="s">
        <v>67</v>
      </c>
      <c r="T125" s="11"/>
      <c r="U125" s="11">
        <v>10800</v>
      </c>
      <c r="V125" s="11" t="s">
        <v>244</v>
      </c>
      <c r="W125" s="54">
        <f t="shared" si="15"/>
        <v>2.5510204081632653</v>
      </c>
      <c r="X125" s="11">
        <v>4</v>
      </c>
    </row>
    <row r="126" spans="1:24" ht="40.049999999999997" customHeight="1" x14ac:dyDescent="0.3">
      <c r="A126" s="41">
        <v>2</v>
      </c>
      <c r="B126" s="11" t="s">
        <v>675</v>
      </c>
      <c r="C126" s="11" t="s">
        <v>387</v>
      </c>
      <c r="D126" s="11"/>
      <c r="E126" s="11" t="s">
        <v>389</v>
      </c>
      <c r="F126" s="11"/>
      <c r="G126" s="11" t="s">
        <v>58</v>
      </c>
      <c r="H126" s="11"/>
      <c r="I126" s="11" t="s">
        <v>434</v>
      </c>
      <c r="J126" s="11"/>
      <c r="K126" s="11" t="s">
        <v>388</v>
      </c>
      <c r="L126" s="11"/>
      <c r="M126" s="11"/>
      <c r="N126" s="11"/>
      <c r="O126" s="11">
        <v>4</v>
      </c>
      <c r="P126" s="11">
        <v>140</v>
      </c>
      <c r="Q126" s="11">
        <f>((10-2*0.5)*(7-2*0.5))*2</f>
        <v>108</v>
      </c>
      <c r="R126" s="11">
        <f t="shared" si="14"/>
        <v>27</v>
      </c>
      <c r="S126" s="11" t="s">
        <v>67</v>
      </c>
      <c r="T126" s="11"/>
      <c r="U126" s="11">
        <v>5725</v>
      </c>
      <c r="V126" s="11" t="s">
        <v>244</v>
      </c>
      <c r="W126" s="54">
        <f t="shared" si="15"/>
        <v>53.00925925925926</v>
      </c>
      <c r="X126" s="11">
        <v>2</v>
      </c>
    </row>
    <row r="127" spans="1:24" ht="40.049999999999997" customHeight="1" x14ac:dyDescent="0.3">
      <c r="A127" s="41">
        <v>2</v>
      </c>
      <c r="B127" s="11" t="s">
        <v>674</v>
      </c>
      <c r="C127" s="11"/>
      <c r="D127" s="11"/>
      <c r="E127" s="11" t="s">
        <v>389</v>
      </c>
      <c r="F127" s="11"/>
      <c r="G127" s="11" t="s">
        <v>58</v>
      </c>
      <c r="H127" s="11"/>
      <c r="I127" s="11" t="s">
        <v>434</v>
      </c>
      <c r="J127" s="11"/>
      <c r="K127" s="11" t="s">
        <v>388</v>
      </c>
      <c r="L127" s="11"/>
      <c r="M127" s="11"/>
      <c r="N127" s="11"/>
      <c r="O127" s="11">
        <v>4</v>
      </c>
      <c r="P127" s="11">
        <v>140</v>
      </c>
      <c r="Q127" s="11">
        <f>((10-2*0.5)*(7-2*0.5))*2</f>
        <v>108</v>
      </c>
      <c r="R127" s="11">
        <f t="shared" si="14"/>
        <v>27</v>
      </c>
      <c r="S127" s="11" t="s">
        <v>65</v>
      </c>
      <c r="T127" s="11"/>
      <c r="U127" s="11">
        <v>130800</v>
      </c>
      <c r="V127" s="11" t="s">
        <v>244</v>
      </c>
      <c r="W127" s="54">
        <f t="shared" si="15"/>
        <v>1211.1111111111111</v>
      </c>
      <c r="X127" s="11">
        <v>2</v>
      </c>
    </row>
    <row r="128" spans="1:24" ht="40.049999999999997" customHeight="1" x14ac:dyDescent="0.3">
      <c r="A128" s="41">
        <v>2</v>
      </c>
      <c r="B128" s="11" t="s">
        <v>674</v>
      </c>
      <c r="C128" s="11"/>
      <c r="D128" s="11"/>
      <c r="E128" s="11" t="s">
        <v>389</v>
      </c>
      <c r="F128" s="11"/>
      <c r="G128" s="11" t="s">
        <v>58</v>
      </c>
      <c r="H128" s="11"/>
      <c r="I128" s="11" t="s">
        <v>434</v>
      </c>
      <c r="J128" s="11"/>
      <c r="K128" s="11" t="s">
        <v>388</v>
      </c>
      <c r="L128" s="11"/>
      <c r="M128" s="11"/>
      <c r="N128" s="11"/>
      <c r="O128" s="11">
        <v>4</v>
      </c>
      <c r="P128" s="11">
        <v>140</v>
      </c>
      <c r="Q128" s="11">
        <f>((10-2*0.5)*(7-2*0.5))*2</f>
        <v>108</v>
      </c>
      <c r="R128" s="11">
        <f t="shared" si="14"/>
        <v>27</v>
      </c>
      <c r="S128" s="11" t="s">
        <v>290</v>
      </c>
      <c r="T128" s="11"/>
      <c r="U128" s="11">
        <v>25.3</v>
      </c>
      <c r="V128" s="11" t="s">
        <v>244</v>
      </c>
      <c r="W128" s="54">
        <f t="shared" si="15"/>
        <v>0.23425925925925928</v>
      </c>
      <c r="X128" s="11">
        <v>2</v>
      </c>
    </row>
    <row r="129" spans="1:24" ht="40.049999999999997" customHeight="1" x14ac:dyDescent="0.3">
      <c r="A129" s="41">
        <v>3</v>
      </c>
      <c r="B129" s="11" t="s">
        <v>677</v>
      </c>
      <c r="C129" s="11" t="s">
        <v>599</v>
      </c>
      <c r="D129" s="11"/>
      <c r="E129" s="11" t="s">
        <v>63</v>
      </c>
      <c r="F129" s="11" t="s">
        <v>62</v>
      </c>
      <c r="G129" s="11" t="s">
        <v>58</v>
      </c>
      <c r="H129" s="11" t="s">
        <v>28</v>
      </c>
      <c r="I129" s="11" t="s">
        <v>391</v>
      </c>
      <c r="J129" s="11" t="s">
        <v>61</v>
      </c>
      <c r="K129" s="11" t="s">
        <v>60</v>
      </c>
      <c r="L129" s="11">
        <v>2012</v>
      </c>
      <c r="M129" s="11">
        <v>3</v>
      </c>
      <c r="N129" s="11"/>
      <c r="O129" s="11">
        <v>4</v>
      </c>
      <c r="P129" s="11">
        <v>330</v>
      </c>
      <c r="Q129" s="11">
        <f>P129*0.9</f>
        <v>297</v>
      </c>
      <c r="R129" s="11">
        <f t="shared" si="14"/>
        <v>74.25</v>
      </c>
      <c r="S129" s="11" t="s">
        <v>30</v>
      </c>
      <c r="T129" s="11"/>
      <c r="U129" s="11">
        <f>(0.008+0.532+4.918+5.508+0.411+0.411+0.065)*1000</f>
        <v>11853</v>
      </c>
      <c r="V129" s="11" t="s">
        <v>244</v>
      </c>
      <c r="W129" s="54">
        <f t="shared" si="15"/>
        <v>39.909090909090907</v>
      </c>
      <c r="X129" s="11">
        <v>1</v>
      </c>
    </row>
    <row r="130" spans="1:24" ht="40.049999999999997" customHeight="1" x14ac:dyDescent="0.3">
      <c r="A130" s="41">
        <v>3</v>
      </c>
      <c r="B130" s="11" t="s">
        <v>676</v>
      </c>
      <c r="C130" s="11"/>
      <c r="D130" s="11"/>
      <c r="E130" s="11" t="s">
        <v>63</v>
      </c>
      <c r="F130" s="11"/>
      <c r="G130" s="11" t="s">
        <v>58</v>
      </c>
      <c r="H130" s="11"/>
      <c r="I130" s="11" t="s">
        <v>391</v>
      </c>
      <c r="J130" s="11" t="s">
        <v>61</v>
      </c>
      <c r="K130" s="11" t="s">
        <v>60</v>
      </c>
      <c r="L130" s="11">
        <v>2012</v>
      </c>
      <c r="M130" s="11">
        <v>3</v>
      </c>
      <c r="N130" s="11"/>
      <c r="O130" s="11">
        <v>4</v>
      </c>
      <c r="P130" s="11">
        <v>330</v>
      </c>
      <c r="Q130" s="11">
        <f>P130*0.9</f>
        <v>297</v>
      </c>
      <c r="R130" s="11">
        <f>Q130/O130</f>
        <v>74.25</v>
      </c>
      <c r="S130" s="11" t="s">
        <v>65</v>
      </c>
      <c r="T130" s="11">
        <v>2320</v>
      </c>
      <c r="U130" s="11">
        <f>(25.295+15.466+12.045+18.068+9.679+20.595)*T130</f>
        <v>234663.36000000002</v>
      </c>
      <c r="V130" s="11" t="s">
        <v>244</v>
      </c>
      <c r="W130" s="54">
        <f t="shared" ref="W130:W140" si="27">U130/Q130</f>
        <v>790.11232323232332</v>
      </c>
      <c r="X130" s="11">
        <v>1</v>
      </c>
    </row>
    <row r="131" spans="1:24" ht="40.049999999999997" customHeight="1" x14ac:dyDescent="0.3">
      <c r="A131" s="41">
        <v>3</v>
      </c>
      <c r="B131" s="11" t="s">
        <v>676</v>
      </c>
      <c r="C131" s="11"/>
      <c r="D131" s="11"/>
      <c r="E131" s="11" t="s">
        <v>63</v>
      </c>
      <c r="F131" s="11"/>
      <c r="G131" s="11" t="s">
        <v>58</v>
      </c>
      <c r="H131" s="11" t="s">
        <v>28</v>
      </c>
      <c r="I131" s="11" t="s">
        <v>391</v>
      </c>
      <c r="J131" s="11" t="s">
        <v>61</v>
      </c>
      <c r="K131" s="11" t="s">
        <v>60</v>
      </c>
      <c r="L131" s="11">
        <v>2012</v>
      </c>
      <c r="M131" s="11">
        <v>3</v>
      </c>
      <c r="N131" s="11" t="s">
        <v>28</v>
      </c>
      <c r="O131" s="11">
        <v>4</v>
      </c>
      <c r="P131" s="11">
        <v>330</v>
      </c>
      <c r="Q131" s="11">
        <f>P131*0.9</f>
        <v>297</v>
      </c>
      <c r="R131" s="11">
        <f>Q131/O131</f>
        <v>74.25</v>
      </c>
      <c r="S131" s="11" t="s">
        <v>414</v>
      </c>
      <c r="T131" s="11"/>
      <c r="U131" s="11">
        <f>0.002*1000</f>
        <v>2</v>
      </c>
      <c r="V131" s="11" t="s">
        <v>244</v>
      </c>
      <c r="W131" s="54">
        <f t="shared" si="27"/>
        <v>6.7340067340067337E-3</v>
      </c>
      <c r="X131" s="11">
        <v>1</v>
      </c>
    </row>
    <row r="132" spans="1:24" ht="40.049999999999997" customHeight="1" x14ac:dyDescent="0.3">
      <c r="A132" s="41">
        <v>3</v>
      </c>
      <c r="B132" s="11" t="s">
        <v>676</v>
      </c>
      <c r="C132" s="11"/>
      <c r="D132" s="11"/>
      <c r="E132" s="11" t="s">
        <v>63</v>
      </c>
      <c r="F132" s="11"/>
      <c r="G132" s="11" t="s">
        <v>58</v>
      </c>
      <c r="H132" s="11"/>
      <c r="I132" s="11" t="s">
        <v>391</v>
      </c>
      <c r="J132" s="11" t="s">
        <v>61</v>
      </c>
      <c r="K132" s="11" t="s">
        <v>60</v>
      </c>
      <c r="L132" s="11">
        <v>2012</v>
      </c>
      <c r="M132" s="11">
        <v>3</v>
      </c>
      <c r="N132" s="11"/>
      <c r="O132" s="11">
        <v>4</v>
      </c>
      <c r="P132" s="11">
        <v>330</v>
      </c>
      <c r="Q132" s="11">
        <f>P132*0.9</f>
        <v>297</v>
      </c>
      <c r="R132" s="11">
        <f>Q132/O132</f>
        <v>74.25</v>
      </c>
      <c r="S132" s="11" t="s">
        <v>67</v>
      </c>
      <c r="T132" s="11">
        <v>450</v>
      </c>
      <c r="U132" s="11">
        <f>(4.68+7.36+0.328)*T132</f>
        <v>5565.5999999999995</v>
      </c>
      <c r="V132" s="11" t="s">
        <v>244</v>
      </c>
      <c r="W132" s="54">
        <f t="shared" si="27"/>
        <v>18.739393939393938</v>
      </c>
      <c r="X132" s="11">
        <v>1</v>
      </c>
    </row>
    <row r="133" spans="1:24" ht="40.049999999999997" customHeight="1" x14ac:dyDescent="0.3">
      <c r="A133" s="41">
        <v>3</v>
      </c>
      <c r="B133" s="11" t="s">
        <v>676</v>
      </c>
      <c r="C133" s="11"/>
      <c r="D133" s="11"/>
      <c r="E133" s="11" t="s">
        <v>63</v>
      </c>
      <c r="F133" s="11"/>
      <c r="G133" s="11" t="s">
        <v>58</v>
      </c>
      <c r="H133" s="11" t="s">
        <v>28</v>
      </c>
      <c r="I133" s="11" t="s">
        <v>70</v>
      </c>
      <c r="J133" s="11" t="s">
        <v>56</v>
      </c>
      <c r="K133" s="11" t="s">
        <v>57</v>
      </c>
      <c r="L133" s="11" t="s">
        <v>55</v>
      </c>
      <c r="M133" s="11" t="s">
        <v>54</v>
      </c>
      <c r="N133" s="11" t="s">
        <v>394</v>
      </c>
      <c r="O133" s="11" t="s">
        <v>539</v>
      </c>
      <c r="P133" s="11" t="s">
        <v>53</v>
      </c>
      <c r="Q133" s="11">
        <f>(80*0.9)</f>
        <v>72</v>
      </c>
      <c r="R133" s="11">
        <f>Q133/O134</f>
        <v>36</v>
      </c>
      <c r="S133" s="11" t="s">
        <v>30</v>
      </c>
      <c r="T133" s="11"/>
      <c r="U133" s="11">
        <f>(0.003+0.005+1.529+0.122+0.13)*1000</f>
        <v>1788.9999999999998</v>
      </c>
      <c r="V133" s="11" t="s">
        <v>244</v>
      </c>
      <c r="W133" s="54">
        <f t="shared" si="27"/>
        <v>24.847222222222218</v>
      </c>
      <c r="X133" s="11">
        <v>4</v>
      </c>
    </row>
    <row r="134" spans="1:24" ht="40.049999999999997" customHeight="1" x14ac:dyDescent="0.3">
      <c r="A134" s="41">
        <v>3</v>
      </c>
      <c r="B134" s="11" t="s">
        <v>676</v>
      </c>
      <c r="C134" s="11"/>
      <c r="D134" s="11"/>
      <c r="E134" s="11" t="s">
        <v>63</v>
      </c>
      <c r="F134" s="11"/>
      <c r="G134" s="11" t="s">
        <v>58</v>
      </c>
      <c r="H134" s="11"/>
      <c r="I134" s="11" t="s">
        <v>70</v>
      </c>
      <c r="J134" s="11" t="s">
        <v>56</v>
      </c>
      <c r="K134" s="11" t="s">
        <v>57</v>
      </c>
      <c r="L134" s="11" t="s">
        <v>55</v>
      </c>
      <c r="M134" s="11" t="s">
        <v>54</v>
      </c>
      <c r="N134" s="11" t="s">
        <v>394</v>
      </c>
      <c r="O134" s="11">
        <v>2</v>
      </c>
      <c r="P134" s="11">
        <v>80</v>
      </c>
      <c r="Q134" s="11">
        <f>(80*0.9)</f>
        <v>72</v>
      </c>
      <c r="R134" s="11">
        <f>Q134/O134</f>
        <v>36</v>
      </c>
      <c r="S134" s="11" t="s">
        <v>65</v>
      </c>
      <c r="T134" s="11">
        <v>2320</v>
      </c>
      <c r="U134" s="11">
        <f>(8.888+3.52+9.203+1.32+2.787+6.989)*T134</f>
        <v>75880.239999999991</v>
      </c>
      <c r="V134" s="11" t="s">
        <v>244</v>
      </c>
      <c r="W134" s="54">
        <f t="shared" si="27"/>
        <v>1053.892222222222</v>
      </c>
      <c r="X134" s="11">
        <v>4</v>
      </c>
    </row>
    <row r="135" spans="1:24" ht="40.049999999999997" customHeight="1" x14ac:dyDescent="0.3">
      <c r="A135" s="41">
        <v>3</v>
      </c>
      <c r="B135" s="11" t="s">
        <v>676</v>
      </c>
      <c r="C135" s="11"/>
      <c r="D135" s="11"/>
      <c r="E135" s="11" t="s">
        <v>63</v>
      </c>
      <c r="F135" s="11"/>
      <c r="G135" s="11" t="s">
        <v>58</v>
      </c>
      <c r="H135" s="11" t="s">
        <v>28</v>
      </c>
      <c r="I135" s="11" t="s">
        <v>70</v>
      </c>
      <c r="J135" s="11" t="s">
        <v>56</v>
      </c>
      <c r="K135" s="11" t="s">
        <v>57</v>
      </c>
      <c r="L135" s="11" t="s">
        <v>55</v>
      </c>
      <c r="M135" s="11" t="s">
        <v>54</v>
      </c>
      <c r="N135" s="11" t="s">
        <v>394</v>
      </c>
      <c r="O135" s="11">
        <v>2</v>
      </c>
      <c r="P135" s="11">
        <v>80</v>
      </c>
      <c r="Q135" s="11">
        <f>(80*0.9)</f>
        <v>72</v>
      </c>
      <c r="R135" s="11">
        <f t="shared" ref="R135:R150" si="28">Q135/O135</f>
        <v>36</v>
      </c>
      <c r="S135" s="11" t="s">
        <v>414</v>
      </c>
      <c r="T135" s="11"/>
      <c r="U135" s="11">
        <f>0.001*1000</f>
        <v>1</v>
      </c>
      <c r="V135" s="11" t="s">
        <v>244</v>
      </c>
      <c r="W135" s="54">
        <f t="shared" si="27"/>
        <v>1.3888888888888888E-2</v>
      </c>
      <c r="X135" s="11">
        <v>4</v>
      </c>
    </row>
    <row r="136" spans="1:24" ht="40.049999999999997" customHeight="1" x14ac:dyDescent="0.3">
      <c r="A136" s="41">
        <v>3</v>
      </c>
      <c r="B136" s="11" t="s">
        <v>676</v>
      </c>
      <c r="C136" s="11"/>
      <c r="D136" s="11"/>
      <c r="E136" s="11" t="s">
        <v>63</v>
      </c>
      <c r="F136" s="11"/>
      <c r="G136" s="11" t="s">
        <v>58</v>
      </c>
      <c r="H136" s="11"/>
      <c r="I136" s="11" t="s">
        <v>70</v>
      </c>
      <c r="J136" s="11" t="s">
        <v>56</v>
      </c>
      <c r="K136" s="11" t="s">
        <v>57</v>
      </c>
      <c r="L136" s="11" t="s">
        <v>55</v>
      </c>
      <c r="M136" s="11" t="s">
        <v>54</v>
      </c>
      <c r="N136" s="11" t="s">
        <v>394</v>
      </c>
      <c r="O136" s="11">
        <v>2</v>
      </c>
      <c r="P136" s="11">
        <v>80</v>
      </c>
      <c r="Q136" s="11">
        <f>(80*0.9)</f>
        <v>72</v>
      </c>
      <c r="R136" s="11">
        <f t="shared" si="28"/>
        <v>36</v>
      </c>
      <c r="S136" s="11" t="s">
        <v>67</v>
      </c>
      <c r="T136" s="11">
        <v>450</v>
      </c>
      <c r="U136" s="11">
        <f>(1.62+0.131)*T136</f>
        <v>787.95</v>
      </c>
      <c r="V136" s="11" t="s">
        <v>244</v>
      </c>
      <c r="W136" s="54">
        <f t="shared" si="27"/>
        <v>10.943750000000001</v>
      </c>
      <c r="X136" s="11">
        <v>4</v>
      </c>
    </row>
    <row r="137" spans="1:24" ht="40.049999999999997" customHeight="1" x14ac:dyDescent="0.3">
      <c r="A137" s="10">
        <v>4</v>
      </c>
      <c r="B137" s="11" t="s">
        <v>679</v>
      </c>
      <c r="C137" s="11" t="s">
        <v>749</v>
      </c>
      <c r="D137" s="11"/>
      <c r="E137" s="11" t="s">
        <v>390</v>
      </c>
      <c r="F137" s="11"/>
      <c r="G137" s="11" t="s">
        <v>215</v>
      </c>
      <c r="H137" s="11" t="s">
        <v>392</v>
      </c>
      <c r="I137" s="11" t="s">
        <v>391</v>
      </c>
      <c r="J137" s="11"/>
      <c r="K137" s="11" t="s">
        <v>393</v>
      </c>
      <c r="L137" s="11"/>
      <c r="M137" s="11">
        <v>2</v>
      </c>
      <c r="N137" s="11"/>
      <c r="O137" s="11">
        <v>2.2999999999999998</v>
      </c>
      <c r="P137" s="11"/>
      <c r="Q137" s="11">
        <v>130</v>
      </c>
      <c r="R137" s="11">
        <f t="shared" si="28"/>
        <v>56.521739130434788</v>
      </c>
      <c r="S137" s="11" t="s">
        <v>65</v>
      </c>
      <c r="T137" s="11"/>
      <c r="U137" s="11">
        <f>14577+19615+15600+3750</f>
        <v>53542</v>
      </c>
      <c r="V137" s="11" t="s">
        <v>244</v>
      </c>
      <c r="W137" s="54">
        <f t="shared" si="27"/>
        <v>411.86153846153849</v>
      </c>
      <c r="X137" s="11">
        <v>1</v>
      </c>
    </row>
    <row r="138" spans="1:24" ht="40.049999999999997" customHeight="1" x14ac:dyDescent="0.3">
      <c r="A138" s="10">
        <v>4</v>
      </c>
      <c r="B138" s="11" t="s">
        <v>678</v>
      </c>
      <c r="C138" s="11"/>
      <c r="D138" s="11"/>
      <c r="E138" s="11" t="s">
        <v>390</v>
      </c>
      <c r="F138" s="11"/>
      <c r="G138" s="11" t="s">
        <v>215</v>
      </c>
      <c r="H138" s="11"/>
      <c r="I138" s="11" t="s">
        <v>391</v>
      </c>
      <c r="J138" s="11"/>
      <c r="K138" s="11" t="s">
        <v>393</v>
      </c>
      <c r="L138" s="11"/>
      <c r="M138" s="11">
        <v>2</v>
      </c>
      <c r="N138" s="11"/>
      <c r="O138" s="11">
        <v>2.2999999999999998</v>
      </c>
      <c r="P138" s="11"/>
      <c r="Q138" s="11">
        <v>130</v>
      </c>
      <c r="R138" s="11">
        <f t="shared" si="28"/>
        <v>56.521739130434788</v>
      </c>
      <c r="S138" s="11" t="s">
        <v>67</v>
      </c>
      <c r="T138" s="11"/>
      <c r="U138" s="11">
        <f>640+1104+264+2478+78+292+121</f>
        <v>4977</v>
      </c>
      <c r="V138" s="11" t="s">
        <v>244</v>
      </c>
      <c r="W138" s="54">
        <f t="shared" si="27"/>
        <v>38.284615384615385</v>
      </c>
      <c r="X138" s="11">
        <v>1</v>
      </c>
    </row>
    <row r="139" spans="1:24" ht="40.049999999999997" customHeight="1" x14ac:dyDescent="0.3">
      <c r="A139" s="10">
        <v>4</v>
      </c>
      <c r="B139" s="11" t="s">
        <v>678</v>
      </c>
      <c r="C139" s="11"/>
      <c r="D139" s="11"/>
      <c r="E139" s="11" t="s">
        <v>390</v>
      </c>
      <c r="F139" s="11"/>
      <c r="G139" s="11" t="s">
        <v>215</v>
      </c>
      <c r="H139" s="11"/>
      <c r="I139" s="11" t="s">
        <v>434</v>
      </c>
      <c r="J139" s="11"/>
      <c r="K139" s="11" t="s">
        <v>393</v>
      </c>
      <c r="L139" s="11"/>
      <c r="M139" s="11">
        <v>2</v>
      </c>
      <c r="N139" s="11"/>
      <c r="O139" s="11">
        <v>2.2999999999999998</v>
      </c>
      <c r="P139" s="11"/>
      <c r="Q139" s="11">
        <v>90</v>
      </c>
      <c r="R139" s="11">
        <f t="shared" si="28"/>
        <v>39.130434782608695</v>
      </c>
      <c r="S139" s="11" t="s">
        <v>65</v>
      </c>
      <c r="T139" s="11"/>
      <c r="U139" s="11">
        <f>10559+16157+10824+2602</f>
        <v>40142</v>
      </c>
      <c r="V139" s="11" t="s">
        <v>244</v>
      </c>
      <c r="W139" s="54">
        <f t="shared" si="27"/>
        <v>446.02222222222224</v>
      </c>
      <c r="X139" s="11">
        <v>2</v>
      </c>
    </row>
    <row r="140" spans="1:24" ht="40.049999999999997" customHeight="1" x14ac:dyDescent="0.3">
      <c r="A140" s="10">
        <v>4</v>
      </c>
      <c r="B140" s="11" t="s">
        <v>678</v>
      </c>
      <c r="C140" s="11"/>
      <c r="D140" s="11"/>
      <c r="E140" s="11" t="s">
        <v>390</v>
      </c>
      <c r="F140" s="11"/>
      <c r="G140" s="11" t="s">
        <v>215</v>
      </c>
      <c r="H140" s="11"/>
      <c r="I140" s="11" t="s">
        <v>434</v>
      </c>
      <c r="J140" s="11"/>
      <c r="K140" s="11" t="s">
        <v>393</v>
      </c>
      <c r="L140" s="11"/>
      <c r="M140" s="11">
        <v>2</v>
      </c>
      <c r="N140" s="11"/>
      <c r="O140" s="11">
        <v>2.2999999999999998</v>
      </c>
      <c r="P140" s="11"/>
      <c r="Q140" s="11">
        <v>90</v>
      </c>
      <c r="R140" s="11">
        <f t="shared" si="28"/>
        <v>39.130434782608695</v>
      </c>
      <c r="S140" s="11" t="s">
        <v>67</v>
      </c>
      <c r="T140" s="11"/>
      <c r="U140" s="11">
        <f>443+767+227+1668+54+371</f>
        <v>3530</v>
      </c>
      <c r="V140" s="11" t="s">
        <v>244</v>
      </c>
      <c r="W140" s="54">
        <f t="shared" si="27"/>
        <v>39.222222222222221</v>
      </c>
      <c r="X140" s="11">
        <v>2</v>
      </c>
    </row>
    <row r="141" spans="1:24" ht="40.049999999999997" customHeight="1" x14ac:dyDescent="0.3">
      <c r="A141" s="10">
        <v>4</v>
      </c>
      <c r="B141" s="11" t="s">
        <v>678</v>
      </c>
      <c r="C141" s="11"/>
      <c r="D141" s="11"/>
      <c r="E141" s="11" t="s">
        <v>390</v>
      </c>
      <c r="F141" s="11"/>
      <c r="G141" s="11" t="s">
        <v>215</v>
      </c>
      <c r="H141" s="11"/>
      <c r="I141" s="11" t="s">
        <v>434</v>
      </c>
      <c r="J141" s="11"/>
      <c r="K141" s="11" t="s">
        <v>393</v>
      </c>
      <c r="L141" s="11"/>
      <c r="M141" s="11">
        <v>2</v>
      </c>
      <c r="N141" s="11"/>
      <c r="O141" s="11">
        <v>2.2999999999999998</v>
      </c>
      <c r="P141" s="11"/>
      <c r="Q141" s="11">
        <v>60</v>
      </c>
      <c r="R141" s="11">
        <f t="shared" si="28"/>
        <v>26.086956521739133</v>
      </c>
      <c r="S141" s="11" t="s">
        <v>65</v>
      </c>
      <c r="T141" s="11"/>
      <c r="U141" s="11">
        <f>6716+13094+7200+1732</f>
        <v>28742</v>
      </c>
      <c r="V141" s="11" t="s">
        <v>244</v>
      </c>
      <c r="W141" s="54">
        <f>U141/Q141</f>
        <v>479.03333333333336</v>
      </c>
      <c r="X141" s="11">
        <v>2</v>
      </c>
    </row>
    <row r="142" spans="1:24" ht="40.049999999999997" customHeight="1" x14ac:dyDescent="0.3">
      <c r="A142" s="10">
        <v>4</v>
      </c>
      <c r="B142" s="11" t="s">
        <v>678</v>
      </c>
      <c r="C142" s="11"/>
      <c r="D142" s="11"/>
      <c r="E142" s="11" t="s">
        <v>390</v>
      </c>
      <c r="F142" s="11"/>
      <c r="G142" s="11" t="s">
        <v>215</v>
      </c>
      <c r="H142" s="11"/>
      <c r="I142" s="11" t="s">
        <v>434</v>
      </c>
      <c r="J142" s="11"/>
      <c r="K142" s="11" t="s">
        <v>393</v>
      </c>
      <c r="L142" s="11"/>
      <c r="M142" s="11">
        <v>2</v>
      </c>
      <c r="N142" s="11"/>
      <c r="O142" s="11">
        <v>2.2999999999999998</v>
      </c>
      <c r="P142" s="11"/>
      <c r="Q142" s="11">
        <v>60</v>
      </c>
      <c r="R142" s="11">
        <f t="shared" si="28"/>
        <v>26.086956521739133</v>
      </c>
      <c r="S142" s="11" t="s">
        <v>67</v>
      </c>
      <c r="T142" s="11"/>
      <c r="U142" s="11">
        <f>288+504+161+1185+38+288</f>
        <v>2464</v>
      </c>
      <c r="V142" s="11" t="s">
        <v>244</v>
      </c>
      <c r="W142" s="54">
        <f>U142/Q142</f>
        <v>41.06666666666667</v>
      </c>
      <c r="X142" s="11">
        <v>2</v>
      </c>
    </row>
    <row r="143" spans="1:24" ht="40.049999999999997" customHeight="1" x14ac:dyDescent="0.3">
      <c r="A143" s="10">
        <v>5</v>
      </c>
      <c r="B143" s="11" t="s">
        <v>657</v>
      </c>
      <c r="C143" s="11" t="s">
        <v>643</v>
      </c>
      <c r="D143" s="11"/>
      <c r="E143" s="11" t="s">
        <v>543</v>
      </c>
      <c r="F143" s="11"/>
      <c r="G143" s="11" t="s">
        <v>58</v>
      </c>
      <c r="H143" s="11"/>
      <c r="I143" s="11" t="s">
        <v>428</v>
      </c>
      <c r="J143" s="11"/>
      <c r="K143" s="11" t="s">
        <v>436</v>
      </c>
      <c r="L143" s="11"/>
      <c r="M143" s="11">
        <v>2</v>
      </c>
      <c r="N143" s="11">
        <v>1</v>
      </c>
      <c r="O143" s="11">
        <v>4</v>
      </c>
      <c r="P143" s="11"/>
      <c r="Q143" s="11">
        <v>353</v>
      </c>
      <c r="R143" s="11">
        <f t="shared" si="28"/>
        <v>88.25</v>
      </c>
      <c r="S143" s="11" t="s">
        <v>65</v>
      </c>
      <c r="T143" s="11"/>
      <c r="U143" s="11">
        <v>302608</v>
      </c>
      <c r="V143" s="11" t="s">
        <v>244</v>
      </c>
      <c r="W143" s="54">
        <f t="shared" ref="W143:W150" si="29">U143/Q143</f>
        <v>857.24645892351271</v>
      </c>
      <c r="X143" s="11">
        <v>1</v>
      </c>
    </row>
    <row r="144" spans="1:24" ht="40.049999999999997" customHeight="1" x14ac:dyDescent="0.3">
      <c r="A144" s="10">
        <v>5</v>
      </c>
      <c r="B144" s="11" t="s">
        <v>656</v>
      </c>
      <c r="C144" s="11"/>
      <c r="D144" s="11"/>
      <c r="E144" s="11" t="s">
        <v>543</v>
      </c>
      <c r="F144" s="11"/>
      <c r="G144" s="11" t="s">
        <v>58</v>
      </c>
      <c r="H144" s="11"/>
      <c r="I144" s="11" t="s">
        <v>428</v>
      </c>
      <c r="J144" s="11"/>
      <c r="K144" s="11" t="s">
        <v>436</v>
      </c>
      <c r="L144" s="11"/>
      <c r="M144" s="11">
        <v>2</v>
      </c>
      <c r="N144" s="11">
        <v>1</v>
      </c>
      <c r="O144" s="11">
        <v>4</v>
      </c>
      <c r="P144" s="11"/>
      <c r="Q144" s="11">
        <v>353</v>
      </c>
      <c r="R144" s="11">
        <f t="shared" si="28"/>
        <v>88.25</v>
      </c>
      <c r="S144" s="11" t="s">
        <v>290</v>
      </c>
      <c r="T144" s="11"/>
      <c r="U144" s="11">
        <v>330</v>
      </c>
      <c r="V144" s="11" t="s">
        <v>244</v>
      </c>
      <c r="W144" s="54">
        <f t="shared" si="29"/>
        <v>0.93484419263456087</v>
      </c>
      <c r="X144" s="11">
        <v>1</v>
      </c>
    </row>
    <row r="145" spans="1:24" ht="40.049999999999997" customHeight="1" x14ac:dyDescent="0.3">
      <c r="A145" s="10">
        <v>5</v>
      </c>
      <c r="B145" s="11" t="s">
        <v>656</v>
      </c>
      <c r="C145" s="11"/>
      <c r="D145" s="11"/>
      <c r="E145" s="11" t="s">
        <v>543</v>
      </c>
      <c r="F145" s="11"/>
      <c r="G145" s="11" t="s">
        <v>58</v>
      </c>
      <c r="H145" s="11"/>
      <c r="I145" s="11" t="s">
        <v>428</v>
      </c>
      <c r="J145" s="11"/>
      <c r="K145" s="11" t="s">
        <v>436</v>
      </c>
      <c r="L145" s="11"/>
      <c r="M145" s="11">
        <v>2</v>
      </c>
      <c r="N145" s="11">
        <v>1</v>
      </c>
      <c r="O145" s="11">
        <v>4</v>
      </c>
      <c r="P145" s="11"/>
      <c r="Q145" s="11">
        <v>353</v>
      </c>
      <c r="R145" s="11">
        <f t="shared" si="28"/>
        <v>88.25</v>
      </c>
      <c r="S145" s="11" t="s">
        <v>414</v>
      </c>
      <c r="T145" s="11"/>
      <c r="U145" s="11">
        <v>114</v>
      </c>
      <c r="V145" s="11" t="s">
        <v>244</v>
      </c>
      <c r="W145" s="54">
        <f t="shared" si="29"/>
        <v>0.32294617563739375</v>
      </c>
      <c r="X145" s="11">
        <v>1</v>
      </c>
    </row>
    <row r="146" spans="1:24" ht="40.049999999999997" customHeight="1" x14ac:dyDescent="0.3">
      <c r="A146" s="10">
        <v>5</v>
      </c>
      <c r="B146" s="11" t="s">
        <v>656</v>
      </c>
      <c r="C146" s="11"/>
      <c r="D146" s="11"/>
      <c r="E146" s="11" t="s">
        <v>543</v>
      </c>
      <c r="F146" s="11"/>
      <c r="G146" s="11" t="s">
        <v>58</v>
      </c>
      <c r="H146" s="11"/>
      <c r="I146" s="11" t="s">
        <v>428</v>
      </c>
      <c r="J146" s="11"/>
      <c r="K146" s="11" t="s">
        <v>436</v>
      </c>
      <c r="L146" s="11"/>
      <c r="M146" s="11">
        <v>2</v>
      </c>
      <c r="N146" s="11">
        <v>1</v>
      </c>
      <c r="O146" s="11">
        <v>4</v>
      </c>
      <c r="P146" s="11"/>
      <c r="Q146" s="11">
        <v>353</v>
      </c>
      <c r="R146" s="11">
        <f t="shared" si="28"/>
        <v>88.25</v>
      </c>
      <c r="S146" s="11" t="s">
        <v>67</v>
      </c>
      <c r="T146" s="11"/>
      <c r="U146" s="11">
        <v>15554</v>
      </c>
      <c r="V146" s="11" t="s">
        <v>244</v>
      </c>
      <c r="W146" s="54">
        <f t="shared" si="29"/>
        <v>44.062322946175641</v>
      </c>
      <c r="X146" s="11">
        <v>1</v>
      </c>
    </row>
    <row r="147" spans="1:24" ht="40.049999999999997" customHeight="1" x14ac:dyDescent="0.3">
      <c r="A147" s="10">
        <v>5</v>
      </c>
      <c r="B147" s="11" t="s">
        <v>656</v>
      </c>
      <c r="C147" s="11"/>
      <c r="D147" s="11"/>
      <c r="E147" s="11" t="s">
        <v>543</v>
      </c>
      <c r="F147" s="11"/>
      <c r="G147" s="11" t="s">
        <v>58</v>
      </c>
      <c r="H147" s="11"/>
      <c r="I147" s="11" t="s">
        <v>428</v>
      </c>
      <c r="J147" s="11"/>
      <c r="K147" s="11" t="s">
        <v>436</v>
      </c>
      <c r="L147" s="11"/>
      <c r="M147" s="11">
        <v>2</v>
      </c>
      <c r="N147" s="11">
        <v>1</v>
      </c>
      <c r="O147" s="11">
        <v>4</v>
      </c>
      <c r="P147" s="11"/>
      <c r="Q147" s="11">
        <v>353</v>
      </c>
      <c r="R147" s="11">
        <f t="shared" si="28"/>
        <v>88.25</v>
      </c>
      <c r="S147" s="11" t="s">
        <v>437</v>
      </c>
      <c r="T147" s="11"/>
      <c r="U147" s="11">
        <v>1998</v>
      </c>
      <c r="V147" s="11" t="s">
        <v>244</v>
      </c>
      <c r="W147" s="54">
        <f t="shared" si="29"/>
        <v>5.6600566572237963</v>
      </c>
      <c r="X147" s="11">
        <v>1</v>
      </c>
    </row>
    <row r="148" spans="1:24" ht="40.049999999999997" customHeight="1" x14ac:dyDescent="0.3">
      <c r="A148" s="10">
        <v>6</v>
      </c>
      <c r="B148" s="11" t="s">
        <v>681</v>
      </c>
      <c r="C148" s="11" t="s">
        <v>754</v>
      </c>
      <c r="D148" s="11"/>
      <c r="E148" s="11" t="s">
        <v>915</v>
      </c>
      <c r="F148" s="11"/>
      <c r="G148" s="11" t="s">
        <v>58</v>
      </c>
      <c r="H148" s="11"/>
      <c r="I148" s="11" t="s">
        <v>434</v>
      </c>
      <c r="J148" s="11"/>
      <c r="K148" s="11" t="s">
        <v>538</v>
      </c>
      <c r="L148" s="11"/>
      <c r="M148" s="11">
        <v>2</v>
      </c>
      <c r="N148" s="11">
        <v>1</v>
      </c>
      <c r="O148" s="11">
        <v>4</v>
      </c>
      <c r="P148" s="11"/>
      <c r="Q148" s="11">
        <v>117</v>
      </c>
      <c r="R148" s="11">
        <f t="shared" si="28"/>
        <v>29.25</v>
      </c>
      <c r="S148" s="11" t="s">
        <v>65</v>
      </c>
      <c r="T148" s="11"/>
      <c r="U148" s="11">
        <v>122608</v>
      </c>
      <c r="V148" s="11" t="s">
        <v>244</v>
      </c>
      <c r="W148" s="54">
        <f t="shared" si="29"/>
        <v>1047.931623931624</v>
      </c>
      <c r="X148" s="11">
        <v>2</v>
      </c>
    </row>
    <row r="149" spans="1:24" ht="40.049999999999997" customHeight="1" x14ac:dyDescent="0.3">
      <c r="A149" s="10">
        <v>6</v>
      </c>
      <c r="B149" s="11" t="s">
        <v>680</v>
      </c>
      <c r="C149" s="11"/>
      <c r="D149" s="11"/>
      <c r="E149" s="11" t="s">
        <v>915</v>
      </c>
      <c r="F149" s="11"/>
      <c r="G149" s="11" t="s">
        <v>58</v>
      </c>
      <c r="H149" s="11"/>
      <c r="I149" s="11" t="s">
        <v>434</v>
      </c>
      <c r="J149" s="11"/>
      <c r="K149" s="11" t="s">
        <v>538</v>
      </c>
      <c r="L149" s="11"/>
      <c r="M149" s="11">
        <v>2</v>
      </c>
      <c r="N149" s="11">
        <v>1</v>
      </c>
      <c r="O149" s="11">
        <v>4</v>
      </c>
      <c r="P149" s="11"/>
      <c r="Q149" s="11">
        <v>117</v>
      </c>
      <c r="R149" s="11">
        <f t="shared" si="28"/>
        <v>29.25</v>
      </c>
      <c r="S149" s="11" t="s">
        <v>30</v>
      </c>
      <c r="T149" s="11"/>
      <c r="U149" s="11">
        <v>2882</v>
      </c>
      <c r="V149" s="11" t="s">
        <v>244</v>
      </c>
      <c r="W149" s="54">
        <f t="shared" si="29"/>
        <v>24.632478632478634</v>
      </c>
      <c r="X149" s="11">
        <v>2</v>
      </c>
    </row>
    <row r="150" spans="1:24" ht="40.049999999999997" customHeight="1" x14ac:dyDescent="0.3">
      <c r="A150" s="10">
        <v>6</v>
      </c>
      <c r="B150" s="11" t="s">
        <v>680</v>
      </c>
      <c r="C150" s="11"/>
      <c r="D150" s="11"/>
      <c r="E150" s="11" t="s">
        <v>915</v>
      </c>
      <c r="F150" s="11"/>
      <c r="G150" s="11" t="s">
        <v>58</v>
      </c>
      <c r="H150" s="11"/>
      <c r="I150" s="11" t="s">
        <v>434</v>
      </c>
      <c r="J150" s="11"/>
      <c r="K150" s="11" t="s">
        <v>538</v>
      </c>
      <c r="L150" s="11"/>
      <c r="M150" s="11">
        <v>2</v>
      </c>
      <c r="N150" s="11">
        <v>1</v>
      </c>
      <c r="O150" s="11">
        <v>4</v>
      </c>
      <c r="P150" s="11"/>
      <c r="Q150" s="11">
        <v>117</v>
      </c>
      <c r="R150" s="11">
        <f t="shared" si="28"/>
        <v>29.25</v>
      </c>
      <c r="S150" s="11" t="s">
        <v>67</v>
      </c>
      <c r="T150" s="11"/>
      <c r="U150" s="11">
        <v>1146</v>
      </c>
      <c r="V150" s="11" t="s">
        <v>244</v>
      </c>
      <c r="W150" s="54">
        <f t="shared" si="29"/>
        <v>9.7948717948717956</v>
      </c>
      <c r="X150" s="11">
        <v>2</v>
      </c>
    </row>
    <row r="151" spans="1:24" ht="40.049999999999997" customHeight="1" x14ac:dyDescent="0.3">
      <c r="A151" s="10">
        <v>7</v>
      </c>
      <c r="B151" s="11" t="s">
        <v>757</v>
      </c>
      <c r="C151" s="11"/>
      <c r="D151" s="11"/>
      <c r="E151" s="11" t="s">
        <v>759</v>
      </c>
      <c r="F151" s="11"/>
      <c r="G151" s="11" t="s">
        <v>58</v>
      </c>
      <c r="H151" s="11"/>
      <c r="I151" s="11" t="s">
        <v>391</v>
      </c>
      <c r="J151" s="11" t="s">
        <v>760</v>
      </c>
      <c r="K151" s="11"/>
      <c r="L151" s="11">
        <v>1920</v>
      </c>
      <c r="M151" s="11">
        <v>1.5</v>
      </c>
      <c r="N151" s="11">
        <v>1</v>
      </c>
      <c r="O151" s="11"/>
      <c r="P151" s="11">
        <v>252</v>
      </c>
      <c r="Q151" s="11"/>
      <c r="R151" s="11"/>
      <c r="S151" s="11" t="s">
        <v>67</v>
      </c>
      <c r="T151" s="11"/>
      <c r="U151" s="11"/>
      <c r="V151" s="11" t="s">
        <v>0</v>
      </c>
      <c r="W151" s="54">
        <f>108+33</f>
        <v>141</v>
      </c>
      <c r="X151" s="11">
        <v>1</v>
      </c>
    </row>
    <row r="152" spans="1:24" ht="40.049999999999997" customHeight="1" x14ac:dyDescent="0.3">
      <c r="A152" s="10">
        <v>7</v>
      </c>
      <c r="B152" s="11" t="s">
        <v>757</v>
      </c>
      <c r="C152" s="11"/>
      <c r="D152" s="11"/>
      <c r="E152" s="11" t="s">
        <v>759</v>
      </c>
      <c r="F152" s="11"/>
      <c r="G152" s="11" t="s">
        <v>58</v>
      </c>
      <c r="H152" s="11"/>
      <c r="I152" s="11" t="s">
        <v>391</v>
      </c>
      <c r="J152" s="11" t="s">
        <v>760</v>
      </c>
      <c r="K152" s="11"/>
      <c r="L152" s="11">
        <v>1920</v>
      </c>
      <c r="M152" s="11">
        <v>1.5</v>
      </c>
      <c r="N152" s="11">
        <v>1</v>
      </c>
      <c r="O152" s="11"/>
      <c r="P152" s="11">
        <v>252</v>
      </c>
      <c r="Q152" s="11"/>
      <c r="R152" s="11"/>
      <c r="S152" s="11" t="s">
        <v>65</v>
      </c>
      <c r="T152" s="11"/>
      <c r="U152" s="11"/>
      <c r="V152" s="11" t="s">
        <v>0</v>
      </c>
      <c r="W152" s="54">
        <v>289</v>
      </c>
      <c r="X152" s="11">
        <v>1</v>
      </c>
    </row>
    <row r="153" spans="1:24" ht="40.049999999999997" customHeight="1" x14ac:dyDescent="0.3">
      <c r="A153" s="10">
        <v>7</v>
      </c>
      <c r="B153" s="11" t="s">
        <v>757</v>
      </c>
      <c r="C153" s="11"/>
      <c r="D153" s="11"/>
      <c r="E153" s="11" t="s">
        <v>759</v>
      </c>
      <c r="F153" s="11"/>
      <c r="G153" s="11" t="s">
        <v>58</v>
      </c>
      <c r="H153" s="11"/>
      <c r="I153" s="11" t="s">
        <v>391</v>
      </c>
      <c r="J153" s="11" t="s">
        <v>760</v>
      </c>
      <c r="K153" s="11"/>
      <c r="L153" s="11">
        <v>1920</v>
      </c>
      <c r="M153" s="11">
        <v>1.5</v>
      </c>
      <c r="N153" s="11">
        <v>1</v>
      </c>
      <c r="O153" s="11"/>
      <c r="P153" s="11">
        <v>252</v>
      </c>
      <c r="Q153" s="11"/>
      <c r="R153" s="11"/>
      <c r="S153" s="11" t="s">
        <v>437</v>
      </c>
      <c r="T153" s="11"/>
      <c r="U153" s="11"/>
      <c r="V153" s="11" t="s">
        <v>0</v>
      </c>
      <c r="W153" s="54">
        <v>3</v>
      </c>
      <c r="X153" s="11">
        <v>1</v>
      </c>
    </row>
    <row r="154" spans="1:24" ht="40.049999999999997" customHeight="1" x14ac:dyDescent="0.3">
      <c r="A154" s="10">
        <v>7</v>
      </c>
      <c r="B154" s="11" t="s">
        <v>757</v>
      </c>
      <c r="C154" s="11"/>
      <c r="D154" s="11"/>
      <c r="E154" s="11" t="s">
        <v>759</v>
      </c>
      <c r="F154" s="11"/>
      <c r="G154" s="11" t="s">
        <v>58</v>
      </c>
      <c r="H154" s="11"/>
      <c r="I154" s="11" t="s">
        <v>391</v>
      </c>
      <c r="J154" s="11" t="s">
        <v>761</v>
      </c>
      <c r="K154" s="11"/>
      <c r="L154" s="11">
        <v>1930</v>
      </c>
      <c r="M154" s="11">
        <v>2</v>
      </c>
      <c r="N154" s="11">
        <v>1</v>
      </c>
      <c r="O154" s="11"/>
      <c r="P154" s="11">
        <v>300</v>
      </c>
      <c r="Q154" s="11"/>
      <c r="R154" s="11"/>
      <c r="S154" s="11" t="s">
        <v>67</v>
      </c>
      <c r="T154" s="11"/>
      <c r="U154" s="11"/>
      <c r="V154" s="11" t="s">
        <v>0</v>
      </c>
      <c r="W154" s="54">
        <f>107+10</f>
        <v>117</v>
      </c>
      <c r="X154" s="11">
        <v>1</v>
      </c>
    </row>
    <row r="155" spans="1:24" ht="40.049999999999997" customHeight="1" x14ac:dyDescent="0.3">
      <c r="A155" s="10">
        <v>7</v>
      </c>
      <c r="B155" s="11" t="s">
        <v>757</v>
      </c>
      <c r="C155" s="11"/>
      <c r="D155" s="11"/>
      <c r="E155" s="11" t="s">
        <v>759</v>
      </c>
      <c r="F155" s="11"/>
      <c r="G155" s="11" t="s">
        <v>58</v>
      </c>
      <c r="H155" s="11"/>
      <c r="I155" s="11" t="s">
        <v>391</v>
      </c>
      <c r="J155" s="11" t="s">
        <v>761</v>
      </c>
      <c r="K155" s="11"/>
      <c r="L155" s="11">
        <v>1930</v>
      </c>
      <c r="M155" s="11">
        <v>2</v>
      </c>
      <c r="N155" s="11">
        <v>1</v>
      </c>
      <c r="O155" s="11"/>
      <c r="P155" s="11">
        <v>300</v>
      </c>
      <c r="Q155" s="11"/>
      <c r="R155" s="11"/>
      <c r="S155" s="11" t="s">
        <v>65</v>
      </c>
      <c r="T155" s="11"/>
      <c r="U155" s="11"/>
      <c r="V155" s="11" t="s">
        <v>0</v>
      </c>
      <c r="W155" s="54">
        <v>269</v>
      </c>
      <c r="X155" s="11">
        <v>1</v>
      </c>
    </row>
    <row r="156" spans="1:24" ht="40.049999999999997" customHeight="1" x14ac:dyDescent="0.3">
      <c r="A156" s="10">
        <v>7</v>
      </c>
      <c r="B156" s="11" t="s">
        <v>757</v>
      </c>
      <c r="C156" s="11"/>
      <c r="D156" s="11"/>
      <c r="E156" s="11" t="s">
        <v>759</v>
      </c>
      <c r="F156" s="11"/>
      <c r="G156" s="11" t="s">
        <v>58</v>
      </c>
      <c r="H156" s="11"/>
      <c r="I156" s="11" t="s">
        <v>391</v>
      </c>
      <c r="J156" s="11" t="s">
        <v>761</v>
      </c>
      <c r="K156" s="11"/>
      <c r="L156" s="11">
        <v>1930</v>
      </c>
      <c r="M156" s="11">
        <v>2</v>
      </c>
      <c r="N156" s="11">
        <v>1</v>
      </c>
      <c r="O156" s="11"/>
      <c r="P156" s="11">
        <v>300</v>
      </c>
      <c r="Q156" s="11"/>
      <c r="R156" s="11"/>
      <c r="S156" s="11" t="s">
        <v>437</v>
      </c>
      <c r="T156" s="11"/>
      <c r="U156" s="11"/>
      <c r="V156" s="11" t="s">
        <v>0</v>
      </c>
      <c r="W156" s="54">
        <v>2</v>
      </c>
      <c r="X156" s="11">
        <v>1</v>
      </c>
    </row>
    <row r="157" spans="1:24" ht="57.6" x14ac:dyDescent="0.3">
      <c r="A157" s="10">
        <v>7</v>
      </c>
      <c r="B157" s="11" t="s">
        <v>757</v>
      </c>
      <c r="C157" s="11"/>
      <c r="D157" s="11"/>
      <c r="E157" s="11" t="s">
        <v>759</v>
      </c>
      <c r="F157" s="11"/>
      <c r="G157" s="11" t="s">
        <v>58</v>
      </c>
      <c r="H157" s="11"/>
      <c r="I157" s="11" t="s">
        <v>391</v>
      </c>
      <c r="J157" s="11" t="s">
        <v>761</v>
      </c>
      <c r="K157" s="11"/>
      <c r="L157" s="11">
        <v>1930</v>
      </c>
      <c r="M157" s="11">
        <v>2</v>
      </c>
      <c r="N157" s="11">
        <v>1</v>
      </c>
      <c r="O157" s="11"/>
      <c r="P157" s="11">
        <v>300</v>
      </c>
      <c r="Q157" s="11"/>
      <c r="R157" s="11"/>
      <c r="S157" s="11" t="s">
        <v>414</v>
      </c>
      <c r="T157" s="11"/>
      <c r="U157" s="11"/>
      <c r="V157" s="11" t="s">
        <v>0</v>
      </c>
      <c r="W157" s="54">
        <v>9</v>
      </c>
      <c r="X157" s="11">
        <v>1</v>
      </c>
    </row>
    <row r="158" spans="1:24" ht="57.6" x14ac:dyDescent="0.3">
      <c r="A158" s="10">
        <v>7</v>
      </c>
      <c r="B158" s="11" t="s">
        <v>757</v>
      </c>
      <c r="C158" s="11"/>
      <c r="D158" s="11"/>
      <c r="E158" s="11" t="s">
        <v>759</v>
      </c>
      <c r="F158" s="11"/>
      <c r="G158" s="11" t="s">
        <v>58</v>
      </c>
      <c r="H158" s="11"/>
      <c r="I158" s="11" t="s">
        <v>391</v>
      </c>
      <c r="J158" s="11" t="s">
        <v>762</v>
      </c>
      <c r="K158" s="11"/>
      <c r="L158" s="11">
        <v>1940</v>
      </c>
      <c r="M158" s="11">
        <v>2</v>
      </c>
      <c r="N158" s="11">
        <v>1</v>
      </c>
      <c r="O158" s="11"/>
      <c r="P158" s="11">
        <v>243</v>
      </c>
      <c r="Q158" s="11"/>
      <c r="R158" s="11"/>
      <c r="S158" s="11" t="s">
        <v>67</v>
      </c>
      <c r="T158" s="11"/>
      <c r="U158" s="11"/>
      <c r="V158" s="11" t="s">
        <v>0</v>
      </c>
      <c r="W158" s="54">
        <f>80+23</f>
        <v>103</v>
      </c>
      <c r="X158" s="11">
        <v>1</v>
      </c>
    </row>
    <row r="159" spans="1:24" ht="57.6" x14ac:dyDescent="0.3">
      <c r="A159" s="10">
        <v>7</v>
      </c>
      <c r="B159" s="11" t="s">
        <v>757</v>
      </c>
      <c r="C159" s="11"/>
      <c r="D159" s="11"/>
      <c r="E159" s="11" t="s">
        <v>759</v>
      </c>
      <c r="F159" s="11"/>
      <c r="G159" s="11" t="s">
        <v>58</v>
      </c>
      <c r="H159" s="11"/>
      <c r="I159" s="11" t="s">
        <v>391</v>
      </c>
      <c r="J159" s="11" t="s">
        <v>762</v>
      </c>
      <c r="K159" s="11"/>
      <c r="L159" s="11">
        <v>1940</v>
      </c>
      <c r="M159" s="11">
        <v>2</v>
      </c>
      <c r="N159" s="11">
        <v>1</v>
      </c>
      <c r="O159" s="11"/>
      <c r="P159" s="11">
        <v>243</v>
      </c>
      <c r="Q159" s="11"/>
      <c r="R159" s="11"/>
      <c r="S159" s="11" t="s">
        <v>65</v>
      </c>
      <c r="T159" s="11"/>
      <c r="U159" s="11"/>
      <c r="V159" s="11" t="s">
        <v>0</v>
      </c>
      <c r="W159" s="54">
        <v>250</v>
      </c>
      <c r="X159" s="11">
        <v>1</v>
      </c>
    </row>
    <row r="160" spans="1:24" ht="57.6" x14ac:dyDescent="0.3">
      <c r="A160" s="10">
        <v>7</v>
      </c>
      <c r="B160" s="11" t="s">
        <v>757</v>
      </c>
      <c r="C160" s="11"/>
      <c r="D160" s="11"/>
      <c r="E160" s="11" t="s">
        <v>759</v>
      </c>
      <c r="F160" s="11"/>
      <c r="G160" s="11" t="s">
        <v>58</v>
      </c>
      <c r="H160" s="11"/>
      <c r="I160" s="11" t="s">
        <v>391</v>
      </c>
      <c r="J160" s="11" t="s">
        <v>762</v>
      </c>
      <c r="K160" s="11"/>
      <c r="L160" s="11">
        <v>1940</v>
      </c>
      <c r="M160" s="11">
        <v>2</v>
      </c>
      <c r="N160" s="11">
        <v>1</v>
      </c>
      <c r="O160" s="11"/>
      <c r="P160" s="11">
        <v>243</v>
      </c>
      <c r="Q160" s="11"/>
      <c r="R160" s="11"/>
      <c r="S160" s="11" t="s">
        <v>437</v>
      </c>
      <c r="T160" s="11"/>
      <c r="U160" s="11"/>
      <c r="V160" s="11" t="s">
        <v>0</v>
      </c>
      <c r="W160" s="54">
        <v>2</v>
      </c>
      <c r="X160" s="11">
        <v>1</v>
      </c>
    </row>
    <row r="161" spans="1:24" ht="57.6" x14ac:dyDescent="0.3">
      <c r="A161" s="10">
        <v>7</v>
      </c>
      <c r="B161" s="11" t="s">
        <v>757</v>
      </c>
      <c r="C161" s="11"/>
      <c r="D161" s="11"/>
      <c r="E161" s="11" t="s">
        <v>759</v>
      </c>
      <c r="F161" s="11"/>
      <c r="G161" s="11" t="s">
        <v>58</v>
      </c>
      <c r="H161" s="11"/>
      <c r="I161" s="11" t="s">
        <v>391</v>
      </c>
      <c r="J161" s="11" t="s">
        <v>762</v>
      </c>
      <c r="K161" s="11"/>
      <c r="L161" s="11">
        <v>1940</v>
      </c>
      <c r="M161" s="11">
        <v>2</v>
      </c>
      <c r="N161" s="11">
        <v>1</v>
      </c>
      <c r="O161" s="11"/>
      <c r="P161" s="11">
        <v>243</v>
      </c>
      <c r="Q161" s="11"/>
      <c r="R161" s="11"/>
      <c r="S161" s="11" t="s">
        <v>30</v>
      </c>
      <c r="T161" s="11"/>
      <c r="U161" s="11"/>
      <c r="V161" s="11" t="s">
        <v>0</v>
      </c>
      <c r="W161" s="54">
        <v>23</v>
      </c>
      <c r="X161" s="11">
        <v>1</v>
      </c>
    </row>
    <row r="162" spans="1:24" ht="57.6" x14ac:dyDescent="0.3">
      <c r="A162" s="10">
        <v>7</v>
      </c>
      <c r="B162" s="11" t="s">
        <v>757</v>
      </c>
      <c r="C162" s="11"/>
      <c r="D162" s="11"/>
      <c r="E162" s="11" t="s">
        <v>759</v>
      </c>
      <c r="F162" s="11"/>
      <c r="G162" s="11" t="s">
        <v>58</v>
      </c>
      <c r="H162" s="11"/>
      <c r="I162" s="11" t="s">
        <v>391</v>
      </c>
      <c r="J162" s="11" t="s">
        <v>763</v>
      </c>
      <c r="K162" s="11"/>
      <c r="L162" s="11">
        <v>1950</v>
      </c>
      <c r="M162" s="11">
        <v>1</v>
      </c>
      <c r="N162" s="11">
        <v>1</v>
      </c>
      <c r="O162" s="11"/>
      <c r="P162" s="11">
        <v>248</v>
      </c>
      <c r="Q162" s="11"/>
      <c r="R162" s="11"/>
      <c r="S162" s="11" t="s">
        <v>67</v>
      </c>
      <c r="T162" s="11"/>
      <c r="U162" s="11"/>
      <c r="V162" s="11" t="s">
        <v>0</v>
      </c>
      <c r="W162" s="54">
        <f>35+8</f>
        <v>43</v>
      </c>
      <c r="X162" s="11">
        <v>1</v>
      </c>
    </row>
    <row r="163" spans="1:24" ht="57.6" x14ac:dyDescent="0.3">
      <c r="A163" s="10">
        <v>7</v>
      </c>
      <c r="B163" s="11" t="s">
        <v>757</v>
      </c>
      <c r="C163" s="11"/>
      <c r="D163" s="11"/>
      <c r="E163" s="11" t="s">
        <v>759</v>
      </c>
      <c r="F163" s="11"/>
      <c r="G163" s="11" t="s">
        <v>58</v>
      </c>
      <c r="H163" s="11"/>
      <c r="I163" s="11" t="s">
        <v>391</v>
      </c>
      <c r="J163" s="11" t="s">
        <v>763</v>
      </c>
      <c r="K163" s="11"/>
      <c r="L163" s="11">
        <v>1950</v>
      </c>
      <c r="M163" s="11">
        <v>1</v>
      </c>
      <c r="N163" s="11">
        <v>1</v>
      </c>
      <c r="O163" s="11"/>
      <c r="P163" s="11">
        <v>248</v>
      </c>
      <c r="Q163" s="11"/>
      <c r="R163" s="11"/>
      <c r="S163" s="11" t="s">
        <v>65</v>
      </c>
      <c r="T163" s="11"/>
      <c r="U163" s="11"/>
      <c r="V163" s="11" t="s">
        <v>0</v>
      </c>
      <c r="W163" s="54">
        <v>499</v>
      </c>
      <c r="X163" s="11">
        <v>1</v>
      </c>
    </row>
    <row r="164" spans="1:24" ht="57.6" x14ac:dyDescent="0.3">
      <c r="A164" s="10">
        <v>7</v>
      </c>
      <c r="B164" s="11" t="s">
        <v>757</v>
      </c>
      <c r="C164" s="11"/>
      <c r="D164" s="11"/>
      <c r="E164" s="11" t="s">
        <v>759</v>
      </c>
      <c r="F164" s="11"/>
      <c r="G164" s="11" t="s">
        <v>58</v>
      </c>
      <c r="H164" s="11"/>
      <c r="I164" s="11" t="s">
        <v>391</v>
      </c>
      <c r="J164" s="11" t="s">
        <v>763</v>
      </c>
      <c r="K164" s="11"/>
      <c r="L164" s="11">
        <v>1950</v>
      </c>
      <c r="M164" s="11">
        <v>1</v>
      </c>
      <c r="N164" s="11">
        <v>1</v>
      </c>
      <c r="O164" s="11"/>
      <c r="P164" s="11">
        <v>248</v>
      </c>
      <c r="Q164" s="11"/>
      <c r="R164" s="11"/>
      <c r="S164" s="11" t="s">
        <v>437</v>
      </c>
      <c r="T164" s="11"/>
      <c r="U164" s="11"/>
      <c r="V164" s="11" t="s">
        <v>0</v>
      </c>
      <c r="W164" s="54">
        <v>1</v>
      </c>
      <c r="X164" s="11">
        <v>1</v>
      </c>
    </row>
    <row r="165" spans="1:24" ht="57.6" x14ac:dyDescent="0.3">
      <c r="A165" s="10">
        <v>7</v>
      </c>
      <c r="B165" s="11" t="s">
        <v>757</v>
      </c>
      <c r="C165" s="11"/>
      <c r="D165" s="11"/>
      <c r="E165" s="11" t="s">
        <v>759</v>
      </c>
      <c r="F165" s="11"/>
      <c r="G165" s="11" t="s">
        <v>58</v>
      </c>
      <c r="H165" s="11"/>
      <c r="I165" s="11" t="s">
        <v>391</v>
      </c>
      <c r="J165" s="11" t="s">
        <v>763</v>
      </c>
      <c r="K165" s="11"/>
      <c r="L165" s="11">
        <v>1950</v>
      </c>
      <c r="M165" s="11">
        <v>1</v>
      </c>
      <c r="N165" s="11">
        <v>1</v>
      </c>
      <c r="O165" s="11"/>
      <c r="P165" s="11">
        <v>248</v>
      </c>
      <c r="Q165" s="11"/>
      <c r="R165" s="11"/>
      <c r="S165" s="11" t="s">
        <v>30</v>
      </c>
      <c r="T165" s="11"/>
      <c r="U165" s="11"/>
      <c r="V165" s="11" t="s">
        <v>0</v>
      </c>
      <c r="W165" s="54">
        <v>106</v>
      </c>
      <c r="X165" s="11">
        <v>1</v>
      </c>
    </row>
    <row r="166" spans="1:24" ht="57.6" x14ac:dyDescent="0.3">
      <c r="A166" s="10">
        <v>7</v>
      </c>
      <c r="B166" s="11" t="s">
        <v>757</v>
      </c>
      <c r="C166" s="11"/>
      <c r="D166" s="11"/>
      <c r="E166" s="11" t="s">
        <v>759</v>
      </c>
      <c r="F166" s="11"/>
      <c r="G166" s="11" t="s">
        <v>58</v>
      </c>
      <c r="H166" s="11"/>
      <c r="I166" s="11" t="s">
        <v>391</v>
      </c>
      <c r="J166" s="11" t="s">
        <v>764</v>
      </c>
      <c r="K166" s="11"/>
      <c r="L166" s="11">
        <v>1960</v>
      </c>
      <c r="M166" s="11">
        <v>1</v>
      </c>
      <c r="N166" s="11">
        <v>1</v>
      </c>
      <c r="O166" s="11"/>
      <c r="P166" s="11">
        <v>298</v>
      </c>
      <c r="Q166" s="11"/>
      <c r="R166" s="11"/>
      <c r="S166" s="11" t="s">
        <v>67</v>
      </c>
      <c r="T166" s="11"/>
      <c r="U166" s="11"/>
      <c r="V166" s="11" t="s">
        <v>0</v>
      </c>
      <c r="W166" s="54">
        <f>39+14</f>
        <v>53</v>
      </c>
      <c r="X166" s="11">
        <v>1</v>
      </c>
    </row>
    <row r="167" spans="1:24" ht="57.6" x14ac:dyDescent="0.3">
      <c r="A167" s="10">
        <v>7</v>
      </c>
      <c r="B167" s="11" t="s">
        <v>757</v>
      </c>
      <c r="C167" s="11"/>
      <c r="D167" s="11"/>
      <c r="E167" s="11" t="s">
        <v>759</v>
      </c>
      <c r="F167" s="11"/>
      <c r="G167" s="11" t="s">
        <v>58</v>
      </c>
      <c r="H167" s="11"/>
      <c r="I167" s="11" t="s">
        <v>391</v>
      </c>
      <c r="J167" s="11" t="s">
        <v>764</v>
      </c>
      <c r="K167" s="11"/>
      <c r="L167" s="11">
        <v>1960</v>
      </c>
      <c r="M167" s="11">
        <v>1</v>
      </c>
      <c r="N167" s="11">
        <v>1</v>
      </c>
      <c r="O167" s="11"/>
      <c r="P167" s="11">
        <v>298</v>
      </c>
      <c r="Q167" s="11"/>
      <c r="R167" s="11"/>
      <c r="S167" s="11" t="s">
        <v>65</v>
      </c>
      <c r="T167" s="11"/>
      <c r="U167" s="11"/>
      <c r="V167" s="11" t="s">
        <v>0</v>
      </c>
      <c r="W167" s="54">
        <v>369</v>
      </c>
      <c r="X167" s="11">
        <v>1</v>
      </c>
    </row>
    <row r="168" spans="1:24" ht="57.6" x14ac:dyDescent="0.3">
      <c r="A168" s="10">
        <v>7</v>
      </c>
      <c r="B168" s="11" t="s">
        <v>757</v>
      </c>
      <c r="C168" s="11"/>
      <c r="D168" s="11"/>
      <c r="E168" s="11" t="s">
        <v>759</v>
      </c>
      <c r="F168" s="11"/>
      <c r="G168" s="11" t="s">
        <v>58</v>
      </c>
      <c r="H168" s="11"/>
      <c r="I168" s="11" t="s">
        <v>391</v>
      </c>
      <c r="J168" s="11" t="s">
        <v>764</v>
      </c>
      <c r="K168" s="11"/>
      <c r="L168" s="11">
        <v>1960</v>
      </c>
      <c r="M168" s="11">
        <v>1</v>
      </c>
      <c r="N168" s="11">
        <v>1</v>
      </c>
      <c r="O168" s="11"/>
      <c r="P168" s="11">
        <v>298</v>
      </c>
      <c r="Q168" s="11"/>
      <c r="R168" s="11"/>
      <c r="S168" s="11" t="s">
        <v>437</v>
      </c>
      <c r="T168" s="11"/>
      <c r="U168" s="11"/>
      <c r="V168" s="11" t="s">
        <v>0</v>
      </c>
      <c r="W168" s="54">
        <v>1</v>
      </c>
      <c r="X168" s="11">
        <v>1</v>
      </c>
    </row>
    <row r="169" spans="1:24" ht="57.6" x14ac:dyDescent="0.3">
      <c r="A169" s="10">
        <v>7</v>
      </c>
      <c r="B169" s="11" t="s">
        <v>757</v>
      </c>
      <c r="C169" s="11"/>
      <c r="D169" s="11"/>
      <c r="E169" s="11" t="s">
        <v>759</v>
      </c>
      <c r="F169" s="11"/>
      <c r="G169" s="11" t="s">
        <v>58</v>
      </c>
      <c r="H169" s="11"/>
      <c r="I169" s="11" t="s">
        <v>391</v>
      </c>
      <c r="J169" s="11" t="s">
        <v>764</v>
      </c>
      <c r="K169" s="11"/>
      <c r="L169" s="11">
        <v>1960</v>
      </c>
      <c r="M169" s="11">
        <v>1</v>
      </c>
      <c r="N169" s="11">
        <v>1</v>
      </c>
      <c r="O169" s="11"/>
      <c r="P169" s="11">
        <v>298</v>
      </c>
      <c r="Q169" s="11"/>
      <c r="R169" s="11"/>
      <c r="S169" s="11" t="s">
        <v>30</v>
      </c>
      <c r="T169" s="11"/>
      <c r="U169" s="11"/>
      <c r="V169" s="11" t="s">
        <v>0</v>
      </c>
      <c r="W169" s="54">
        <v>81</v>
      </c>
      <c r="X169" s="11">
        <v>1</v>
      </c>
    </row>
    <row r="170" spans="1:24" ht="57.6" x14ac:dyDescent="0.3">
      <c r="A170" s="10">
        <v>7</v>
      </c>
      <c r="B170" s="11" t="s">
        <v>757</v>
      </c>
      <c r="C170" s="11"/>
      <c r="D170" s="11"/>
      <c r="E170" s="11" t="s">
        <v>759</v>
      </c>
      <c r="F170" s="11"/>
      <c r="G170" s="11" t="s">
        <v>58</v>
      </c>
      <c r="H170" s="11"/>
      <c r="I170" s="11" t="s">
        <v>391</v>
      </c>
      <c r="J170" s="11" t="s">
        <v>765</v>
      </c>
      <c r="K170" s="11"/>
      <c r="L170" s="11">
        <v>1970</v>
      </c>
      <c r="M170" s="11">
        <v>1.5</v>
      </c>
      <c r="N170" s="11">
        <v>1</v>
      </c>
      <c r="O170" s="11"/>
      <c r="P170" s="11">
        <v>236</v>
      </c>
      <c r="Q170" s="11"/>
      <c r="R170" s="11"/>
      <c r="S170" s="11" t="s">
        <v>67</v>
      </c>
      <c r="T170" s="11"/>
      <c r="U170" s="11"/>
      <c r="V170" s="11" t="s">
        <v>0</v>
      </c>
      <c r="W170" s="54">
        <f>38+20</f>
        <v>58</v>
      </c>
      <c r="X170" s="11">
        <v>1</v>
      </c>
    </row>
    <row r="171" spans="1:24" ht="57.6" x14ac:dyDescent="0.3">
      <c r="A171" s="10">
        <v>7</v>
      </c>
      <c r="B171" s="11" t="s">
        <v>757</v>
      </c>
      <c r="C171" s="11"/>
      <c r="D171" s="11"/>
      <c r="E171" s="11" t="s">
        <v>759</v>
      </c>
      <c r="F171" s="11"/>
      <c r="G171" s="11" t="s">
        <v>58</v>
      </c>
      <c r="H171" s="11"/>
      <c r="I171" s="11" t="s">
        <v>391</v>
      </c>
      <c r="J171" s="11" t="s">
        <v>765</v>
      </c>
      <c r="K171" s="11"/>
      <c r="L171" s="11">
        <v>1970</v>
      </c>
      <c r="M171" s="11">
        <v>1.5</v>
      </c>
      <c r="N171" s="11">
        <v>1</v>
      </c>
      <c r="O171" s="11"/>
      <c r="P171" s="11">
        <v>236</v>
      </c>
      <c r="Q171" s="11"/>
      <c r="R171" s="11"/>
      <c r="S171" s="11" t="s">
        <v>65</v>
      </c>
      <c r="T171" s="11"/>
      <c r="U171" s="11"/>
      <c r="V171" s="11" t="s">
        <v>0</v>
      </c>
      <c r="W171" s="54">
        <v>178</v>
      </c>
      <c r="X171" s="11">
        <v>1</v>
      </c>
    </row>
    <row r="172" spans="1:24" ht="57.6" x14ac:dyDescent="0.3">
      <c r="A172" s="10">
        <v>7</v>
      </c>
      <c r="B172" s="11" t="s">
        <v>757</v>
      </c>
      <c r="C172" s="11"/>
      <c r="D172" s="11"/>
      <c r="E172" s="11" t="s">
        <v>759</v>
      </c>
      <c r="F172" s="11"/>
      <c r="G172" s="11" t="s">
        <v>58</v>
      </c>
      <c r="H172" s="11"/>
      <c r="I172" s="11" t="s">
        <v>391</v>
      </c>
      <c r="J172" s="11" t="s">
        <v>765</v>
      </c>
      <c r="K172" s="11"/>
      <c r="L172" s="11">
        <v>1970</v>
      </c>
      <c r="M172" s="11">
        <v>1.5</v>
      </c>
      <c r="N172" s="11">
        <v>1</v>
      </c>
      <c r="O172" s="11"/>
      <c r="P172" s="11">
        <v>236</v>
      </c>
      <c r="Q172" s="11"/>
      <c r="R172" s="11"/>
      <c r="S172" s="11" t="s">
        <v>437</v>
      </c>
      <c r="T172" s="11"/>
      <c r="U172" s="11"/>
      <c r="V172" s="11" t="s">
        <v>0</v>
      </c>
      <c r="W172" s="54">
        <v>1</v>
      </c>
      <c r="X172" s="11">
        <v>1</v>
      </c>
    </row>
    <row r="173" spans="1:24" ht="57.6" x14ac:dyDescent="0.3">
      <c r="A173" s="10">
        <v>7</v>
      </c>
      <c r="B173" s="11" t="s">
        <v>757</v>
      </c>
      <c r="C173" s="11"/>
      <c r="D173" s="11"/>
      <c r="E173" s="11" t="s">
        <v>759</v>
      </c>
      <c r="F173" s="11"/>
      <c r="G173" s="11" t="s">
        <v>58</v>
      </c>
      <c r="H173" s="11"/>
      <c r="I173" s="11" t="s">
        <v>391</v>
      </c>
      <c r="J173" s="11" t="s">
        <v>765</v>
      </c>
      <c r="K173" s="11"/>
      <c r="L173" s="11">
        <v>1970</v>
      </c>
      <c r="M173" s="11">
        <v>1.5</v>
      </c>
      <c r="N173" s="11">
        <v>1</v>
      </c>
      <c r="O173" s="11"/>
      <c r="P173" s="11">
        <v>236</v>
      </c>
      <c r="Q173" s="11"/>
      <c r="R173" s="11"/>
      <c r="S173" s="11" t="s">
        <v>30</v>
      </c>
      <c r="T173" s="11"/>
      <c r="U173" s="11"/>
      <c r="V173" s="11" t="s">
        <v>0</v>
      </c>
      <c r="W173" s="54">
        <v>48</v>
      </c>
      <c r="X173" s="11">
        <v>1</v>
      </c>
    </row>
    <row r="174" spans="1:24" ht="57.6" x14ac:dyDescent="0.3">
      <c r="A174" s="10">
        <v>7</v>
      </c>
      <c r="B174" s="11" t="s">
        <v>757</v>
      </c>
      <c r="C174" s="11"/>
      <c r="D174" s="11"/>
      <c r="E174" s="11" t="s">
        <v>759</v>
      </c>
      <c r="F174" s="11"/>
      <c r="G174" s="11" t="s">
        <v>58</v>
      </c>
      <c r="H174" s="11"/>
      <c r="I174" s="11" t="s">
        <v>391</v>
      </c>
      <c r="J174" s="11" t="s">
        <v>766</v>
      </c>
      <c r="K174" s="11"/>
      <c r="L174" s="11">
        <v>1980</v>
      </c>
      <c r="M174" s="11">
        <v>2</v>
      </c>
      <c r="N174" s="11">
        <v>1</v>
      </c>
      <c r="O174" s="11"/>
      <c r="P174" s="11">
        <v>144</v>
      </c>
      <c r="Q174" s="11"/>
      <c r="R174" s="11"/>
      <c r="S174" s="11" t="s">
        <v>67</v>
      </c>
      <c r="T174" s="11"/>
      <c r="U174" s="11"/>
      <c r="V174" s="11" t="s">
        <v>0</v>
      </c>
      <c r="W174" s="54">
        <f>36+18</f>
        <v>54</v>
      </c>
      <c r="X174" s="11">
        <v>1</v>
      </c>
    </row>
    <row r="175" spans="1:24" ht="57.6" x14ac:dyDescent="0.3">
      <c r="A175" s="10">
        <v>7</v>
      </c>
      <c r="B175" s="11" t="s">
        <v>757</v>
      </c>
      <c r="C175" s="11"/>
      <c r="D175" s="11"/>
      <c r="E175" s="11" t="s">
        <v>759</v>
      </c>
      <c r="F175" s="11"/>
      <c r="G175" s="11" t="s">
        <v>58</v>
      </c>
      <c r="H175" s="11"/>
      <c r="I175" s="11" t="s">
        <v>391</v>
      </c>
      <c r="J175" s="11" t="s">
        <v>766</v>
      </c>
      <c r="K175" s="11"/>
      <c r="L175" s="11">
        <v>1980</v>
      </c>
      <c r="M175" s="11">
        <v>2</v>
      </c>
      <c r="N175" s="11">
        <v>1</v>
      </c>
      <c r="O175" s="11"/>
      <c r="P175" s="11">
        <v>144</v>
      </c>
      <c r="Q175" s="11"/>
      <c r="R175" s="11"/>
      <c r="S175" s="11" t="s">
        <v>65</v>
      </c>
      <c r="T175" s="11"/>
      <c r="U175" s="11"/>
      <c r="V175" s="11" t="s">
        <v>0</v>
      </c>
      <c r="W175" s="54">
        <v>294</v>
      </c>
      <c r="X175" s="11">
        <v>1</v>
      </c>
    </row>
    <row r="176" spans="1:24" ht="57.6" x14ac:dyDescent="0.3">
      <c r="A176" s="10">
        <v>7</v>
      </c>
      <c r="B176" s="11" t="s">
        <v>757</v>
      </c>
      <c r="C176" s="11"/>
      <c r="D176" s="11"/>
      <c r="E176" s="11" t="s">
        <v>759</v>
      </c>
      <c r="F176" s="11"/>
      <c r="G176" s="11" t="s">
        <v>58</v>
      </c>
      <c r="H176" s="11"/>
      <c r="I176" s="11" t="s">
        <v>391</v>
      </c>
      <c r="J176" s="11" t="s">
        <v>766</v>
      </c>
      <c r="K176" s="11"/>
      <c r="L176" s="11">
        <v>1980</v>
      </c>
      <c r="M176" s="11">
        <v>2</v>
      </c>
      <c r="N176" s="11">
        <v>1</v>
      </c>
      <c r="O176" s="11"/>
      <c r="P176" s="11">
        <v>144</v>
      </c>
      <c r="Q176" s="11"/>
      <c r="R176" s="11"/>
      <c r="S176" s="11" t="s">
        <v>437</v>
      </c>
      <c r="T176" s="11"/>
      <c r="U176" s="11"/>
      <c r="V176" s="11" t="s">
        <v>0</v>
      </c>
      <c r="W176" s="54">
        <v>4</v>
      </c>
      <c r="X176" s="11">
        <v>1</v>
      </c>
    </row>
    <row r="177" spans="1:24" ht="57.6" x14ac:dyDescent="0.3">
      <c r="A177" s="10">
        <v>7</v>
      </c>
      <c r="B177" s="11" t="s">
        <v>757</v>
      </c>
      <c r="C177" s="11"/>
      <c r="D177" s="11"/>
      <c r="E177" s="11" t="s">
        <v>759</v>
      </c>
      <c r="F177" s="11"/>
      <c r="G177" s="11" t="s">
        <v>58</v>
      </c>
      <c r="H177" s="11"/>
      <c r="I177" s="11" t="s">
        <v>391</v>
      </c>
      <c r="J177" s="11" t="s">
        <v>766</v>
      </c>
      <c r="K177" s="11"/>
      <c r="L177" s="11">
        <v>1980</v>
      </c>
      <c r="M177" s="11">
        <v>2</v>
      </c>
      <c r="N177" s="11">
        <v>1</v>
      </c>
      <c r="O177" s="11"/>
      <c r="P177" s="11">
        <v>144</v>
      </c>
      <c r="Q177" s="11"/>
      <c r="R177" s="11"/>
      <c r="S177" s="11" t="s">
        <v>30</v>
      </c>
      <c r="T177" s="11"/>
      <c r="U177" s="11"/>
      <c r="V177" s="11" t="s">
        <v>0</v>
      </c>
      <c r="W177" s="54">
        <v>63</v>
      </c>
      <c r="X177" s="11">
        <v>1</v>
      </c>
    </row>
    <row r="178" spans="1:24" ht="57.6" x14ac:dyDescent="0.3">
      <c r="A178" s="10">
        <v>7</v>
      </c>
      <c r="B178" s="11" t="s">
        <v>757</v>
      </c>
      <c r="C178" s="11"/>
      <c r="D178" s="11"/>
      <c r="E178" s="11" t="s">
        <v>759</v>
      </c>
      <c r="F178" s="11"/>
      <c r="G178" s="11" t="s">
        <v>58</v>
      </c>
      <c r="H178" s="11"/>
      <c r="I178" s="11" t="s">
        <v>391</v>
      </c>
      <c r="J178" s="11" t="s">
        <v>767</v>
      </c>
      <c r="K178" s="11"/>
      <c r="L178" s="11">
        <v>1990</v>
      </c>
      <c r="M178" s="11">
        <v>1.5</v>
      </c>
      <c r="N178" s="11">
        <v>1</v>
      </c>
      <c r="O178" s="11"/>
      <c r="P178" s="11">
        <v>289</v>
      </c>
      <c r="Q178" s="11"/>
      <c r="R178" s="11"/>
      <c r="S178" s="11" t="s">
        <v>67</v>
      </c>
      <c r="T178" s="11"/>
      <c r="U178" s="11"/>
      <c r="V178" s="11" t="s">
        <v>0</v>
      </c>
      <c r="W178" s="54">
        <f>35+15</f>
        <v>50</v>
      </c>
      <c r="X178" s="11">
        <v>1</v>
      </c>
    </row>
    <row r="179" spans="1:24" ht="57.6" x14ac:dyDescent="0.3">
      <c r="A179" s="10">
        <v>7</v>
      </c>
      <c r="B179" s="11" t="s">
        <v>757</v>
      </c>
      <c r="C179" s="11"/>
      <c r="D179" s="11"/>
      <c r="E179" s="11" t="s">
        <v>759</v>
      </c>
      <c r="F179" s="11"/>
      <c r="G179" s="11" t="s">
        <v>58</v>
      </c>
      <c r="H179" s="11"/>
      <c r="I179" s="11" t="s">
        <v>391</v>
      </c>
      <c r="J179" s="11" t="s">
        <v>767</v>
      </c>
      <c r="K179" s="11"/>
      <c r="L179" s="11">
        <v>1990</v>
      </c>
      <c r="M179" s="11">
        <v>1.5</v>
      </c>
      <c r="N179" s="11">
        <v>1</v>
      </c>
      <c r="O179" s="11"/>
      <c r="P179" s="11">
        <v>289</v>
      </c>
      <c r="Q179" s="11"/>
      <c r="R179" s="11"/>
      <c r="S179" s="11" t="s">
        <v>65</v>
      </c>
      <c r="T179" s="11"/>
      <c r="U179" s="11"/>
      <c r="V179" s="11" t="s">
        <v>0</v>
      </c>
      <c r="W179" s="54">
        <v>183</v>
      </c>
      <c r="X179" s="11">
        <v>1</v>
      </c>
    </row>
    <row r="180" spans="1:24" ht="57.6" x14ac:dyDescent="0.3">
      <c r="A180" s="10">
        <v>7</v>
      </c>
      <c r="B180" s="11" t="s">
        <v>757</v>
      </c>
      <c r="C180" s="11"/>
      <c r="D180" s="11"/>
      <c r="E180" s="11" t="s">
        <v>759</v>
      </c>
      <c r="F180" s="11"/>
      <c r="G180" s="11" t="s">
        <v>58</v>
      </c>
      <c r="H180" s="11"/>
      <c r="I180" s="11" t="s">
        <v>391</v>
      </c>
      <c r="J180" s="11" t="s">
        <v>767</v>
      </c>
      <c r="K180" s="11"/>
      <c r="L180" s="11">
        <v>1990</v>
      </c>
      <c r="M180" s="11">
        <v>1.5</v>
      </c>
      <c r="N180" s="11">
        <v>1</v>
      </c>
      <c r="O180" s="11"/>
      <c r="P180" s="11">
        <v>289</v>
      </c>
      <c r="Q180" s="11"/>
      <c r="R180" s="11"/>
      <c r="S180" s="11" t="s">
        <v>437</v>
      </c>
      <c r="T180" s="11"/>
      <c r="U180" s="11"/>
      <c r="V180" s="11" t="s">
        <v>0</v>
      </c>
      <c r="W180" s="54">
        <v>2</v>
      </c>
      <c r="X180" s="11">
        <v>1</v>
      </c>
    </row>
    <row r="181" spans="1:24" ht="57.6" x14ac:dyDescent="0.3">
      <c r="A181" s="10">
        <v>7</v>
      </c>
      <c r="B181" s="11" t="s">
        <v>757</v>
      </c>
      <c r="C181" s="11"/>
      <c r="D181" s="11"/>
      <c r="E181" s="11" t="s">
        <v>759</v>
      </c>
      <c r="F181" s="11"/>
      <c r="G181" s="11" t="s">
        <v>58</v>
      </c>
      <c r="H181" s="11"/>
      <c r="I181" s="11" t="s">
        <v>391</v>
      </c>
      <c r="J181" s="11" t="s">
        <v>767</v>
      </c>
      <c r="K181" s="11"/>
      <c r="L181" s="11">
        <v>1990</v>
      </c>
      <c r="M181" s="11">
        <v>1.5</v>
      </c>
      <c r="N181" s="11">
        <v>1</v>
      </c>
      <c r="O181" s="11"/>
      <c r="P181" s="11">
        <v>289</v>
      </c>
      <c r="Q181" s="11"/>
      <c r="R181" s="11"/>
      <c r="S181" s="11" t="s">
        <v>30</v>
      </c>
      <c r="T181" s="11"/>
      <c r="U181" s="11"/>
      <c r="V181" s="11" t="s">
        <v>0</v>
      </c>
      <c r="W181" s="54">
        <v>64</v>
      </c>
      <c r="X181" s="11">
        <v>1</v>
      </c>
    </row>
    <row r="182" spans="1:24" ht="57.6" x14ac:dyDescent="0.3">
      <c r="A182" s="10">
        <v>7</v>
      </c>
      <c r="B182" s="11" t="s">
        <v>757</v>
      </c>
      <c r="C182" s="11"/>
      <c r="D182" s="11"/>
      <c r="E182" s="11" t="s">
        <v>759</v>
      </c>
      <c r="F182" s="11"/>
      <c r="G182" s="11" t="s">
        <v>58</v>
      </c>
      <c r="H182" s="11"/>
      <c r="I182" s="11" t="s">
        <v>391</v>
      </c>
      <c r="J182" s="11" t="s">
        <v>768</v>
      </c>
      <c r="K182" s="11"/>
      <c r="L182" s="11">
        <v>2000</v>
      </c>
      <c r="M182" s="11">
        <v>2</v>
      </c>
      <c r="N182" s="11">
        <v>1</v>
      </c>
      <c r="O182" s="11"/>
      <c r="P182" s="11">
        <v>220</v>
      </c>
      <c r="Q182" s="11"/>
      <c r="R182" s="11"/>
      <c r="S182" s="11" t="s">
        <v>67</v>
      </c>
      <c r="T182" s="11"/>
      <c r="U182" s="11"/>
      <c r="V182" s="11" t="s">
        <v>0</v>
      </c>
      <c r="W182" s="54">
        <f>30+17</f>
        <v>47</v>
      </c>
      <c r="X182" s="11">
        <v>1</v>
      </c>
    </row>
    <row r="183" spans="1:24" ht="57.6" x14ac:dyDescent="0.3">
      <c r="A183" s="10">
        <v>7</v>
      </c>
      <c r="B183" s="11" t="s">
        <v>757</v>
      </c>
      <c r="C183" s="11"/>
      <c r="D183" s="11"/>
      <c r="E183" s="11" t="s">
        <v>759</v>
      </c>
      <c r="F183" s="11"/>
      <c r="G183" s="11" t="s">
        <v>58</v>
      </c>
      <c r="H183" s="11"/>
      <c r="I183" s="11" t="s">
        <v>391</v>
      </c>
      <c r="J183" s="11" t="s">
        <v>768</v>
      </c>
      <c r="K183" s="11"/>
      <c r="L183" s="11">
        <v>2000</v>
      </c>
      <c r="M183" s="11">
        <v>2</v>
      </c>
      <c r="N183" s="11">
        <v>1</v>
      </c>
      <c r="O183" s="11"/>
      <c r="P183" s="11">
        <v>220</v>
      </c>
      <c r="Q183" s="11"/>
      <c r="R183" s="11"/>
      <c r="S183" s="11" t="s">
        <v>65</v>
      </c>
      <c r="T183" s="11"/>
      <c r="U183" s="11"/>
      <c r="V183" s="11" t="s">
        <v>0</v>
      </c>
      <c r="W183" s="54">
        <v>176</v>
      </c>
      <c r="X183" s="11">
        <v>1</v>
      </c>
    </row>
    <row r="184" spans="1:24" ht="57.6" x14ac:dyDescent="0.3">
      <c r="A184" s="10">
        <v>7</v>
      </c>
      <c r="B184" s="11" t="s">
        <v>757</v>
      </c>
      <c r="C184" s="11"/>
      <c r="D184" s="11"/>
      <c r="E184" s="11" t="s">
        <v>759</v>
      </c>
      <c r="F184" s="11"/>
      <c r="G184" s="11" t="s">
        <v>58</v>
      </c>
      <c r="H184" s="11"/>
      <c r="I184" s="11" t="s">
        <v>391</v>
      </c>
      <c r="J184" s="11" t="s">
        <v>768</v>
      </c>
      <c r="K184" s="11"/>
      <c r="L184" s="11">
        <v>2000</v>
      </c>
      <c r="M184" s="11">
        <v>2</v>
      </c>
      <c r="N184" s="11">
        <v>1</v>
      </c>
      <c r="O184" s="11"/>
      <c r="P184" s="11">
        <v>220</v>
      </c>
      <c r="Q184" s="11"/>
      <c r="R184" s="11"/>
      <c r="S184" s="11" t="s">
        <v>437</v>
      </c>
      <c r="T184" s="11"/>
      <c r="U184" s="11"/>
      <c r="V184" s="11" t="s">
        <v>0</v>
      </c>
      <c r="W184" s="54">
        <v>2</v>
      </c>
      <c r="X184" s="11">
        <v>1</v>
      </c>
    </row>
    <row r="185" spans="1:24" ht="57.6" x14ac:dyDescent="0.3">
      <c r="A185" s="10">
        <v>7</v>
      </c>
      <c r="B185" s="11" t="s">
        <v>757</v>
      </c>
      <c r="C185" s="11"/>
      <c r="D185" s="11"/>
      <c r="E185" s="11" t="s">
        <v>759</v>
      </c>
      <c r="F185" s="11"/>
      <c r="G185" s="11" t="s">
        <v>58</v>
      </c>
      <c r="H185" s="11"/>
      <c r="I185" s="11" t="s">
        <v>391</v>
      </c>
      <c r="J185" s="11" t="s">
        <v>768</v>
      </c>
      <c r="K185" s="11"/>
      <c r="L185" s="11">
        <v>2000</v>
      </c>
      <c r="M185" s="11">
        <v>2</v>
      </c>
      <c r="N185" s="11">
        <v>1</v>
      </c>
      <c r="O185" s="11"/>
      <c r="P185" s="11">
        <v>220</v>
      </c>
      <c r="Q185" s="11"/>
      <c r="R185" s="11"/>
      <c r="S185" s="11" t="s">
        <v>30</v>
      </c>
      <c r="T185" s="11"/>
      <c r="U185" s="11"/>
      <c r="V185" s="11" t="s">
        <v>0</v>
      </c>
      <c r="W185" s="54">
        <v>15</v>
      </c>
      <c r="X185" s="11">
        <v>1</v>
      </c>
    </row>
    <row r="186" spans="1:24" ht="57.6" x14ac:dyDescent="0.3">
      <c r="A186" s="10">
        <v>7</v>
      </c>
      <c r="B186" s="11" t="s">
        <v>757</v>
      </c>
      <c r="C186" s="11"/>
      <c r="D186" s="11"/>
      <c r="E186" s="11" t="s">
        <v>759</v>
      </c>
      <c r="F186" s="11"/>
      <c r="G186" s="11" t="s">
        <v>58</v>
      </c>
      <c r="H186" s="11"/>
      <c r="I186" s="11" t="s">
        <v>435</v>
      </c>
      <c r="J186" s="11" t="s">
        <v>769</v>
      </c>
      <c r="K186" s="11"/>
      <c r="L186" s="11">
        <v>1920</v>
      </c>
      <c r="M186" s="11">
        <v>2</v>
      </c>
      <c r="N186" s="11">
        <v>1</v>
      </c>
      <c r="O186" s="11"/>
      <c r="P186" s="11">
        <v>528</v>
      </c>
      <c r="Q186" s="11"/>
      <c r="R186" s="11"/>
      <c r="S186" s="11" t="s">
        <v>67</v>
      </c>
      <c r="T186" s="11"/>
      <c r="U186" s="11"/>
      <c r="V186" s="11" t="s">
        <v>0</v>
      </c>
      <c r="W186" s="54">
        <f>139+28</f>
        <v>167</v>
      </c>
      <c r="X186" s="11">
        <v>3</v>
      </c>
    </row>
    <row r="187" spans="1:24" ht="57.6" x14ac:dyDescent="0.3">
      <c r="A187" s="10">
        <v>7</v>
      </c>
      <c r="B187" s="11" t="s">
        <v>757</v>
      </c>
      <c r="C187" s="11"/>
      <c r="D187" s="11"/>
      <c r="E187" s="11" t="s">
        <v>759</v>
      </c>
      <c r="F187" s="11"/>
      <c r="G187" s="11" t="s">
        <v>58</v>
      </c>
      <c r="H187" s="11"/>
      <c r="I187" s="11" t="s">
        <v>435</v>
      </c>
      <c r="J187" s="11" t="s">
        <v>769</v>
      </c>
      <c r="K187" s="11"/>
      <c r="L187" s="11">
        <v>1920</v>
      </c>
      <c r="M187" s="11">
        <v>2</v>
      </c>
      <c r="N187" s="11">
        <v>1</v>
      </c>
      <c r="O187" s="11"/>
      <c r="P187" s="11">
        <v>528</v>
      </c>
      <c r="Q187" s="11"/>
      <c r="R187" s="11"/>
      <c r="S187" s="11" t="s">
        <v>65</v>
      </c>
      <c r="T187" s="11"/>
      <c r="U187" s="11"/>
      <c r="V187" s="11" t="s">
        <v>0</v>
      </c>
      <c r="W187" s="54">
        <v>399</v>
      </c>
      <c r="X187" s="11">
        <v>3</v>
      </c>
    </row>
    <row r="188" spans="1:24" ht="57.6" x14ac:dyDescent="0.3">
      <c r="A188" s="10">
        <v>7</v>
      </c>
      <c r="B188" s="11" t="s">
        <v>757</v>
      </c>
      <c r="C188" s="11"/>
      <c r="D188" s="11"/>
      <c r="E188" s="11" t="s">
        <v>759</v>
      </c>
      <c r="F188" s="11"/>
      <c r="G188" s="11" t="s">
        <v>58</v>
      </c>
      <c r="H188" s="11"/>
      <c r="I188" s="11" t="s">
        <v>435</v>
      </c>
      <c r="J188" s="11" t="s">
        <v>769</v>
      </c>
      <c r="K188" s="11"/>
      <c r="L188" s="11">
        <v>1920</v>
      </c>
      <c r="M188" s="11">
        <v>2</v>
      </c>
      <c r="N188" s="11">
        <v>1</v>
      </c>
      <c r="O188" s="11"/>
      <c r="P188" s="11">
        <v>528</v>
      </c>
      <c r="Q188" s="11"/>
      <c r="R188" s="11"/>
      <c r="S188" s="11" t="s">
        <v>437</v>
      </c>
      <c r="T188" s="11"/>
      <c r="U188" s="11"/>
      <c r="V188" s="11" t="s">
        <v>0</v>
      </c>
      <c r="W188" s="54">
        <v>3</v>
      </c>
      <c r="X188" s="11">
        <v>3</v>
      </c>
    </row>
    <row r="189" spans="1:24" ht="57.6" x14ac:dyDescent="0.3">
      <c r="A189" s="10">
        <v>7</v>
      </c>
      <c r="B189" s="11" t="s">
        <v>757</v>
      </c>
      <c r="C189" s="11"/>
      <c r="D189" s="11"/>
      <c r="E189" s="11" t="s">
        <v>759</v>
      </c>
      <c r="F189" s="11"/>
      <c r="G189" s="11" t="s">
        <v>58</v>
      </c>
      <c r="H189" s="11"/>
      <c r="I189" s="11" t="s">
        <v>435</v>
      </c>
      <c r="J189" s="11" t="s">
        <v>769</v>
      </c>
      <c r="K189" s="11"/>
      <c r="L189" s="11">
        <v>1920</v>
      </c>
      <c r="M189" s="11">
        <v>2</v>
      </c>
      <c r="N189" s="11">
        <v>1</v>
      </c>
      <c r="O189" s="11"/>
      <c r="P189" s="11">
        <v>528</v>
      </c>
      <c r="Q189" s="11"/>
      <c r="R189" s="11"/>
      <c r="S189" s="11" t="s">
        <v>30</v>
      </c>
      <c r="T189" s="11"/>
      <c r="U189" s="11"/>
      <c r="V189" s="11" t="s">
        <v>0</v>
      </c>
      <c r="W189" s="54">
        <v>63</v>
      </c>
      <c r="X189" s="11">
        <v>3</v>
      </c>
    </row>
    <row r="190" spans="1:24" ht="57.6" x14ac:dyDescent="0.3">
      <c r="A190" s="10">
        <v>7</v>
      </c>
      <c r="B190" s="11" t="s">
        <v>757</v>
      </c>
      <c r="C190" s="11"/>
      <c r="D190" s="11"/>
      <c r="E190" s="11" t="s">
        <v>759</v>
      </c>
      <c r="F190" s="11"/>
      <c r="G190" s="11" t="s">
        <v>58</v>
      </c>
      <c r="H190" s="11"/>
      <c r="I190" s="11" t="s">
        <v>435</v>
      </c>
      <c r="J190" s="11" t="s">
        <v>770</v>
      </c>
      <c r="K190" s="11"/>
      <c r="L190" s="11">
        <v>1930</v>
      </c>
      <c r="M190" s="11">
        <v>2</v>
      </c>
      <c r="N190" s="11">
        <v>1</v>
      </c>
      <c r="O190" s="11"/>
      <c r="P190" s="11">
        <v>300</v>
      </c>
      <c r="Q190" s="11"/>
      <c r="R190" s="11"/>
      <c r="S190" s="11" t="s">
        <v>67</v>
      </c>
      <c r="T190" s="11"/>
      <c r="U190" s="11"/>
      <c r="V190" s="11" t="s">
        <v>0</v>
      </c>
      <c r="W190" s="54">
        <f>145+42</f>
        <v>187</v>
      </c>
      <c r="X190" s="11">
        <v>3</v>
      </c>
    </row>
    <row r="191" spans="1:24" ht="57.6" x14ac:dyDescent="0.3">
      <c r="A191" s="10">
        <v>7</v>
      </c>
      <c r="B191" s="11" t="s">
        <v>757</v>
      </c>
      <c r="C191" s="11"/>
      <c r="D191" s="11"/>
      <c r="E191" s="11" t="s">
        <v>759</v>
      </c>
      <c r="F191" s="11"/>
      <c r="G191" s="11" t="s">
        <v>58</v>
      </c>
      <c r="H191" s="11"/>
      <c r="I191" s="11" t="s">
        <v>435</v>
      </c>
      <c r="J191" s="11" t="s">
        <v>770</v>
      </c>
      <c r="K191" s="11"/>
      <c r="L191" s="11">
        <v>1930</v>
      </c>
      <c r="M191" s="11">
        <v>2</v>
      </c>
      <c r="N191" s="11">
        <v>1</v>
      </c>
      <c r="O191" s="11"/>
      <c r="P191" s="11">
        <v>300</v>
      </c>
      <c r="Q191" s="11"/>
      <c r="R191" s="11"/>
      <c r="S191" s="11" t="s">
        <v>65</v>
      </c>
      <c r="T191" s="11"/>
      <c r="U191" s="11"/>
      <c r="V191" s="11" t="s">
        <v>0</v>
      </c>
      <c r="W191" s="54">
        <v>303</v>
      </c>
      <c r="X191" s="11">
        <v>3</v>
      </c>
    </row>
    <row r="192" spans="1:24" ht="57.6" x14ac:dyDescent="0.3">
      <c r="A192" s="10">
        <v>7</v>
      </c>
      <c r="B192" s="11" t="s">
        <v>757</v>
      </c>
      <c r="C192" s="11"/>
      <c r="D192" s="11"/>
      <c r="E192" s="11" t="s">
        <v>759</v>
      </c>
      <c r="F192" s="11"/>
      <c r="G192" s="11" t="s">
        <v>58</v>
      </c>
      <c r="H192" s="11"/>
      <c r="I192" s="11" t="s">
        <v>435</v>
      </c>
      <c r="J192" s="11" t="s">
        <v>770</v>
      </c>
      <c r="K192" s="11"/>
      <c r="L192" s="11">
        <v>1930</v>
      </c>
      <c r="M192" s="11">
        <v>2</v>
      </c>
      <c r="N192" s="11">
        <v>1</v>
      </c>
      <c r="O192" s="11"/>
      <c r="P192" s="11">
        <v>300</v>
      </c>
      <c r="Q192" s="11"/>
      <c r="R192" s="11"/>
      <c r="S192" s="11" t="s">
        <v>437</v>
      </c>
      <c r="T192" s="11"/>
      <c r="U192" s="11"/>
      <c r="V192" s="11" t="s">
        <v>0</v>
      </c>
      <c r="W192" s="54">
        <v>5</v>
      </c>
      <c r="X192" s="11">
        <v>3</v>
      </c>
    </row>
    <row r="193" spans="1:24" ht="57.6" x14ac:dyDescent="0.3">
      <c r="A193" s="10">
        <v>7</v>
      </c>
      <c r="B193" s="11" t="s">
        <v>757</v>
      </c>
      <c r="C193" s="11"/>
      <c r="D193" s="11"/>
      <c r="E193" s="11" t="s">
        <v>759</v>
      </c>
      <c r="F193" s="11"/>
      <c r="G193" s="11" t="s">
        <v>58</v>
      </c>
      <c r="H193" s="11"/>
      <c r="I193" s="11" t="s">
        <v>435</v>
      </c>
      <c r="J193" s="11" t="s">
        <v>770</v>
      </c>
      <c r="K193" s="11"/>
      <c r="L193" s="11">
        <v>1930</v>
      </c>
      <c r="M193" s="11">
        <v>2</v>
      </c>
      <c r="N193" s="11">
        <v>1</v>
      </c>
      <c r="O193" s="11"/>
      <c r="P193" s="11">
        <v>300</v>
      </c>
      <c r="Q193" s="11"/>
      <c r="R193" s="11"/>
      <c r="S193" s="11" t="s">
        <v>30</v>
      </c>
      <c r="T193" s="11"/>
      <c r="U193" s="11"/>
      <c r="V193" s="11" t="s">
        <v>0</v>
      </c>
      <c r="W193" s="54">
        <v>68</v>
      </c>
      <c r="X193" s="11">
        <v>3</v>
      </c>
    </row>
    <row r="194" spans="1:24" ht="57.6" x14ac:dyDescent="0.3">
      <c r="A194" s="10">
        <v>7</v>
      </c>
      <c r="B194" s="11" t="s">
        <v>757</v>
      </c>
      <c r="C194" s="11"/>
      <c r="D194" s="11"/>
      <c r="E194" s="11" t="s">
        <v>759</v>
      </c>
      <c r="F194" s="11"/>
      <c r="G194" s="11" t="s">
        <v>58</v>
      </c>
      <c r="H194" s="11"/>
      <c r="I194" s="11" t="s">
        <v>70</v>
      </c>
      <c r="J194" s="11" t="s">
        <v>771</v>
      </c>
      <c r="K194" s="11"/>
      <c r="L194" s="11">
        <v>1990</v>
      </c>
      <c r="M194" s="11">
        <v>5</v>
      </c>
      <c r="N194" s="11">
        <v>1</v>
      </c>
      <c r="O194" s="11"/>
      <c r="P194" s="11">
        <v>1240</v>
      </c>
      <c r="Q194" s="11"/>
      <c r="R194" s="11"/>
      <c r="S194" s="11" t="s">
        <v>67</v>
      </c>
      <c r="T194" s="11"/>
      <c r="U194" s="11"/>
      <c r="V194" s="11" t="s">
        <v>0</v>
      </c>
      <c r="W194" s="54">
        <f>27+17</f>
        <v>44</v>
      </c>
      <c r="X194" s="11">
        <v>4</v>
      </c>
    </row>
    <row r="195" spans="1:24" ht="57.6" x14ac:dyDescent="0.3">
      <c r="A195" s="10">
        <v>7</v>
      </c>
      <c r="B195" s="11" t="s">
        <v>757</v>
      </c>
      <c r="C195" s="11"/>
      <c r="D195" s="11"/>
      <c r="E195" s="11" t="s">
        <v>759</v>
      </c>
      <c r="F195" s="11"/>
      <c r="G195" s="11" t="s">
        <v>58</v>
      </c>
      <c r="H195" s="11"/>
      <c r="I195" s="11" t="s">
        <v>70</v>
      </c>
      <c r="J195" s="11" t="s">
        <v>771</v>
      </c>
      <c r="K195" s="11"/>
      <c r="L195" s="11">
        <v>1990</v>
      </c>
      <c r="M195" s="11">
        <v>5</v>
      </c>
      <c r="N195" s="11">
        <v>1</v>
      </c>
      <c r="O195" s="11"/>
      <c r="P195" s="11">
        <v>1240</v>
      </c>
      <c r="Q195" s="11"/>
      <c r="R195" s="11"/>
      <c r="S195" s="11" t="s">
        <v>65</v>
      </c>
      <c r="T195" s="11"/>
      <c r="U195" s="11"/>
      <c r="V195" s="11" t="s">
        <v>0</v>
      </c>
      <c r="W195" s="54">
        <v>295</v>
      </c>
      <c r="X195" s="11">
        <v>4</v>
      </c>
    </row>
    <row r="196" spans="1:24" ht="57.6" x14ac:dyDescent="0.3">
      <c r="A196" s="10">
        <v>7</v>
      </c>
      <c r="B196" s="11" t="s">
        <v>757</v>
      </c>
      <c r="C196" s="11"/>
      <c r="D196" s="11"/>
      <c r="E196" s="11" t="s">
        <v>759</v>
      </c>
      <c r="F196" s="11"/>
      <c r="G196" s="11" t="s">
        <v>58</v>
      </c>
      <c r="H196" s="11"/>
      <c r="I196" s="11" t="s">
        <v>70</v>
      </c>
      <c r="J196" s="11" t="s">
        <v>771</v>
      </c>
      <c r="K196" s="11"/>
      <c r="L196" s="11">
        <v>1990</v>
      </c>
      <c r="M196" s="11">
        <v>5</v>
      </c>
      <c r="N196" s="11">
        <v>1</v>
      </c>
      <c r="O196" s="11"/>
      <c r="P196" s="11">
        <v>1240</v>
      </c>
      <c r="Q196" s="11"/>
      <c r="R196" s="11"/>
      <c r="S196" s="11" t="s">
        <v>437</v>
      </c>
      <c r="T196" s="11"/>
      <c r="U196" s="11"/>
      <c r="V196" s="11" t="s">
        <v>0</v>
      </c>
      <c r="W196" s="54">
        <v>5</v>
      </c>
      <c r="X196" s="11">
        <v>4</v>
      </c>
    </row>
    <row r="197" spans="1:24" ht="57.6" x14ac:dyDescent="0.3">
      <c r="A197" s="10">
        <v>7</v>
      </c>
      <c r="B197" s="11" t="s">
        <v>757</v>
      </c>
      <c r="C197" s="11"/>
      <c r="D197" s="11"/>
      <c r="E197" s="11" t="s">
        <v>759</v>
      </c>
      <c r="F197" s="11"/>
      <c r="G197" s="11" t="s">
        <v>58</v>
      </c>
      <c r="H197" s="11"/>
      <c r="I197" s="11" t="s">
        <v>70</v>
      </c>
      <c r="J197" s="11" t="s">
        <v>771</v>
      </c>
      <c r="K197" s="11"/>
      <c r="L197" s="11">
        <v>1990</v>
      </c>
      <c r="M197" s="11">
        <v>5</v>
      </c>
      <c r="N197" s="11">
        <v>1</v>
      </c>
      <c r="O197" s="11"/>
      <c r="P197" s="11">
        <v>1240</v>
      </c>
      <c r="Q197" s="11"/>
      <c r="R197" s="11"/>
      <c r="S197" s="11" t="s">
        <v>30</v>
      </c>
      <c r="T197" s="11"/>
      <c r="U197" s="11"/>
      <c r="V197" s="11" t="s">
        <v>0</v>
      </c>
      <c r="W197" s="54">
        <v>428</v>
      </c>
      <c r="X197" s="11">
        <v>4</v>
      </c>
    </row>
    <row r="198" spans="1:24" ht="57.6" x14ac:dyDescent="0.3">
      <c r="A198" s="10">
        <v>7</v>
      </c>
      <c r="B198" s="11" t="s">
        <v>757</v>
      </c>
      <c r="C198" s="11"/>
      <c r="D198" s="11"/>
      <c r="E198" s="11" t="s">
        <v>759</v>
      </c>
      <c r="F198" s="11"/>
      <c r="G198" s="11" t="s">
        <v>58</v>
      </c>
      <c r="H198" s="11"/>
      <c r="I198" s="11" t="s">
        <v>435</v>
      </c>
      <c r="J198" s="11" t="s">
        <v>772</v>
      </c>
      <c r="K198" s="11"/>
      <c r="L198" s="11">
        <v>1920</v>
      </c>
      <c r="M198" s="11">
        <v>3</v>
      </c>
      <c r="N198" s="11">
        <v>1</v>
      </c>
      <c r="O198" s="11"/>
      <c r="P198" s="11">
        <v>720</v>
      </c>
      <c r="Q198" s="11"/>
      <c r="R198" s="11"/>
      <c r="S198" s="11" t="s">
        <v>67</v>
      </c>
      <c r="T198" s="11"/>
      <c r="U198" s="11"/>
      <c r="V198" s="11" t="s">
        <v>0</v>
      </c>
      <c r="W198" s="54">
        <f>113+36</f>
        <v>149</v>
      </c>
      <c r="X198" s="11">
        <v>3</v>
      </c>
    </row>
    <row r="199" spans="1:24" ht="57.6" x14ac:dyDescent="0.3">
      <c r="A199" s="10">
        <v>7</v>
      </c>
      <c r="B199" s="11" t="s">
        <v>757</v>
      </c>
      <c r="C199" s="11"/>
      <c r="D199" s="11"/>
      <c r="E199" s="11" t="s">
        <v>759</v>
      </c>
      <c r="F199" s="11"/>
      <c r="G199" s="11" t="s">
        <v>58</v>
      </c>
      <c r="H199" s="11"/>
      <c r="I199" s="11" t="s">
        <v>435</v>
      </c>
      <c r="J199" s="11" t="s">
        <v>772</v>
      </c>
      <c r="K199" s="11"/>
      <c r="L199" s="11">
        <v>1920</v>
      </c>
      <c r="M199" s="11">
        <v>3</v>
      </c>
      <c r="N199" s="11">
        <v>1</v>
      </c>
      <c r="O199" s="11"/>
      <c r="P199" s="11">
        <v>720</v>
      </c>
      <c r="Q199" s="11"/>
      <c r="R199" s="11"/>
      <c r="S199" s="11" t="s">
        <v>65</v>
      </c>
      <c r="T199" s="11"/>
      <c r="U199" s="11"/>
      <c r="V199" s="11" t="s">
        <v>0</v>
      </c>
      <c r="W199" s="54">
        <v>306</v>
      </c>
      <c r="X199" s="11">
        <v>3</v>
      </c>
    </row>
    <row r="200" spans="1:24" ht="57.6" x14ac:dyDescent="0.3">
      <c r="A200" s="10">
        <v>7</v>
      </c>
      <c r="B200" s="11" t="s">
        <v>757</v>
      </c>
      <c r="C200" s="11"/>
      <c r="D200" s="11"/>
      <c r="E200" s="11" t="s">
        <v>759</v>
      </c>
      <c r="F200" s="11"/>
      <c r="G200" s="11" t="s">
        <v>58</v>
      </c>
      <c r="H200" s="11"/>
      <c r="I200" s="11" t="s">
        <v>435</v>
      </c>
      <c r="J200" s="11" t="s">
        <v>772</v>
      </c>
      <c r="K200" s="11"/>
      <c r="L200" s="11">
        <v>1920</v>
      </c>
      <c r="M200" s="11">
        <v>3</v>
      </c>
      <c r="N200" s="11">
        <v>1</v>
      </c>
      <c r="O200" s="11"/>
      <c r="P200" s="11">
        <v>720</v>
      </c>
      <c r="Q200" s="11"/>
      <c r="R200" s="11"/>
      <c r="S200" s="11" t="s">
        <v>437</v>
      </c>
      <c r="T200" s="11"/>
      <c r="U200" s="11"/>
      <c r="V200" s="11" t="s">
        <v>0</v>
      </c>
      <c r="W200" s="54">
        <v>4</v>
      </c>
      <c r="X200" s="11">
        <v>3</v>
      </c>
    </row>
    <row r="201" spans="1:24" ht="57.6" x14ac:dyDescent="0.3">
      <c r="A201" s="10">
        <v>7</v>
      </c>
      <c r="B201" s="11" t="s">
        <v>757</v>
      </c>
      <c r="C201" s="11"/>
      <c r="D201" s="11"/>
      <c r="E201" s="11" t="s">
        <v>759</v>
      </c>
      <c r="F201" s="11"/>
      <c r="G201" s="11" t="s">
        <v>58</v>
      </c>
      <c r="H201" s="11"/>
      <c r="I201" s="11" t="s">
        <v>435</v>
      </c>
      <c r="J201" s="11" t="s">
        <v>772</v>
      </c>
      <c r="K201" s="11"/>
      <c r="L201" s="11">
        <v>1920</v>
      </c>
      <c r="M201" s="11">
        <v>3</v>
      </c>
      <c r="N201" s="11">
        <v>1</v>
      </c>
      <c r="O201" s="11"/>
      <c r="P201" s="11">
        <v>720</v>
      </c>
      <c r="Q201" s="11"/>
      <c r="R201" s="11"/>
      <c r="S201" s="11" t="s">
        <v>30</v>
      </c>
      <c r="T201" s="11"/>
      <c r="U201" s="11"/>
      <c r="V201" s="11" t="s">
        <v>0</v>
      </c>
      <c r="W201" s="54">
        <v>48</v>
      </c>
      <c r="X201" s="11">
        <v>3</v>
      </c>
    </row>
    <row r="202" spans="1:24" ht="57.6" x14ac:dyDescent="0.3">
      <c r="A202" s="10">
        <v>7</v>
      </c>
      <c r="B202" s="11" t="s">
        <v>757</v>
      </c>
      <c r="C202" s="11"/>
      <c r="D202" s="11"/>
      <c r="E202" s="11" t="s">
        <v>759</v>
      </c>
      <c r="F202" s="11"/>
      <c r="G202" s="11" t="s">
        <v>58</v>
      </c>
      <c r="H202" s="11"/>
      <c r="I202" s="11" t="s">
        <v>435</v>
      </c>
      <c r="J202" s="11" t="s">
        <v>773</v>
      </c>
      <c r="K202" s="11"/>
      <c r="L202" s="11">
        <v>1920</v>
      </c>
      <c r="M202" s="11">
        <v>4</v>
      </c>
      <c r="N202" s="11">
        <v>1</v>
      </c>
      <c r="O202" s="11"/>
      <c r="P202" s="11">
        <v>1530</v>
      </c>
      <c r="Q202" s="11"/>
      <c r="R202" s="11"/>
      <c r="S202" s="11" t="s">
        <v>67</v>
      </c>
      <c r="T202" s="11"/>
      <c r="U202" s="11"/>
      <c r="V202" s="11" t="s">
        <v>0</v>
      </c>
      <c r="W202" s="54">
        <f>55+0.5</f>
        <v>55.5</v>
      </c>
      <c r="X202" s="11">
        <v>3</v>
      </c>
    </row>
    <row r="203" spans="1:24" ht="57.6" x14ac:dyDescent="0.3">
      <c r="A203" s="10">
        <v>7</v>
      </c>
      <c r="B203" s="11" t="s">
        <v>757</v>
      </c>
      <c r="C203" s="11"/>
      <c r="D203" s="11"/>
      <c r="E203" s="11" t="s">
        <v>759</v>
      </c>
      <c r="F203" s="11"/>
      <c r="G203" s="11" t="s">
        <v>58</v>
      </c>
      <c r="H203" s="11"/>
      <c r="I203" s="11" t="s">
        <v>435</v>
      </c>
      <c r="J203" s="11" t="s">
        <v>773</v>
      </c>
      <c r="K203" s="11"/>
      <c r="L203" s="11">
        <v>1920</v>
      </c>
      <c r="M203" s="11">
        <v>4</v>
      </c>
      <c r="N203" s="11">
        <v>1</v>
      </c>
      <c r="O203" s="11"/>
      <c r="P203" s="11">
        <v>1530</v>
      </c>
      <c r="Q203" s="11"/>
      <c r="R203" s="11"/>
      <c r="S203" s="11" t="s">
        <v>65</v>
      </c>
      <c r="T203" s="11"/>
      <c r="U203" s="11"/>
      <c r="V203" s="11" t="s">
        <v>0</v>
      </c>
      <c r="W203" s="54">
        <v>174</v>
      </c>
      <c r="X203" s="11">
        <v>3</v>
      </c>
    </row>
    <row r="204" spans="1:24" ht="57.6" x14ac:dyDescent="0.3">
      <c r="A204" s="10">
        <v>7</v>
      </c>
      <c r="B204" s="11" t="s">
        <v>757</v>
      </c>
      <c r="C204" s="11"/>
      <c r="D204" s="11"/>
      <c r="E204" s="11" t="s">
        <v>759</v>
      </c>
      <c r="F204" s="11"/>
      <c r="G204" s="11" t="s">
        <v>58</v>
      </c>
      <c r="H204" s="11"/>
      <c r="I204" s="11" t="s">
        <v>435</v>
      </c>
      <c r="J204" s="11" t="s">
        <v>773</v>
      </c>
      <c r="K204" s="11"/>
      <c r="L204" s="11">
        <v>1920</v>
      </c>
      <c r="M204" s="11">
        <v>4</v>
      </c>
      <c r="N204" s="11">
        <v>1</v>
      </c>
      <c r="O204" s="11"/>
      <c r="P204" s="11">
        <v>1530</v>
      </c>
      <c r="Q204" s="11"/>
      <c r="R204" s="11"/>
      <c r="S204" s="11" t="s">
        <v>437</v>
      </c>
      <c r="T204" s="11"/>
      <c r="U204" s="11"/>
      <c r="V204" s="11" t="s">
        <v>0</v>
      </c>
      <c r="W204" s="54">
        <v>3</v>
      </c>
      <c r="X204" s="11">
        <v>3</v>
      </c>
    </row>
    <row r="205" spans="1:24" ht="57.6" x14ac:dyDescent="0.3">
      <c r="A205" s="10">
        <v>7</v>
      </c>
      <c r="B205" s="11" t="s">
        <v>757</v>
      </c>
      <c r="C205" s="11"/>
      <c r="D205" s="11"/>
      <c r="E205" s="11" t="s">
        <v>759</v>
      </c>
      <c r="F205" s="11"/>
      <c r="G205" s="11" t="s">
        <v>58</v>
      </c>
      <c r="H205" s="11"/>
      <c r="I205" s="11" t="s">
        <v>435</v>
      </c>
      <c r="J205" s="11" t="s">
        <v>773</v>
      </c>
      <c r="K205" s="11"/>
      <c r="L205" s="11">
        <v>1920</v>
      </c>
      <c r="M205" s="11">
        <v>4</v>
      </c>
      <c r="N205" s="11">
        <v>1</v>
      </c>
      <c r="O205" s="11"/>
      <c r="P205" s="11">
        <v>1530</v>
      </c>
      <c r="Q205" s="11"/>
      <c r="R205" s="11"/>
      <c r="S205" s="11" t="s">
        <v>30</v>
      </c>
      <c r="T205" s="11"/>
      <c r="U205" s="11"/>
      <c r="V205" s="11" t="s">
        <v>0</v>
      </c>
      <c r="W205" s="54">
        <v>24</v>
      </c>
      <c r="X205" s="11">
        <v>3</v>
      </c>
    </row>
    <row r="206" spans="1:24" ht="57.6" x14ac:dyDescent="0.3">
      <c r="A206" s="10">
        <v>7</v>
      </c>
      <c r="B206" s="11" t="s">
        <v>757</v>
      </c>
      <c r="C206" s="11"/>
      <c r="D206" s="11"/>
      <c r="E206" s="11" t="s">
        <v>759</v>
      </c>
      <c r="F206" s="11"/>
      <c r="G206" s="11" t="s">
        <v>58</v>
      </c>
      <c r="H206" s="11"/>
      <c r="I206" s="11" t="s">
        <v>435</v>
      </c>
      <c r="J206" s="11" t="s">
        <v>774</v>
      </c>
      <c r="K206" s="11"/>
      <c r="L206" s="11">
        <v>1920</v>
      </c>
      <c r="M206" s="11">
        <v>4</v>
      </c>
      <c r="N206" s="11">
        <v>1</v>
      </c>
      <c r="O206" s="11"/>
      <c r="P206" s="11">
        <v>2350</v>
      </c>
      <c r="Q206" s="11"/>
      <c r="R206" s="11"/>
      <c r="S206" s="11" t="s">
        <v>67</v>
      </c>
      <c r="T206" s="11"/>
      <c r="U206" s="11"/>
      <c r="V206" s="11" t="s">
        <v>0</v>
      </c>
      <c r="W206" s="54">
        <v>49</v>
      </c>
      <c r="X206" s="11">
        <v>3</v>
      </c>
    </row>
    <row r="207" spans="1:24" ht="57.6" x14ac:dyDescent="0.3">
      <c r="A207" s="10">
        <v>7</v>
      </c>
      <c r="B207" s="11" t="s">
        <v>757</v>
      </c>
      <c r="C207" s="11"/>
      <c r="D207" s="11"/>
      <c r="E207" s="11" t="s">
        <v>759</v>
      </c>
      <c r="F207" s="11"/>
      <c r="G207" s="11" t="s">
        <v>58</v>
      </c>
      <c r="H207" s="11"/>
      <c r="I207" s="11" t="s">
        <v>435</v>
      </c>
      <c r="J207" s="11" t="s">
        <v>774</v>
      </c>
      <c r="K207" s="11"/>
      <c r="L207" s="11">
        <v>1920</v>
      </c>
      <c r="M207" s="11">
        <v>4</v>
      </c>
      <c r="N207" s="11">
        <v>1</v>
      </c>
      <c r="O207" s="11"/>
      <c r="P207" s="11">
        <v>2350</v>
      </c>
      <c r="Q207" s="11"/>
      <c r="R207" s="11"/>
      <c r="S207" s="11" t="s">
        <v>65</v>
      </c>
      <c r="T207" s="11"/>
      <c r="U207" s="11"/>
      <c r="V207" s="11" t="s">
        <v>0</v>
      </c>
      <c r="W207" s="54">
        <v>328</v>
      </c>
      <c r="X207" s="11">
        <v>3</v>
      </c>
    </row>
    <row r="208" spans="1:24" ht="57.6" x14ac:dyDescent="0.3">
      <c r="A208" s="10">
        <v>7</v>
      </c>
      <c r="B208" s="11" t="s">
        <v>757</v>
      </c>
      <c r="C208" s="11"/>
      <c r="D208" s="11"/>
      <c r="E208" s="11" t="s">
        <v>759</v>
      </c>
      <c r="F208" s="11"/>
      <c r="G208" s="11" t="s">
        <v>58</v>
      </c>
      <c r="H208" s="11"/>
      <c r="I208" s="11" t="s">
        <v>435</v>
      </c>
      <c r="J208" s="11" t="s">
        <v>774</v>
      </c>
      <c r="K208" s="11"/>
      <c r="L208" s="11">
        <v>1920</v>
      </c>
      <c r="M208" s="11">
        <v>4</v>
      </c>
      <c r="N208" s="11">
        <v>1</v>
      </c>
      <c r="O208" s="11"/>
      <c r="P208" s="11">
        <v>2350</v>
      </c>
      <c r="Q208" s="11"/>
      <c r="R208" s="11"/>
      <c r="S208" s="11" t="s">
        <v>437</v>
      </c>
      <c r="T208" s="11"/>
      <c r="U208" s="11"/>
      <c r="V208" s="11" t="s">
        <v>0</v>
      </c>
      <c r="W208" s="54">
        <v>2</v>
      </c>
      <c r="X208" s="11">
        <v>3</v>
      </c>
    </row>
    <row r="209" spans="1:24" ht="57.6" x14ac:dyDescent="0.3">
      <c r="A209" s="10">
        <v>7</v>
      </c>
      <c r="B209" s="11" t="s">
        <v>757</v>
      </c>
      <c r="C209" s="11"/>
      <c r="D209" s="11"/>
      <c r="E209" s="11" t="s">
        <v>759</v>
      </c>
      <c r="F209" s="11"/>
      <c r="G209" s="11" t="s">
        <v>58</v>
      </c>
      <c r="H209" s="11"/>
      <c r="I209" s="11" t="s">
        <v>435</v>
      </c>
      <c r="J209" s="11" t="s">
        <v>774</v>
      </c>
      <c r="K209" s="11"/>
      <c r="L209" s="11">
        <v>1920</v>
      </c>
      <c r="M209" s="11">
        <v>4</v>
      </c>
      <c r="N209" s="11">
        <v>1</v>
      </c>
      <c r="O209" s="11"/>
      <c r="P209" s="11">
        <v>2350</v>
      </c>
      <c r="Q209" s="11"/>
      <c r="R209" s="11"/>
      <c r="S209" s="11" t="s">
        <v>30</v>
      </c>
      <c r="T209" s="11"/>
      <c r="U209" s="11"/>
      <c r="V209" s="11" t="s">
        <v>0</v>
      </c>
      <c r="W209" s="54">
        <v>102</v>
      </c>
      <c r="X209" s="11">
        <v>3</v>
      </c>
    </row>
    <row r="210" spans="1:24" ht="57.6" x14ac:dyDescent="0.3">
      <c r="A210" s="10">
        <v>7</v>
      </c>
      <c r="B210" s="11" t="s">
        <v>757</v>
      </c>
      <c r="C210" s="11"/>
      <c r="D210" s="11"/>
      <c r="E210" s="11" t="s">
        <v>759</v>
      </c>
      <c r="F210" s="11"/>
      <c r="G210" s="11" t="s">
        <v>58</v>
      </c>
      <c r="H210" s="11"/>
      <c r="I210" s="11" t="s">
        <v>435</v>
      </c>
      <c r="J210" s="11" t="s">
        <v>775</v>
      </c>
      <c r="K210" s="11"/>
      <c r="L210" s="11">
        <v>1930</v>
      </c>
      <c r="M210" s="11">
        <v>4</v>
      </c>
      <c r="N210" s="11">
        <v>1</v>
      </c>
      <c r="O210" s="11"/>
      <c r="P210" s="11">
        <v>2640</v>
      </c>
      <c r="Q210" s="11"/>
      <c r="R210" s="11"/>
      <c r="S210" s="11" t="s">
        <v>67</v>
      </c>
      <c r="T210" s="11"/>
      <c r="U210" s="11"/>
      <c r="V210" s="11" t="s">
        <v>0</v>
      </c>
      <c r="W210" s="54">
        <v>57</v>
      </c>
      <c r="X210" s="11">
        <v>3</v>
      </c>
    </row>
    <row r="211" spans="1:24" ht="57.6" x14ac:dyDescent="0.3">
      <c r="A211" s="10">
        <v>7</v>
      </c>
      <c r="B211" s="11" t="s">
        <v>757</v>
      </c>
      <c r="C211" s="11"/>
      <c r="D211" s="11"/>
      <c r="E211" s="11" t="s">
        <v>759</v>
      </c>
      <c r="F211" s="11"/>
      <c r="G211" s="11" t="s">
        <v>58</v>
      </c>
      <c r="H211" s="11"/>
      <c r="I211" s="11" t="s">
        <v>435</v>
      </c>
      <c r="J211" s="11" t="s">
        <v>775</v>
      </c>
      <c r="K211" s="11"/>
      <c r="L211" s="11">
        <v>1930</v>
      </c>
      <c r="M211" s="11">
        <v>4</v>
      </c>
      <c r="N211" s="11">
        <v>1</v>
      </c>
      <c r="O211" s="11"/>
      <c r="P211" s="11">
        <v>2640</v>
      </c>
      <c r="Q211" s="11"/>
      <c r="R211" s="11"/>
      <c r="S211" s="11" t="s">
        <v>65</v>
      </c>
      <c r="T211" s="11"/>
      <c r="U211" s="11"/>
      <c r="V211" s="11" t="s">
        <v>0</v>
      </c>
      <c r="W211" s="54">
        <v>220</v>
      </c>
      <c r="X211" s="11">
        <v>3</v>
      </c>
    </row>
    <row r="212" spans="1:24" ht="57.6" x14ac:dyDescent="0.3">
      <c r="A212" s="10">
        <v>7</v>
      </c>
      <c r="B212" s="11" t="s">
        <v>757</v>
      </c>
      <c r="C212" s="11"/>
      <c r="D212" s="11"/>
      <c r="E212" s="11" t="s">
        <v>759</v>
      </c>
      <c r="F212" s="11"/>
      <c r="G212" s="11" t="s">
        <v>58</v>
      </c>
      <c r="H212" s="11"/>
      <c r="I212" s="11" t="s">
        <v>435</v>
      </c>
      <c r="J212" s="11" t="s">
        <v>775</v>
      </c>
      <c r="K212" s="11"/>
      <c r="L212" s="11">
        <v>1930</v>
      </c>
      <c r="M212" s="11">
        <v>4</v>
      </c>
      <c r="N212" s="11">
        <v>1</v>
      </c>
      <c r="O212" s="11"/>
      <c r="P212" s="11">
        <v>2640</v>
      </c>
      <c r="Q212" s="11"/>
      <c r="R212" s="11"/>
      <c r="S212" s="11" t="s">
        <v>437</v>
      </c>
      <c r="T212" s="11"/>
      <c r="U212" s="11"/>
      <c r="V212" s="11" t="s">
        <v>0</v>
      </c>
      <c r="W212" s="54">
        <v>4</v>
      </c>
      <c r="X212" s="11">
        <v>3</v>
      </c>
    </row>
    <row r="213" spans="1:24" ht="57.6" x14ac:dyDescent="0.3">
      <c r="A213" s="10">
        <v>7</v>
      </c>
      <c r="B213" s="11" t="s">
        <v>757</v>
      </c>
      <c r="C213" s="11"/>
      <c r="D213" s="11"/>
      <c r="E213" s="11" t="s">
        <v>759</v>
      </c>
      <c r="F213" s="11"/>
      <c r="G213" s="11" t="s">
        <v>58</v>
      </c>
      <c r="H213" s="11"/>
      <c r="I213" s="11" t="s">
        <v>435</v>
      </c>
      <c r="J213" s="11" t="s">
        <v>775</v>
      </c>
      <c r="K213" s="11"/>
      <c r="L213" s="11">
        <v>1930</v>
      </c>
      <c r="M213" s="11">
        <v>4</v>
      </c>
      <c r="N213" s="11">
        <v>1</v>
      </c>
      <c r="O213" s="11"/>
      <c r="P213" s="11">
        <v>2640</v>
      </c>
      <c r="Q213" s="11"/>
      <c r="R213" s="11"/>
      <c r="S213" s="11" t="s">
        <v>30</v>
      </c>
      <c r="T213" s="11"/>
      <c r="U213" s="11"/>
      <c r="V213" s="11" t="s">
        <v>0</v>
      </c>
      <c r="W213" s="54">
        <f>56+1</f>
        <v>57</v>
      </c>
      <c r="X213" s="11">
        <v>3</v>
      </c>
    </row>
    <row r="214" spans="1:24" ht="57.6" x14ac:dyDescent="0.3">
      <c r="A214" s="10">
        <v>7</v>
      </c>
      <c r="B214" s="11" t="s">
        <v>757</v>
      </c>
      <c r="C214" s="11"/>
      <c r="D214" s="11"/>
      <c r="E214" s="11" t="s">
        <v>759</v>
      </c>
      <c r="F214" s="11"/>
      <c r="G214" s="11" t="s">
        <v>58</v>
      </c>
      <c r="H214" s="11"/>
      <c r="I214" s="11" t="s">
        <v>435</v>
      </c>
      <c r="J214" s="11" t="s">
        <v>776</v>
      </c>
      <c r="K214" s="11"/>
      <c r="L214" s="11">
        <v>1930</v>
      </c>
      <c r="M214" s="11">
        <v>3</v>
      </c>
      <c r="N214" s="11">
        <v>1</v>
      </c>
      <c r="O214" s="11"/>
      <c r="P214" s="11">
        <v>496</v>
      </c>
      <c r="Q214" s="11"/>
      <c r="R214" s="11"/>
      <c r="S214" s="11" t="s">
        <v>67</v>
      </c>
      <c r="T214" s="11"/>
      <c r="U214" s="11"/>
      <c r="V214" s="11" t="s">
        <v>0</v>
      </c>
      <c r="W214" s="54">
        <f>57+1</f>
        <v>58</v>
      </c>
      <c r="X214" s="11">
        <v>3</v>
      </c>
    </row>
    <row r="215" spans="1:24" ht="57.6" x14ac:dyDescent="0.3">
      <c r="A215" s="10">
        <v>7</v>
      </c>
      <c r="B215" s="11" t="s">
        <v>757</v>
      </c>
      <c r="C215" s="11"/>
      <c r="D215" s="11"/>
      <c r="E215" s="11" t="s">
        <v>759</v>
      </c>
      <c r="F215" s="11"/>
      <c r="G215" s="11" t="s">
        <v>58</v>
      </c>
      <c r="H215" s="11"/>
      <c r="I215" s="11" t="s">
        <v>435</v>
      </c>
      <c r="J215" s="11" t="s">
        <v>776</v>
      </c>
      <c r="K215" s="11"/>
      <c r="L215" s="11">
        <v>1930</v>
      </c>
      <c r="M215" s="11">
        <v>3</v>
      </c>
      <c r="N215" s="11">
        <v>1</v>
      </c>
      <c r="O215" s="11"/>
      <c r="P215" s="11">
        <v>496</v>
      </c>
      <c r="Q215" s="11"/>
      <c r="R215" s="11"/>
      <c r="S215" s="11" t="s">
        <v>65</v>
      </c>
      <c r="T215" s="11"/>
      <c r="U215" s="11"/>
      <c r="V215" s="11" t="s">
        <v>0</v>
      </c>
      <c r="W215" s="54">
        <v>319</v>
      </c>
      <c r="X215" s="11">
        <v>3</v>
      </c>
    </row>
    <row r="216" spans="1:24" ht="57.6" x14ac:dyDescent="0.3">
      <c r="A216" s="10">
        <v>7</v>
      </c>
      <c r="B216" s="11" t="s">
        <v>757</v>
      </c>
      <c r="C216" s="11"/>
      <c r="D216" s="11"/>
      <c r="E216" s="11" t="s">
        <v>759</v>
      </c>
      <c r="F216" s="11"/>
      <c r="G216" s="11" t="s">
        <v>58</v>
      </c>
      <c r="H216" s="11"/>
      <c r="I216" s="11" t="s">
        <v>435</v>
      </c>
      <c r="J216" s="11" t="s">
        <v>776</v>
      </c>
      <c r="K216" s="11"/>
      <c r="L216" s="11">
        <v>1930</v>
      </c>
      <c r="M216" s="11">
        <v>3</v>
      </c>
      <c r="N216" s="11">
        <v>1</v>
      </c>
      <c r="O216" s="11"/>
      <c r="P216" s="11">
        <v>496</v>
      </c>
      <c r="Q216" s="11"/>
      <c r="R216" s="11"/>
      <c r="S216" s="11" t="s">
        <v>437</v>
      </c>
      <c r="T216" s="11"/>
      <c r="U216" s="11"/>
      <c r="V216" s="11" t="s">
        <v>0</v>
      </c>
      <c r="W216" s="54">
        <v>5</v>
      </c>
      <c r="X216" s="11">
        <v>3</v>
      </c>
    </row>
    <row r="217" spans="1:24" ht="57.6" x14ac:dyDescent="0.3">
      <c r="A217" s="10">
        <v>7</v>
      </c>
      <c r="B217" s="11" t="s">
        <v>757</v>
      </c>
      <c r="C217" s="11"/>
      <c r="D217" s="11"/>
      <c r="E217" s="11" t="s">
        <v>759</v>
      </c>
      <c r="F217" s="11"/>
      <c r="G217" s="11" t="s">
        <v>58</v>
      </c>
      <c r="H217" s="11"/>
      <c r="I217" s="11" t="s">
        <v>435</v>
      </c>
      <c r="J217" s="11" t="s">
        <v>776</v>
      </c>
      <c r="K217" s="11"/>
      <c r="L217" s="11">
        <v>1930</v>
      </c>
      <c r="M217" s="11">
        <v>3</v>
      </c>
      <c r="N217" s="11">
        <v>1</v>
      </c>
      <c r="O217" s="11"/>
      <c r="P217" s="11">
        <v>496</v>
      </c>
      <c r="Q217" s="11"/>
      <c r="R217" s="11"/>
      <c r="S217" s="11" t="s">
        <v>30</v>
      </c>
      <c r="T217" s="11"/>
      <c r="U217" s="11"/>
      <c r="V217" s="11" t="s">
        <v>0</v>
      </c>
      <c r="W217" s="54">
        <v>79</v>
      </c>
      <c r="X217" s="11">
        <v>3</v>
      </c>
    </row>
    <row r="218" spans="1:24" ht="57.6" x14ac:dyDescent="0.3">
      <c r="A218" s="10">
        <v>7</v>
      </c>
      <c r="B218" s="11" t="s">
        <v>757</v>
      </c>
      <c r="C218" s="11"/>
      <c r="D218" s="11"/>
      <c r="E218" s="11" t="s">
        <v>759</v>
      </c>
      <c r="F218" s="11"/>
      <c r="G218" s="11" t="s">
        <v>58</v>
      </c>
      <c r="H218" s="11"/>
      <c r="I218" s="11" t="s">
        <v>435</v>
      </c>
      <c r="J218" s="11" t="s">
        <v>777</v>
      </c>
      <c r="K218" s="11"/>
      <c r="L218" s="11">
        <v>1940</v>
      </c>
      <c r="M218" s="11">
        <v>3</v>
      </c>
      <c r="N218" s="11">
        <v>1</v>
      </c>
      <c r="O218" s="11"/>
      <c r="P218" s="11">
        <v>792</v>
      </c>
      <c r="Q218" s="11"/>
      <c r="R218" s="11"/>
      <c r="S218" s="11" t="s">
        <v>67</v>
      </c>
      <c r="T218" s="11"/>
      <c r="U218" s="11"/>
      <c r="V218" s="11" t="s">
        <v>0</v>
      </c>
      <c r="W218" s="54">
        <f>27+15</f>
        <v>42</v>
      </c>
      <c r="X218" s="11">
        <v>3</v>
      </c>
    </row>
    <row r="219" spans="1:24" ht="57.6" x14ac:dyDescent="0.3">
      <c r="A219" s="10">
        <v>7</v>
      </c>
      <c r="B219" s="11" t="s">
        <v>757</v>
      </c>
      <c r="C219" s="11"/>
      <c r="D219" s="11"/>
      <c r="E219" s="11" t="s">
        <v>759</v>
      </c>
      <c r="F219" s="11"/>
      <c r="G219" s="11" t="s">
        <v>58</v>
      </c>
      <c r="H219" s="11"/>
      <c r="I219" s="11" t="s">
        <v>435</v>
      </c>
      <c r="J219" s="11" t="s">
        <v>777</v>
      </c>
      <c r="K219" s="11"/>
      <c r="L219" s="11">
        <v>1940</v>
      </c>
      <c r="M219" s="11">
        <v>3</v>
      </c>
      <c r="N219" s="11">
        <v>1</v>
      </c>
      <c r="O219" s="11"/>
      <c r="P219" s="11">
        <v>792</v>
      </c>
      <c r="Q219" s="11"/>
      <c r="R219" s="11"/>
      <c r="S219" s="11" t="s">
        <v>65</v>
      </c>
      <c r="T219" s="11"/>
      <c r="U219" s="11"/>
      <c r="V219" s="11" t="s">
        <v>0</v>
      </c>
      <c r="W219" s="54">
        <v>567</v>
      </c>
      <c r="X219" s="11">
        <v>3</v>
      </c>
    </row>
    <row r="220" spans="1:24" ht="57.6" x14ac:dyDescent="0.3">
      <c r="A220" s="10">
        <v>7</v>
      </c>
      <c r="B220" s="11" t="s">
        <v>757</v>
      </c>
      <c r="C220" s="11"/>
      <c r="D220" s="11"/>
      <c r="E220" s="11" t="s">
        <v>759</v>
      </c>
      <c r="F220" s="11"/>
      <c r="G220" s="11" t="s">
        <v>58</v>
      </c>
      <c r="H220" s="11"/>
      <c r="I220" s="11" t="s">
        <v>435</v>
      </c>
      <c r="J220" s="11" t="s">
        <v>777</v>
      </c>
      <c r="K220" s="11"/>
      <c r="L220" s="11">
        <v>1940</v>
      </c>
      <c r="M220" s="11">
        <v>3</v>
      </c>
      <c r="N220" s="11">
        <v>1</v>
      </c>
      <c r="O220" s="11"/>
      <c r="P220" s="11">
        <v>792</v>
      </c>
      <c r="Q220" s="11"/>
      <c r="R220" s="11"/>
      <c r="S220" s="11" t="s">
        <v>437</v>
      </c>
      <c r="T220" s="11"/>
      <c r="U220" s="11"/>
      <c r="V220" s="11" t="s">
        <v>0</v>
      </c>
      <c r="W220" s="54">
        <v>4</v>
      </c>
      <c r="X220" s="11">
        <v>3</v>
      </c>
    </row>
    <row r="221" spans="1:24" ht="57.6" x14ac:dyDescent="0.3">
      <c r="A221" s="10">
        <v>7</v>
      </c>
      <c r="B221" s="11" t="s">
        <v>757</v>
      </c>
      <c r="C221" s="11"/>
      <c r="D221" s="11"/>
      <c r="E221" s="11" t="s">
        <v>759</v>
      </c>
      <c r="F221" s="11"/>
      <c r="G221" s="11" t="s">
        <v>58</v>
      </c>
      <c r="H221" s="11"/>
      <c r="I221" s="11" t="s">
        <v>435</v>
      </c>
      <c r="J221" s="11" t="s">
        <v>777</v>
      </c>
      <c r="K221" s="11"/>
      <c r="L221" s="11">
        <v>1940</v>
      </c>
      <c r="M221" s="11">
        <v>3</v>
      </c>
      <c r="N221" s="11">
        <v>1</v>
      </c>
      <c r="O221" s="11"/>
      <c r="P221" s="11">
        <v>792</v>
      </c>
      <c r="Q221" s="11"/>
      <c r="R221" s="11"/>
      <c r="S221" s="11" t="s">
        <v>30</v>
      </c>
      <c r="T221" s="11"/>
      <c r="U221" s="11"/>
      <c r="V221" s="11" t="s">
        <v>0</v>
      </c>
      <c r="W221" s="54">
        <v>198</v>
      </c>
      <c r="X221" s="11">
        <v>3</v>
      </c>
    </row>
    <row r="222" spans="1:24" ht="57.6" x14ac:dyDescent="0.3">
      <c r="A222" s="10">
        <v>7</v>
      </c>
      <c r="B222" s="11" t="s">
        <v>757</v>
      </c>
      <c r="C222" s="11"/>
      <c r="D222" s="11"/>
      <c r="E222" s="11" t="s">
        <v>759</v>
      </c>
      <c r="F222" s="11"/>
      <c r="G222" s="11" t="s">
        <v>58</v>
      </c>
      <c r="H222" s="11"/>
      <c r="I222" s="11" t="s">
        <v>70</v>
      </c>
      <c r="J222" s="11" t="s">
        <v>778</v>
      </c>
      <c r="K222" s="11"/>
      <c r="L222" s="11">
        <v>1940</v>
      </c>
      <c r="M222" s="11">
        <v>6</v>
      </c>
      <c r="N222" s="11">
        <v>1</v>
      </c>
      <c r="O222" s="11"/>
      <c r="P222" s="11">
        <v>2044</v>
      </c>
      <c r="Q222" s="11"/>
      <c r="R222" s="11"/>
      <c r="S222" s="11" t="s">
        <v>67</v>
      </c>
      <c r="T222" s="11"/>
      <c r="U222" s="11"/>
      <c r="V222" s="11" t="s">
        <v>0</v>
      </c>
      <c r="W222" s="54">
        <f>16+6</f>
        <v>22</v>
      </c>
      <c r="X222" s="11">
        <v>4</v>
      </c>
    </row>
    <row r="223" spans="1:24" ht="57.6" x14ac:dyDescent="0.3">
      <c r="A223" s="10">
        <v>7</v>
      </c>
      <c r="B223" s="11" t="s">
        <v>757</v>
      </c>
      <c r="C223" s="11"/>
      <c r="D223" s="11"/>
      <c r="E223" s="11" t="s">
        <v>759</v>
      </c>
      <c r="F223" s="11"/>
      <c r="G223" s="11" t="s">
        <v>58</v>
      </c>
      <c r="H223" s="11"/>
      <c r="I223" s="11" t="s">
        <v>70</v>
      </c>
      <c r="J223" s="11" t="s">
        <v>778</v>
      </c>
      <c r="K223" s="11"/>
      <c r="L223" s="11">
        <v>1940</v>
      </c>
      <c r="M223" s="11">
        <v>6</v>
      </c>
      <c r="N223" s="11">
        <v>1</v>
      </c>
      <c r="O223" s="11"/>
      <c r="P223" s="11">
        <v>2044</v>
      </c>
      <c r="Q223" s="11"/>
      <c r="R223" s="11"/>
      <c r="S223" s="11" t="s">
        <v>65</v>
      </c>
      <c r="T223" s="11"/>
      <c r="U223" s="11"/>
      <c r="V223" s="11" t="s">
        <v>0</v>
      </c>
      <c r="W223" s="54">
        <v>434</v>
      </c>
      <c r="X223" s="11">
        <v>4</v>
      </c>
    </row>
    <row r="224" spans="1:24" ht="57.6" x14ac:dyDescent="0.3">
      <c r="A224" s="10">
        <v>7</v>
      </c>
      <c r="B224" s="11" t="s">
        <v>757</v>
      </c>
      <c r="C224" s="11"/>
      <c r="D224" s="11"/>
      <c r="E224" s="11" t="s">
        <v>759</v>
      </c>
      <c r="F224" s="11"/>
      <c r="G224" s="11" t="s">
        <v>58</v>
      </c>
      <c r="H224" s="11"/>
      <c r="I224" s="11" t="s">
        <v>70</v>
      </c>
      <c r="J224" s="11" t="s">
        <v>778</v>
      </c>
      <c r="K224" s="11"/>
      <c r="L224" s="11">
        <v>1940</v>
      </c>
      <c r="M224" s="11">
        <v>6</v>
      </c>
      <c r="N224" s="11">
        <v>1</v>
      </c>
      <c r="O224" s="11"/>
      <c r="P224" s="11">
        <v>2044</v>
      </c>
      <c r="Q224" s="11"/>
      <c r="R224" s="11"/>
      <c r="S224" s="11" t="s">
        <v>437</v>
      </c>
      <c r="T224" s="11"/>
      <c r="U224" s="11"/>
      <c r="V224" s="11" t="s">
        <v>0</v>
      </c>
      <c r="W224" s="54">
        <v>4</v>
      </c>
      <c r="X224" s="11">
        <v>4</v>
      </c>
    </row>
    <row r="225" spans="1:24" ht="57.6" x14ac:dyDescent="0.3">
      <c r="A225" s="10">
        <v>7</v>
      </c>
      <c r="B225" s="11" t="s">
        <v>757</v>
      </c>
      <c r="C225" s="11"/>
      <c r="D225" s="11"/>
      <c r="E225" s="11" t="s">
        <v>759</v>
      </c>
      <c r="F225" s="11"/>
      <c r="G225" s="11" t="s">
        <v>58</v>
      </c>
      <c r="H225" s="11"/>
      <c r="I225" s="11" t="s">
        <v>70</v>
      </c>
      <c r="J225" s="11" t="s">
        <v>778</v>
      </c>
      <c r="K225" s="11"/>
      <c r="L225" s="11">
        <v>1940</v>
      </c>
      <c r="M225" s="11">
        <v>6</v>
      </c>
      <c r="N225" s="11">
        <v>1</v>
      </c>
      <c r="O225" s="11"/>
      <c r="P225" s="11">
        <v>2044</v>
      </c>
      <c r="Q225" s="11"/>
      <c r="R225" s="11"/>
      <c r="S225" s="11" t="s">
        <v>30</v>
      </c>
      <c r="T225" s="11"/>
      <c r="U225" s="11"/>
      <c r="V225" s="11" t="s">
        <v>0</v>
      </c>
      <c r="W225" s="54">
        <v>135</v>
      </c>
      <c r="X225" s="11">
        <v>4</v>
      </c>
    </row>
    <row r="226" spans="1:24" ht="57.6" x14ac:dyDescent="0.3">
      <c r="A226" s="10">
        <v>7</v>
      </c>
      <c r="B226" s="11" t="s">
        <v>757</v>
      </c>
      <c r="C226" s="11"/>
      <c r="D226" s="11"/>
      <c r="E226" s="11" t="s">
        <v>759</v>
      </c>
      <c r="F226" s="11"/>
      <c r="G226" s="11" t="s">
        <v>58</v>
      </c>
      <c r="H226" s="11"/>
      <c r="I226" s="11" t="s">
        <v>435</v>
      </c>
      <c r="J226" s="11" t="s">
        <v>791</v>
      </c>
      <c r="K226" s="11"/>
      <c r="L226" s="11">
        <v>1940</v>
      </c>
      <c r="M226" s="11">
        <v>3</v>
      </c>
      <c r="N226" s="11">
        <v>1</v>
      </c>
      <c r="O226" s="11"/>
      <c r="P226" s="11">
        <v>620</v>
      </c>
      <c r="Q226" s="11"/>
      <c r="R226" s="11"/>
      <c r="S226" s="11" t="s">
        <v>67</v>
      </c>
      <c r="T226" s="11"/>
      <c r="U226" s="11"/>
      <c r="V226" s="11" t="s">
        <v>0</v>
      </c>
      <c r="W226" s="54">
        <f>25+8</f>
        <v>33</v>
      </c>
      <c r="X226" s="11">
        <v>3</v>
      </c>
    </row>
    <row r="227" spans="1:24" ht="57.6" x14ac:dyDescent="0.3">
      <c r="A227" s="10">
        <v>7</v>
      </c>
      <c r="B227" s="11" t="s">
        <v>757</v>
      </c>
      <c r="C227" s="11"/>
      <c r="D227" s="11"/>
      <c r="E227" s="11" t="s">
        <v>759</v>
      </c>
      <c r="F227" s="11"/>
      <c r="G227" s="11" t="s">
        <v>58</v>
      </c>
      <c r="H227" s="11"/>
      <c r="I227" s="11" t="s">
        <v>435</v>
      </c>
      <c r="J227" s="11" t="s">
        <v>791</v>
      </c>
      <c r="K227" s="11"/>
      <c r="L227" s="11">
        <v>1940</v>
      </c>
      <c r="M227" s="11">
        <v>3</v>
      </c>
      <c r="N227" s="11">
        <v>1</v>
      </c>
      <c r="O227" s="11"/>
      <c r="P227" s="11">
        <v>620</v>
      </c>
      <c r="Q227" s="11"/>
      <c r="R227" s="11"/>
      <c r="S227" s="11" t="s">
        <v>65</v>
      </c>
      <c r="T227" s="11"/>
      <c r="U227" s="11"/>
      <c r="V227" s="11" t="s">
        <v>0</v>
      </c>
      <c r="W227" s="54">
        <v>775</v>
      </c>
      <c r="X227" s="11">
        <v>3</v>
      </c>
    </row>
    <row r="228" spans="1:24" ht="57.6" x14ac:dyDescent="0.3">
      <c r="A228" s="10">
        <v>7</v>
      </c>
      <c r="B228" s="11" t="s">
        <v>757</v>
      </c>
      <c r="C228" s="11"/>
      <c r="D228" s="11"/>
      <c r="E228" s="11" t="s">
        <v>759</v>
      </c>
      <c r="F228" s="11"/>
      <c r="G228" s="11" t="s">
        <v>58</v>
      </c>
      <c r="H228" s="11"/>
      <c r="I228" s="11" t="s">
        <v>435</v>
      </c>
      <c r="J228" s="11" t="s">
        <v>791</v>
      </c>
      <c r="K228" s="11"/>
      <c r="L228" s="11">
        <v>1940</v>
      </c>
      <c r="M228" s="11">
        <v>3</v>
      </c>
      <c r="N228" s="11">
        <v>1</v>
      </c>
      <c r="O228" s="11"/>
      <c r="P228" s="11">
        <v>620</v>
      </c>
      <c r="Q228" s="11"/>
      <c r="R228" s="11"/>
      <c r="S228" s="11" t="s">
        <v>437</v>
      </c>
      <c r="T228" s="11"/>
      <c r="U228" s="11"/>
      <c r="V228" s="11" t="s">
        <v>0</v>
      </c>
      <c r="W228" s="54">
        <v>2</v>
      </c>
      <c r="X228" s="11">
        <v>3</v>
      </c>
    </row>
    <row r="229" spans="1:24" ht="57.6" x14ac:dyDescent="0.3">
      <c r="A229" s="10">
        <v>7</v>
      </c>
      <c r="B229" s="11" t="s">
        <v>757</v>
      </c>
      <c r="C229" s="11"/>
      <c r="D229" s="11"/>
      <c r="E229" s="11" t="s">
        <v>759</v>
      </c>
      <c r="F229" s="11"/>
      <c r="G229" s="11" t="s">
        <v>58</v>
      </c>
      <c r="H229" s="11"/>
      <c r="I229" s="11" t="s">
        <v>435</v>
      </c>
      <c r="J229" s="11" t="s">
        <v>791</v>
      </c>
      <c r="K229" s="11"/>
      <c r="L229" s="11">
        <v>1940</v>
      </c>
      <c r="M229" s="11">
        <v>3</v>
      </c>
      <c r="N229" s="11">
        <v>1</v>
      </c>
      <c r="O229" s="11"/>
      <c r="P229" s="11">
        <v>620</v>
      </c>
      <c r="Q229" s="11"/>
      <c r="R229" s="11"/>
      <c r="S229" s="11" t="s">
        <v>30</v>
      </c>
      <c r="T229" s="11"/>
      <c r="U229" s="11"/>
      <c r="V229" s="11" t="s">
        <v>0</v>
      </c>
      <c r="W229" s="54">
        <v>132</v>
      </c>
      <c r="X229" s="11">
        <v>3</v>
      </c>
    </row>
    <row r="230" spans="1:24" ht="57.6" x14ac:dyDescent="0.3">
      <c r="A230" s="10">
        <v>7</v>
      </c>
      <c r="B230" s="11" t="s">
        <v>757</v>
      </c>
      <c r="C230" s="11"/>
      <c r="D230" s="11"/>
      <c r="E230" s="11" t="s">
        <v>759</v>
      </c>
      <c r="F230" s="11"/>
      <c r="G230" s="11" t="s">
        <v>58</v>
      </c>
      <c r="H230" s="11"/>
      <c r="I230" s="11" t="s">
        <v>435</v>
      </c>
      <c r="J230" s="11" t="s">
        <v>790</v>
      </c>
      <c r="K230" s="11"/>
      <c r="L230" s="11">
        <v>1940</v>
      </c>
      <c r="M230" s="11">
        <v>3</v>
      </c>
      <c r="N230" s="11">
        <v>1</v>
      </c>
      <c r="O230" s="11"/>
      <c r="P230" s="11">
        <v>720</v>
      </c>
      <c r="Q230" s="11"/>
      <c r="R230" s="11"/>
      <c r="S230" s="11" t="s">
        <v>67</v>
      </c>
      <c r="T230" s="11"/>
      <c r="U230" s="11"/>
      <c r="V230" s="11" t="s">
        <v>0</v>
      </c>
      <c r="W230" s="54">
        <f>19+3</f>
        <v>22</v>
      </c>
      <c r="X230" s="11">
        <v>3</v>
      </c>
    </row>
    <row r="231" spans="1:24" ht="57.6" x14ac:dyDescent="0.3">
      <c r="A231" s="10">
        <v>7</v>
      </c>
      <c r="B231" s="11" t="s">
        <v>757</v>
      </c>
      <c r="C231" s="11"/>
      <c r="D231" s="11"/>
      <c r="E231" s="11" t="s">
        <v>759</v>
      </c>
      <c r="F231" s="11"/>
      <c r="G231" s="11" t="s">
        <v>58</v>
      </c>
      <c r="H231" s="11"/>
      <c r="I231" s="11" t="s">
        <v>435</v>
      </c>
      <c r="J231" s="11" t="s">
        <v>790</v>
      </c>
      <c r="K231" s="11"/>
      <c r="L231" s="11">
        <v>1940</v>
      </c>
      <c r="M231" s="11">
        <v>3</v>
      </c>
      <c r="N231" s="11">
        <v>1</v>
      </c>
      <c r="O231" s="11"/>
      <c r="P231" s="11">
        <v>720</v>
      </c>
      <c r="Q231" s="11"/>
      <c r="R231" s="11"/>
      <c r="S231" s="11" t="s">
        <v>65</v>
      </c>
      <c r="T231" s="11"/>
      <c r="U231" s="11"/>
      <c r="V231" s="11" t="s">
        <v>0</v>
      </c>
      <c r="W231" s="54">
        <f>568</f>
        <v>568</v>
      </c>
      <c r="X231" s="11">
        <v>3</v>
      </c>
    </row>
    <row r="232" spans="1:24" ht="57.6" x14ac:dyDescent="0.3">
      <c r="A232" s="10">
        <v>7</v>
      </c>
      <c r="B232" s="11" t="s">
        <v>757</v>
      </c>
      <c r="C232" s="11"/>
      <c r="D232" s="11"/>
      <c r="E232" s="11" t="s">
        <v>759</v>
      </c>
      <c r="F232" s="11"/>
      <c r="G232" s="11" t="s">
        <v>58</v>
      </c>
      <c r="H232" s="11"/>
      <c r="I232" s="11" t="s">
        <v>435</v>
      </c>
      <c r="J232" s="11" t="s">
        <v>790</v>
      </c>
      <c r="K232" s="11"/>
      <c r="L232" s="11">
        <v>1940</v>
      </c>
      <c r="M232" s="11">
        <v>3</v>
      </c>
      <c r="N232" s="11">
        <v>1</v>
      </c>
      <c r="O232" s="11"/>
      <c r="P232" s="11">
        <v>720</v>
      </c>
      <c r="Q232" s="11"/>
      <c r="R232" s="11"/>
      <c r="S232" s="11" t="s">
        <v>437</v>
      </c>
      <c r="T232" s="11"/>
      <c r="U232" s="11"/>
      <c r="V232" s="11" t="s">
        <v>0</v>
      </c>
      <c r="W232" s="54">
        <v>5</v>
      </c>
      <c r="X232" s="11">
        <v>3</v>
      </c>
    </row>
    <row r="233" spans="1:24" ht="57.6" x14ac:dyDescent="0.3">
      <c r="A233" s="10">
        <v>7</v>
      </c>
      <c r="B233" s="11" t="s">
        <v>757</v>
      </c>
      <c r="C233" s="11"/>
      <c r="D233" s="11"/>
      <c r="E233" s="11" t="s">
        <v>759</v>
      </c>
      <c r="F233" s="11"/>
      <c r="G233" s="11" t="s">
        <v>58</v>
      </c>
      <c r="H233" s="11"/>
      <c r="I233" s="11" t="s">
        <v>435</v>
      </c>
      <c r="J233" s="11" t="s">
        <v>790</v>
      </c>
      <c r="K233" s="11"/>
      <c r="L233" s="11">
        <v>1940</v>
      </c>
      <c r="M233" s="11">
        <v>3</v>
      </c>
      <c r="N233" s="11">
        <v>1</v>
      </c>
      <c r="O233" s="11"/>
      <c r="P233" s="11">
        <v>720</v>
      </c>
      <c r="Q233" s="11"/>
      <c r="R233" s="11"/>
      <c r="S233" s="11" t="s">
        <v>30</v>
      </c>
      <c r="T233" s="11"/>
      <c r="U233" s="11"/>
      <c r="V233" s="11" t="s">
        <v>0</v>
      </c>
      <c r="W233" s="54">
        <v>80</v>
      </c>
      <c r="X233" s="11">
        <v>3</v>
      </c>
    </row>
    <row r="234" spans="1:24" ht="57.6" x14ac:dyDescent="0.3">
      <c r="A234" s="10">
        <v>7</v>
      </c>
      <c r="B234" s="11" t="s">
        <v>757</v>
      </c>
      <c r="C234" s="11"/>
      <c r="D234" s="11"/>
      <c r="E234" s="11" t="s">
        <v>759</v>
      </c>
      <c r="F234" s="11"/>
      <c r="G234" s="11" t="s">
        <v>58</v>
      </c>
      <c r="H234" s="11"/>
      <c r="I234" s="11" t="s">
        <v>70</v>
      </c>
      <c r="J234" s="11" t="s">
        <v>789</v>
      </c>
      <c r="K234" s="11"/>
      <c r="L234" s="11">
        <v>1950</v>
      </c>
      <c r="M234" s="11">
        <v>5</v>
      </c>
      <c r="N234" s="11">
        <v>1</v>
      </c>
      <c r="O234" s="11"/>
      <c r="P234" s="11">
        <v>1300</v>
      </c>
      <c r="Q234" s="11"/>
      <c r="R234" s="11"/>
      <c r="S234" s="11" t="s">
        <v>67</v>
      </c>
      <c r="T234" s="11"/>
      <c r="U234" s="11"/>
      <c r="V234" s="11" t="s">
        <v>0</v>
      </c>
      <c r="W234" s="54">
        <v>10</v>
      </c>
      <c r="X234" s="11">
        <v>4</v>
      </c>
    </row>
    <row r="235" spans="1:24" ht="57.6" x14ac:dyDescent="0.3">
      <c r="A235" s="10">
        <v>7</v>
      </c>
      <c r="B235" s="11" t="s">
        <v>757</v>
      </c>
      <c r="C235" s="11"/>
      <c r="D235" s="11"/>
      <c r="E235" s="11" t="s">
        <v>759</v>
      </c>
      <c r="F235" s="11"/>
      <c r="G235" s="11" t="s">
        <v>58</v>
      </c>
      <c r="H235" s="11"/>
      <c r="I235" s="11" t="s">
        <v>70</v>
      </c>
      <c r="J235" s="11" t="s">
        <v>789</v>
      </c>
      <c r="K235" s="11"/>
      <c r="L235" s="11">
        <v>1950</v>
      </c>
      <c r="M235" s="11">
        <v>5</v>
      </c>
      <c r="N235" s="11">
        <v>1</v>
      </c>
      <c r="O235" s="11"/>
      <c r="P235" s="11">
        <v>1300</v>
      </c>
      <c r="Q235" s="11"/>
      <c r="R235" s="11"/>
      <c r="S235" s="11" t="s">
        <v>65</v>
      </c>
      <c r="T235" s="11"/>
      <c r="U235" s="11"/>
      <c r="V235" s="11" t="s">
        <v>0</v>
      </c>
      <c r="W235" s="54">
        <v>719</v>
      </c>
      <c r="X235" s="11">
        <v>4</v>
      </c>
    </row>
    <row r="236" spans="1:24" ht="57.6" x14ac:dyDescent="0.3">
      <c r="A236" s="10">
        <v>7</v>
      </c>
      <c r="B236" s="11" t="s">
        <v>757</v>
      </c>
      <c r="C236" s="11"/>
      <c r="D236" s="11"/>
      <c r="E236" s="11" t="s">
        <v>759</v>
      </c>
      <c r="F236" s="11"/>
      <c r="G236" s="11" t="s">
        <v>58</v>
      </c>
      <c r="H236" s="11"/>
      <c r="I236" s="11" t="s">
        <v>70</v>
      </c>
      <c r="J236" s="11" t="s">
        <v>789</v>
      </c>
      <c r="K236" s="11"/>
      <c r="L236" s="11">
        <v>1950</v>
      </c>
      <c r="M236" s="11">
        <v>5</v>
      </c>
      <c r="N236" s="11">
        <v>1</v>
      </c>
      <c r="O236" s="11"/>
      <c r="P236" s="11">
        <v>1300</v>
      </c>
      <c r="Q236" s="11"/>
      <c r="R236" s="11"/>
      <c r="S236" s="11" t="s">
        <v>437</v>
      </c>
      <c r="T236" s="11"/>
      <c r="U236" s="11"/>
      <c r="V236" s="11" t="s">
        <v>0</v>
      </c>
      <c r="W236" s="54">
        <v>4</v>
      </c>
      <c r="X236" s="11">
        <v>4</v>
      </c>
    </row>
    <row r="237" spans="1:24" ht="57.6" x14ac:dyDescent="0.3">
      <c r="A237" s="10">
        <v>7</v>
      </c>
      <c r="B237" s="11" t="s">
        <v>757</v>
      </c>
      <c r="C237" s="11"/>
      <c r="D237" s="11"/>
      <c r="E237" s="11" t="s">
        <v>759</v>
      </c>
      <c r="F237" s="11"/>
      <c r="G237" s="11" t="s">
        <v>58</v>
      </c>
      <c r="H237" s="11"/>
      <c r="I237" s="11" t="s">
        <v>70</v>
      </c>
      <c r="J237" s="11" t="s">
        <v>789</v>
      </c>
      <c r="K237" s="11"/>
      <c r="L237" s="11">
        <v>1950</v>
      </c>
      <c r="M237" s="11">
        <v>5</v>
      </c>
      <c r="N237" s="11">
        <v>1</v>
      </c>
      <c r="O237" s="11"/>
      <c r="P237" s="11">
        <v>1300</v>
      </c>
      <c r="Q237" s="11"/>
      <c r="R237" s="11"/>
      <c r="S237" s="11" t="s">
        <v>30</v>
      </c>
      <c r="T237" s="11"/>
      <c r="U237" s="11"/>
      <c r="V237" s="11" t="s">
        <v>0</v>
      </c>
      <c r="W237" s="54">
        <v>14</v>
      </c>
      <c r="X237" s="11">
        <v>4</v>
      </c>
    </row>
    <row r="238" spans="1:24" ht="57.6" x14ac:dyDescent="0.3">
      <c r="A238" s="10">
        <v>7</v>
      </c>
      <c r="B238" s="11" t="s">
        <v>757</v>
      </c>
      <c r="C238" s="11"/>
      <c r="D238" s="11"/>
      <c r="E238" s="11" t="s">
        <v>759</v>
      </c>
      <c r="F238" s="11"/>
      <c r="G238" s="11" t="s">
        <v>58</v>
      </c>
      <c r="H238" s="11"/>
      <c r="I238" s="11" t="s">
        <v>435</v>
      </c>
      <c r="J238" s="11" t="s">
        <v>788</v>
      </c>
      <c r="K238" s="11"/>
      <c r="L238" s="11">
        <v>1960</v>
      </c>
      <c r="M238" s="11">
        <v>3</v>
      </c>
      <c r="N238" s="11">
        <v>1</v>
      </c>
      <c r="O238" s="11"/>
      <c r="P238" s="11">
        <v>600</v>
      </c>
      <c r="Q238" s="11"/>
      <c r="R238" s="11"/>
      <c r="S238" s="11" t="s">
        <v>67</v>
      </c>
      <c r="T238" s="11"/>
      <c r="U238" s="11"/>
      <c r="V238" s="11" t="s">
        <v>0</v>
      </c>
      <c r="W238" s="54">
        <f>16+7</f>
        <v>23</v>
      </c>
      <c r="X238" s="11">
        <v>3</v>
      </c>
    </row>
    <row r="239" spans="1:24" ht="57.6" x14ac:dyDescent="0.3">
      <c r="A239" s="10">
        <v>7</v>
      </c>
      <c r="B239" s="11" t="s">
        <v>757</v>
      </c>
      <c r="C239" s="11"/>
      <c r="D239" s="11"/>
      <c r="E239" s="11" t="s">
        <v>759</v>
      </c>
      <c r="F239" s="11"/>
      <c r="G239" s="11" t="s">
        <v>58</v>
      </c>
      <c r="H239" s="11"/>
      <c r="I239" s="11" t="s">
        <v>435</v>
      </c>
      <c r="J239" s="11" t="s">
        <v>788</v>
      </c>
      <c r="K239" s="11"/>
      <c r="L239" s="11">
        <v>1960</v>
      </c>
      <c r="M239" s="11">
        <v>3</v>
      </c>
      <c r="N239" s="11">
        <v>1</v>
      </c>
      <c r="O239" s="11"/>
      <c r="P239" s="11">
        <v>600</v>
      </c>
      <c r="Q239" s="11"/>
      <c r="R239" s="11"/>
      <c r="S239" s="11" t="s">
        <v>65</v>
      </c>
      <c r="T239" s="11"/>
      <c r="U239" s="11"/>
      <c r="V239" s="11" t="s">
        <v>0</v>
      </c>
      <c r="W239" s="54">
        <v>589</v>
      </c>
      <c r="X239" s="11">
        <v>3</v>
      </c>
    </row>
    <row r="240" spans="1:24" ht="57.6" x14ac:dyDescent="0.3">
      <c r="A240" s="10">
        <v>7</v>
      </c>
      <c r="B240" s="11" t="s">
        <v>757</v>
      </c>
      <c r="C240" s="11"/>
      <c r="D240" s="11"/>
      <c r="E240" s="11" t="s">
        <v>759</v>
      </c>
      <c r="F240" s="11"/>
      <c r="G240" s="11" t="s">
        <v>58</v>
      </c>
      <c r="H240" s="11"/>
      <c r="I240" s="11" t="s">
        <v>435</v>
      </c>
      <c r="J240" s="11" t="s">
        <v>788</v>
      </c>
      <c r="K240" s="11"/>
      <c r="L240" s="11">
        <v>1960</v>
      </c>
      <c r="M240" s="11">
        <v>3</v>
      </c>
      <c r="N240" s="11">
        <v>1</v>
      </c>
      <c r="O240" s="11"/>
      <c r="P240" s="11">
        <v>600</v>
      </c>
      <c r="Q240" s="11"/>
      <c r="R240" s="11"/>
      <c r="S240" s="11" t="s">
        <v>437</v>
      </c>
      <c r="T240" s="11"/>
      <c r="U240" s="11"/>
      <c r="V240" s="11" t="s">
        <v>0</v>
      </c>
      <c r="W240" s="54">
        <v>2</v>
      </c>
      <c r="X240" s="11">
        <v>3</v>
      </c>
    </row>
    <row r="241" spans="1:24" ht="57.6" x14ac:dyDescent="0.3">
      <c r="A241" s="10">
        <v>7</v>
      </c>
      <c r="B241" s="11" t="s">
        <v>757</v>
      </c>
      <c r="C241" s="11"/>
      <c r="D241" s="11"/>
      <c r="E241" s="11" t="s">
        <v>759</v>
      </c>
      <c r="F241" s="11"/>
      <c r="G241" s="11" t="s">
        <v>58</v>
      </c>
      <c r="H241" s="11"/>
      <c r="I241" s="11" t="s">
        <v>435</v>
      </c>
      <c r="J241" s="11" t="s">
        <v>788</v>
      </c>
      <c r="K241" s="11"/>
      <c r="L241" s="11">
        <v>1960</v>
      </c>
      <c r="M241" s="11">
        <v>3</v>
      </c>
      <c r="N241" s="11">
        <v>1</v>
      </c>
      <c r="O241" s="11"/>
      <c r="P241" s="11">
        <v>600</v>
      </c>
      <c r="Q241" s="11"/>
      <c r="R241" s="11"/>
      <c r="S241" s="11" t="s">
        <v>30</v>
      </c>
      <c r="T241" s="11"/>
      <c r="U241" s="11"/>
      <c r="V241" s="11" t="s">
        <v>0</v>
      </c>
      <c r="W241" s="54">
        <v>133</v>
      </c>
      <c r="X241" s="11">
        <v>3</v>
      </c>
    </row>
    <row r="242" spans="1:24" ht="57.6" x14ac:dyDescent="0.3">
      <c r="A242" s="10">
        <v>7</v>
      </c>
      <c r="B242" s="11" t="s">
        <v>757</v>
      </c>
      <c r="C242" s="11"/>
      <c r="D242" s="11"/>
      <c r="E242" s="11" t="s">
        <v>759</v>
      </c>
      <c r="F242" s="11"/>
      <c r="G242" s="11" t="s">
        <v>58</v>
      </c>
      <c r="H242" s="11"/>
      <c r="I242" s="11" t="s">
        <v>435</v>
      </c>
      <c r="J242" s="11" t="s">
        <v>787</v>
      </c>
      <c r="K242" s="11"/>
      <c r="L242" s="11">
        <v>1960</v>
      </c>
      <c r="M242" s="11">
        <v>3</v>
      </c>
      <c r="N242" s="11">
        <v>1</v>
      </c>
      <c r="O242" s="11"/>
      <c r="P242" s="11">
        <v>528</v>
      </c>
      <c r="Q242" s="11"/>
      <c r="R242" s="11"/>
      <c r="S242" s="11" t="s">
        <v>67</v>
      </c>
      <c r="T242" s="11"/>
      <c r="U242" s="11"/>
      <c r="V242" s="11" t="s">
        <v>0</v>
      </c>
      <c r="W242" s="54">
        <f>7.5+0.4</f>
        <v>7.9</v>
      </c>
      <c r="X242" s="11">
        <v>3</v>
      </c>
    </row>
    <row r="243" spans="1:24" ht="57.6" x14ac:dyDescent="0.3">
      <c r="A243" s="10">
        <v>7</v>
      </c>
      <c r="B243" s="11" t="s">
        <v>757</v>
      </c>
      <c r="C243" s="11"/>
      <c r="D243" s="11"/>
      <c r="E243" s="11" t="s">
        <v>759</v>
      </c>
      <c r="F243" s="11"/>
      <c r="G243" s="11" t="s">
        <v>58</v>
      </c>
      <c r="H243" s="11"/>
      <c r="I243" s="11" t="s">
        <v>435</v>
      </c>
      <c r="J243" s="11" t="s">
        <v>787</v>
      </c>
      <c r="K243" s="11"/>
      <c r="L243" s="11">
        <v>1960</v>
      </c>
      <c r="M243" s="11">
        <v>3</v>
      </c>
      <c r="N243" s="11">
        <v>1</v>
      </c>
      <c r="O243" s="11"/>
      <c r="P243" s="11">
        <v>528</v>
      </c>
      <c r="Q243" s="11"/>
      <c r="R243" s="11"/>
      <c r="S243" s="11" t="s">
        <v>65</v>
      </c>
      <c r="T243" s="11"/>
      <c r="U243" s="11"/>
      <c r="V243" s="11" t="s">
        <v>0</v>
      </c>
      <c r="W243" s="54">
        <v>940</v>
      </c>
      <c r="X243" s="11">
        <v>3</v>
      </c>
    </row>
    <row r="244" spans="1:24" ht="57.6" x14ac:dyDescent="0.3">
      <c r="A244" s="10">
        <v>7</v>
      </c>
      <c r="B244" s="11" t="s">
        <v>757</v>
      </c>
      <c r="C244" s="11"/>
      <c r="D244" s="11"/>
      <c r="E244" s="11" t="s">
        <v>759</v>
      </c>
      <c r="F244" s="11"/>
      <c r="G244" s="11" t="s">
        <v>58</v>
      </c>
      <c r="H244" s="11"/>
      <c r="I244" s="11" t="s">
        <v>435</v>
      </c>
      <c r="J244" s="11" t="s">
        <v>787</v>
      </c>
      <c r="K244" s="11"/>
      <c r="L244" s="11">
        <v>1960</v>
      </c>
      <c r="M244" s="11">
        <v>3</v>
      </c>
      <c r="N244" s="11">
        <v>1</v>
      </c>
      <c r="O244" s="11"/>
      <c r="P244" s="11">
        <v>528</v>
      </c>
      <c r="Q244" s="11"/>
      <c r="R244" s="11"/>
      <c r="S244" s="11" t="s">
        <v>437</v>
      </c>
      <c r="T244" s="11"/>
      <c r="U244" s="11"/>
      <c r="V244" s="11" t="s">
        <v>0</v>
      </c>
      <c r="W244" s="54">
        <v>3</v>
      </c>
      <c r="X244" s="11">
        <v>3</v>
      </c>
    </row>
    <row r="245" spans="1:24" ht="57.6" x14ac:dyDescent="0.3">
      <c r="A245" s="10">
        <v>7</v>
      </c>
      <c r="B245" s="11" t="s">
        <v>757</v>
      </c>
      <c r="C245" s="11"/>
      <c r="D245" s="11"/>
      <c r="E245" s="11" t="s">
        <v>759</v>
      </c>
      <c r="F245" s="11"/>
      <c r="G245" s="11" t="s">
        <v>58</v>
      </c>
      <c r="H245" s="11"/>
      <c r="I245" s="11" t="s">
        <v>435</v>
      </c>
      <c r="J245" s="11" t="s">
        <v>787</v>
      </c>
      <c r="K245" s="11"/>
      <c r="L245" s="11">
        <v>1960</v>
      </c>
      <c r="M245" s="11">
        <v>3</v>
      </c>
      <c r="N245" s="11">
        <v>1</v>
      </c>
      <c r="O245" s="11"/>
      <c r="P245" s="11">
        <v>528</v>
      </c>
      <c r="Q245" s="11"/>
      <c r="R245" s="11"/>
      <c r="S245" s="11" t="s">
        <v>30</v>
      </c>
      <c r="T245" s="11"/>
      <c r="U245" s="11"/>
      <c r="V245" s="11" t="s">
        <v>0</v>
      </c>
      <c r="W245" s="54">
        <v>130</v>
      </c>
      <c r="X245" s="11">
        <v>3</v>
      </c>
    </row>
    <row r="246" spans="1:24" ht="57.6" x14ac:dyDescent="0.3">
      <c r="A246" s="10">
        <v>7</v>
      </c>
      <c r="B246" s="11" t="s">
        <v>757</v>
      </c>
      <c r="C246" s="11"/>
      <c r="D246" s="11"/>
      <c r="E246" s="11" t="s">
        <v>759</v>
      </c>
      <c r="F246" s="11"/>
      <c r="G246" s="11" t="s">
        <v>58</v>
      </c>
      <c r="H246" s="11"/>
      <c r="I246" s="11" t="s">
        <v>435</v>
      </c>
      <c r="J246" s="11" t="s">
        <v>786</v>
      </c>
      <c r="K246" s="11"/>
      <c r="L246" s="11">
        <v>1960</v>
      </c>
      <c r="M246" s="11">
        <v>3</v>
      </c>
      <c r="N246" s="11">
        <v>1</v>
      </c>
      <c r="O246" s="11"/>
      <c r="P246" s="11">
        <v>1152</v>
      </c>
      <c r="Q246" s="11"/>
      <c r="R246" s="11"/>
      <c r="S246" s="11" t="s">
        <v>67</v>
      </c>
      <c r="T246" s="11"/>
      <c r="U246" s="11"/>
      <c r="V246" s="11" t="s">
        <v>0</v>
      </c>
      <c r="W246" s="54">
        <f>16+6</f>
        <v>22</v>
      </c>
      <c r="X246" s="11">
        <v>3</v>
      </c>
    </row>
    <row r="247" spans="1:24" ht="57.6" x14ac:dyDescent="0.3">
      <c r="A247" s="10">
        <v>7</v>
      </c>
      <c r="B247" s="11" t="s">
        <v>757</v>
      </c>
      <c r="C247" s="11"/>
      <c r="D247" s="11"/>
      <c r="E247" s="11" t="s">
        <v>759</v>
      </c>
      <c r="F247" s="11"/>
      <c r="G247" s="11" t="s">
        <v>58</v>
      </c>
      <c r="H247" s="11"/>
      <c r="I247" s="11" t="s">
        <v>435</v>
      </c>
      <c r="J247" s="11" t="s">
        <v>786</v>
      </c>
      <c r="K247" s="11"/>
      <c r="L247" s="11">
        <v>1960</v>
      </c>
      <c r="M247" s="11">
        <v>3</v>
      </c>
      <c r="N247" s="11">
        <v>1</v>
      </c>
      <c r="O247" s="11"/>
      <c r="P247" s="11">
        <v>1152</v>
      </c>
      <c r="Q247" s="11"/>
      <c r="R247" s="11"/>
      <c r="S247" s="11" t="s">
        <v>65</v>
      </c>
      <c r="T247" s="11"/>
      <c r="U247" s="11"/>
      <c r="V247" s="11" t="s">
        <v>0</v>
      </c>
      <c r="W247" s="54">
        <v>746</v>
      </c>
      <c r="X247" s="11">
        <v>3</v>
      </c>
    </row>
    <row r="248" spans="1:24" ht="57.6" x14ac:dyDescent="0.3">
      <c r="A248" s="10">
        <v>7</v>
      </c>
      <c r="B248" s="11" t="s">
        <v>757</v>
      </c>
      <c r="C248" s="11"/>
      <c r="D248" s="11"/>
      <c r="E248" s="11" t="s">
        <v>759</v>
      </c>
      <c r="F248" s="11"/>
      <c r="G248" s="11" t="s">
        <v>58</v>
      </c>
      <c r="H248" s="11"/>
      <c r="I248" s="11" t="s">
        <v>435</v>
      </c>
      <c r="J248" s="11" t="s">
        <v>786</v>
      </c>
      <c r="K248" s="11"/>
      <c r="L248" s="11">
        <v>1960</v>
      </c>
      <c r="M248" s="11">
        <v>3</v>
      </c>
      <c r="N248" s="11">
        <v>1</v>
      </c>
      <c r="O248" s="11"/>
      <c r="P248" s="11">
        <v>1152</v>
      </c>
      <c r="Q248" s="11"/>
      <c r="R248" s="11"/>
      <c r="S248" s="11" t="s">
        <v>437</v>
      </c>
      <c r="T248" s="11"/>
      <c r="U248" s="11"/>
      <c r="V248" s="11" t="s">
        <v>0</v>
      </c>
      <c r="W248" s="54">
        <v>3</v>
      </c>
      <c r="X248" s="11">
        <v>3</v>
      </c>
    </row>
    <row r="249" spans="1:24" ht="57.6" x14ac:dyDescent="0.3">
      <c r="A249" s="10">
        <v>7</v>
      </c>
      <c r="B249" s="11" t="s">
        <v>757</v>
      </c>
      <c r="C249" s="11"/>
      <c r="D249" s="11"/>
      <c r="E249" s="11" t="s">
        <v>759</v>
      </c>
      <c r="F249" s="11"/>
      <c r="G249" s="11" t="s">
        <v>58</v>
      </c>
      <c r="H249" s="11"/>
      <c r="I249" s="11" t="s">
        <v>435</v>
      </c>
      <c r="J249" s="11" t="s">
        <v>786</v>
      </c>
      <c r="K249" s="11"/>
      <c r="L249" s="11">
        <v>1960</v>
      </c>
      <c r="M249" s="11">
        <v>3</v>
      </c>
      <c r="N249" s="11">
        <v>1</v>
      </c>
      <c r="O249" s="11"/>
      <c r="P249" s="11">
        <v>1152</v>
      </c>
      <c r="Q249" s="11"/>
      <c r="R249" s="11"/>
      <c r="S249" s="11" t="s">
        <v>30</v>
      </c>
      <c r="T249" s="11"/>
      <c r="U249" s="11"/>
      <c r="V249" s="11" t="s">
        <v>0</v>
      </c>
      <c r="W249" s="54">
        <v>180</v>
      </c>
      <c r="X249" s="11">
        <v>3</v>
      </c>
    </row>
    <row r="250" spans="1:24" ht="57.6" x14ac:dyDescent="0.3">
      <c r="A250" s="10">
        <v>7</v>
      </c>
      <c r="B250" s="11" t="s">
        <v>757</v>
      </c>
      <c r="C250" s="11"/>
      <c r="D250" s="11"/>
      <c r="E250" s="11" t="s">
        <v>759</v>
      </c>
      <c r="F250" s="11"/>
      <c r="G250" s="11" t="s">
        <v>58</v>
      </c>
      <c r="H250" s="11"/>
      <c r="I250" s="11" t="s">
        <v>70</v>
      </c>
      <c r="J250" s="11" t="s">
        <v>785</v>
      </c>
      <c r="K250" s="11"/>
      <c r="L250" s="11">
        <v>1960</v>
      </c>
      <c r="M250" s="11">
        <v>10</v>
      </c>
      <c r="N250" s="11">
        <v>1</v>
      </c>
      <c r="O250" s="11"/>
      <c r="P250" s="11">
        <v>3344</v>
      </c>
      <c r="Q250" s="11"/>
      <c r="R250" s="11"/>
      <c r="S250" s="11" t="s">
        <v>67</v>
      </c>
      <c r="T250" s="11"/>
      <c r="U250" s="11"/>
      <c r="V250" s="11" t="s">
        <v>0</v>
      </c>
      <c r="W250" s="54">
        <f>2.2+12</f>
        <v>14.2</v>
      </c>
      <c r="X250" s="11">
        <v>4</v>
      </c>
    </row>
    <row r="251" spans="1:24" ht="57.6" x14ac:dyDescent="0.3">
      <c r="A251" s="10">
        <v>7</v>
      </c>
      <c r="B251" s="11" t="s">
        <v>757</v>
      </c>
      <c r="C251" s="11"/>
      <c r="D251" s="11"/>
      <c r="E251" s="11" t="s">
        <v>759</v>
      </c>
      <c r="F251" s="11"/>
      <c r="G251" s="11" t="s">
        <v>58</v>
      </c>
      <c r="H251" s="11"/>
      <c r="I251" s="11" t="s">
        <v>70</v>
      </c>
      <c r="J251" s="11" t="s">
        <v>785</v>
      </c>
      <c r="K251" s="11"/>
      <c r="L251" s="11">
        <v>1960</v>
      </c>
      <c r="M251" s="11">
        <v>10</v>
      </c>
      <c r="N251" s="11">
        <v>1</v>
      </c>
      <c r="O251" s="11"/>
      <c r="P251" s="11">
        <v>3344</v>
      </c>
      <c r="Q251" s="11"/>
      <c r="R251" s="11"/>
      <c r="S251" s="11" t="s">
        <v>65</v>
      </c>
      <c r="T251" s="11"/>
      <c r="U251" s="11"/>
      <c r="V251" s="11" t="s">
        <v>0</v>
      </c>
      <c r="W251" s="54">
        <v>689</v>
      </c>
      <c r="X251" s="11">
        <v>4</v>
      </c>
    </row>
    <row r="252" spans="1:24" ht="57.6" x14ac:dyDescent="0.3">
      <c r="A252" s="10">
        <v>7</v>
      </c>
      <c r="B252" s="11" t="s">
        <v>757</v>
      </c>
      <c r="C252" s="11"/>
      <c r="D252" s="11"/>
      <c r="E252" s="11" t="s">
        <v>759</v>
      </c>
      <c r="F252" s="11"/>
      <c r="G252" s="11" t="s">
        <v>58</v>
      </c>
      <c r="H252" s="11"/>
      <c r="I252" s="11" t="s">
        <v>70</v>
      </c>
      <c r="J252" s="11" t="s">
        <v>785</v>
      </c>
      <c r="K252" s="11"/>
      <c r="L252" s="11">
        <v>1960</v>
      </c>
      <c r="M252" s="11">
        <v>10</v>
      </c>
      <c r="N252" s="11">
        <v>1</v>
      </c>
      <c r="O252" s="11"/>
      <c r="P252" s="11">
        <v>3344</v>
      </c>
      <c r="Q252" s="11"/>
      <c r="R252" s="11"/>
      <c r="S252" s="11" t="s">
        <v>437</v>
      </c>
      <c r="T252" s="11"/>
      <c r="U252" s="11"/>
      <c r="V252" s="11" t="s">
        <v>0</v>
      </c>
      <c r="W252" s="54">
        <v>2</v>
      </c>
      <c r="X252" s="11">
        <v>4</v>
      </c>
    </row>
    <row r="253" spans="1:24" ht="57.6" x14ac:dyDescent="0.3">
      <c r="A253" s="10">
        <v>7</v>
      </c>
      <c r="B253" s="11" t="s">
        <v>757</v>
      </c>
      <c r="C253" s="11"/>
      <c r="D253" s="11"/>
      <c r="E253" s="11" t="s">
        <v>759</v>
      </c>
      <c r="F253" s="11"/>
      <c r="G253" s="11" t="s">
        <v>58</v>
      </c>
      <c r="H253" s="11"/>
      <c r="I253" s="11" t="s">
        <v>70</v>
      </c>
      <c r="J253" s="11" t="s">
        <v>785</v>
      </c>
      <c r="K253" s="11"/>
      <c r="L253" s="11">
        <v>1960</v>
      </c>
      <c r="M253" s="11">
        <v>10</v>
      </c>
      <c r="N253" s="11">
        <v>1</v>
      </c>
      <c r="O253" s="11"/>
      <c r="P253" s="11">
        <v>3344</v>
      </c>
      <c r="Q253" s="11"/>
      <c r="R253" s="11"/>
      <c r="S253" s="11" t="s">
        <v>30</v>
      </c>
      <c r="T253" s="11"/>
      <c r="U253" s="11"/>
      <c r="V253" s="11" t="s">
        <v>0</v>
      </c>
      <c r="W253" s="54">
        <v>70</v>
      </c>
      <c r="X253" s="11">
        <v>4</v>
      </c>
    </row>
    <row r="254" spans="1:24" ht="57.6" x14ac:dyDescent="0.3">
      <c r="A254" s="10">
        <v>7</v>
      </c>
      <c r="B254" s="11" t="s">
        <v>757</v>
      </c>
      <c r="C254" s="11"/>
      <c r="D254" s="11"/>
      <c r="E254" s="11" t="s">
        <v>759</v>
      </c>
      <c r="F254" s="11"/>
      <c r="G254" s="11" t="s">
        <v>58</v>
      </c>
      <c r="H254" s="11"/>
      <c r="I254" s="11" t="s">
        <v>70</v>
      </c>
      <c r="J254" s="11" t="s">
        <v>784</v>
      </c>
      <c r="K254" s="11"/>
      <c r="L254" s="11">
        <v>1970</v>
      </c>
      <c r="M254" s="11">
        <v>9</v>
      </c>
      <c r="N254" s="11">
        <v>1</v>
      </c>
      <c r="O254" s="11"/>
      <c r="P254" s="11">
        <v>1760</v>
      </c>
      <c r="Q254" s="11"/>
      <c r="R254" s="11"/>
      <c r="S254" s="11" t="s">
        <v>67</v>
      </c>
      <c r="T254" s="11"/>
      <c r="U254" s="11"/>
      <c r="V254" s="11" t="s">
        <v>0</v>
      </c>
      <c r="W254" s="54">
        <f>26+1</f>
        <v>27</v>
      </c>
      <c r="X254" s="11">
        <v>4</v>
      </c>
    </row>
    <row r="255" spans="1:24" ht="57.6" x14ac:dyDescent="0.3">
      <c r="A255" s="10">
        <v>7</v>
      </c>
      <c r="B255" s="11" t="s">
        <v>757</v>
      </c>
      <c r="C255" s="11"/>
      <c r="D255" s="11"/>
      <c r="E255" s="11" t="s">
        <v>759</v>
      </c>
      <c r="F255" s="11"/>
      <c r="G255" s="11" t="s">
        <v>58</v>
      </c>
      <c r="H255" s="11"/>
      <c r="I255" s="11" t="s">
        <v>70</v>
      </c>
      <c r="J255" s="11" t="s">
        <v>784</v>
      </c>
      <c r="K255" s="11"/>
      <c r="L255" s="11">
        <v>1970</v>
      </c>
      <c r="M255" s="11">
        <v>9</v>
      </c>
      <c r="N255" s="11">
        <v>1</v>
      </c>
      <c r="O255" s="11"/>
      <c r="P255" s="11">
        <v>1760</v>
      </c>
      <c r="Q255" s="11"/>
      <c r="R255" s="11"/>
      <c r="S255" s="11" t="s">
        <v>65</v>
      </c>
      <c r="T255" s="11"/>
      <c r="U255" s="11"/>
      <c r="V255" s="11" t="s">
        <v>0</v>
      </c>
      <c r="W255" s="54">
        <v>613</v>
      </c>
      <c r="X255" s="11">
        <v>4</v>
      </c>
    </row>
    <row r="256" spans="1:24" ht="57.6" x14ac:dyDescent="0.3">
      <c r="A256" s="10">
        <v>7</v>
      </c>
      <c r="B256" s="11" t="s">
        <v>757</v>
      </c>
      <c r="C256" s="11"/>
      <c r="D256" s="11"/>
      <c r="E256" s="11" t="s">
        <v>759</v>
      </c>
      <c r="F256" s="11"/>
      <c r="G256" s="11" t="s">
        <v>58</v>
      </c>
      <c r="H256" s="11"/>
      <c r="I256" s="11" t="s">
        <v>70</v>
      </c>
      <c r="J256" s="11" t="s">
        <v>784</v>
      </c>
      <c r="K256" s="11"/>
      <c r="L256" s="11">
        <v>1970</v>
      </c>
      <c r="M256" s="11">
        <v>9</v>
      </c>
      <c r="N256" s="11">
        <v>1</v>
      </c>
      <c r="O256" s="11"/>
      <c r="P256" s="11">
        <v>1760</v>
      </c>
      <c r="Q256" s="11"/>
      <c r="R256" s="11"/>
      <c r="S256" s="11" t="s">
        <v>437</v>
      </c>
      <c r="T256" s="11"/>
      <c r="U256" s="11"/>
      <c r="V256" s="11" t="s">
        <v>0</v>
      </c>
      <c r="W256" s="54">
        <v>4</v>
      </c>
      <c r="X256" s="11">
        <v>4</v>
      </c>
    </row>
    <row r="257" spans="1:24" ht="57.6" x14ac:dyDescent="0.3">
      <c r="A257" s="10">
        <v>7</v>
      </c>
      <c r="B257" s="11" t="s">
        <v>757</v>
      </c>
      <c r="C257" s="11"/>
      <c r="D257" s="11"/>
      <c r="E257" s="11" t="s">
        <v>759</v>
      </c>
      <c r="F257" s="11"/>
      <c r="G257" s="11" t="s">
        <v>58</v>
      </c>
      <c r="H257" s="11"/>
      <c r="I257" s="11" t="s">
        <v>70</v>
      </c>
      <c r="J257" s="11" t="s">
        <v>784</v>
      </c>
      <c r="K257" s="11"/>
      <c r="L257" s="11">
        <v>1970</v>
      </c>
      <c r="M257" s="11">
        <v>9</v>
      </c>
      <c r="N257" s="11">
        <v>1</v>
      </c>
      <c r="O257" s="11"/>
      <c r="P257" s="11">
        <v>1760</v>
      </c>
      <c r="Q257" s="11"/>
      <c r="R257" s="11"/>
      <c r="S257" s="11" t="s">
        <v>30</v>
      </c>
      <c r="T257" s="11"/>
      <c r="U257" s="11"/>
      <c r="V257" s="11" t="s">
        <v>0</v>
      </c>
      <c r="W257" s="54">
        <v>143</v>
      </c>
      <c r="X257" s="11">
        <v>4</v>
      </c>
    </row>
    <row r="258" spans="1:24" ht="57.6" x14ac:dyDescent="0.3">
      <c r="A258" s="10">
        <v>7</v>
      </c>
      <c r="B258" s="11" t="s">
        <v>757</v>
      </c>
      <c r="C258" s="11"/>
      <c r="D258" s="11"/>
      <c r="E258" s="11" t="s">
        <v>759</v>
      </c>
      <c r="F258" s="11"/>
      <c r="G258" s="11" t="s">
        <v>58</v>
      </c>
      <c r="H258" s="11"/>
      <c r="I258" s="11" t="s">
        <v>70</v>
      </c>
      <c r="J258" s="11" t="s">
        <v>783</v>
      </c>
      <c r="K258" s="11"/>
      <c r="L258" s="11">
        <v>1970</v>
      </c>
      <c r="M258" s="11">
        <v>9</v>
      </c>
      <c r="N258" s="11">
        <v>1</v>
      </c>
      <c r="O258" s="11"/>
      <c r="P258" s="11">
        <v>2840</v>
      </c>
      <c r="Q258" s="11"/>
      <c r="R258" s="11"/>
      <c r="S258" s="11" t="s">
        <v>67</v>
      </c>
      <c r="T258" s="11"/>
      <c r="U258" s="11"/>
      <c r="V258" s="11" t="s">
        <v>0</v>
      </c>
      <c r="W258" s="54">
        <f>7.5</f>
        <v>7.5</v>
      </c>
      <c r="X258" s="11">
        <v>4</v>
      </c>
    </row>
    <row r="259" spans="1:24" ht="57.6" x14ac:dyDescent="0.3">
      <c r="A259" s="10">
        <v>7</v>
      </c>
      <c r="B259" s="11" t="s">
        <v>757</v>
      </c>
      <c r="C259" s="11"/>
      <c r="D259" s="11"/>
      <c r="E259" s="11" t="s">
        <v>759</v>
      </c>
      <c r="F259" s="11"/>
      <c r="G259" s="11" t="s">
        <v>58</v>
      </c>
      <c r="H259" s="11"/>
      <c r="I259" s="11" t="s">
        <v>70</v>
      </c>
      <c r="J259" s="11" t="s">
        <v>783</v>
      </c>
      <c r="K259" s="11"/>
      <c r="L259" s="11">
        <v>1970</v>
      </c>
      <c r="M259" s="11">
        <v>9</v>
      </c>
      <c r="N259" s="11">
        <v>1</v>
      </c>
      <c r="O259" s="11"/>
      <c r="P259" s="11">
        <v>2840</v>
      </c>
      <c r="Q259" s="11"/>
      <c r="R259" s="11"/>
      <c r="S259" s="11" t="s">
        <v>65</v>
      </c>
      <c r="T259" s="11"/>
      <c r="U259" s="11"/>
      <c r="V259" s="11" t="s">
        <v>0</v>
      </c>
      <c r="W259" s="54">
        <v>731</v>
      </c>
      <c r="X259" s="11">
        <v>4</v>
      </c>
    </row>
    <row r="260" spans="1:24" ht="57.6" x14ac:dyDescent="0.3">
      <c r="A260" s="10">
        <v>7</v>
      </c>
      <c r="B260" s="11" t="s">
        <v>757</v>
      </c>
      <c r="C260" s="11"/>
      <c r="D260" s="11"/>
      <c r="E260" s="11" t="s">
        <v>759</v>
      </c>
      <c r="F260" s="11"/>
      <c r="G260" s="11" t="s">
        <v>58</v>
      </c>
      <c r="H260" s="11"/>
      <c r="I260" s="11" t="s">
        <v>70</v>
      </c>
      <c r="J260" s="11" t="s">
        <v>783</v>
      </c>
      <c r="K260" s="11"/>
      <c r="L260" s="11">
        <v>1970</v>
      </c>
      <c r="M260" s="11">
        <v>9</v>
      </c>
      <c r="N260" s="11">
        <v>1</v>
      </c>
      <c r="O260" s="11"/>
      <c r="P260" s="11">
        <v>2840</v>
      </c>
      <c r="Q260" s="11"/>
      <c r="R260" s="11"/>
      <c r="S260" s="11" t="s">
        <v>437</v>
      </c>
      <c r="T260" s="11"/>
      <c r="U260" s="11"/>
      <c r="V260" s="11" t="s">
        <v>0</v>
      </c>
      <c r="W260" s="54">
        <v>5</v>
      </c>
      <c r="X260" s="11">
        <v>4</v>
      </c>
    </row>
    <row r="261" spans="1:24" ht="57.6" x14ac:dyDescent="0.3">
      <c r="A261" s="10">
        <v>7</v>
      </c>
      <c r="B261" s="11" t="s">
        <v>757</v>
      </c>
      <c r="C261" s="11"/>
      <c r="D261" s="11"/>
      <c r="E261" s="11" t="s">
        <v>759</v>
      </c>
      <c r="F261" s="11"/>
      <c r="G261" s="11" t="s">
        <v>58</v>
      </c>
      <c r="H261" s="11"/>
      <c r="I261" s="11" t="s">
        <v>70</v>
      </c>
      <c r="J261" s="11" t="s">
        <v>783</v>
      </c>
      <c r="K261" s="11"/>
      <c r="L261" s="11">
        <v>1970</v>
      </c>
      <c r="M261" s="11">
        <v>6</v>
      </c>
      <c r="N261" s="11">
        <v>1</v>
      </c>
      <c r="O261" s="11"/>
      <c r="P261" s="11">
        <v>2840</v>
      </c>
      <c r="Q261" s="11"/>
      <c r="R261" s="11"/>
      <c r="S261" s="11" t="s">
        <v>30</v>
      </c>
      <c r="T261" s="11"/>
      <c r="U261" s="11"/>
      <c r="V261" s="11" t="s">
        <v>0</v>
      </c>
      <c r="W261" s="54">
        <v>259</v>
      </c>
      <c r="X261" s="11">
        <v>4</v>
      </c>
    </row>
    <row r="262" spans="1:24" ht="57.6" x14ac:dyDescent="0.3">
      <c r="A262" s="10">
        <v>7</v>
      </c>
      <c r="B262" s="11" t="s">
        <v>757</v>
      </c>
      <c r="C262" s="11"/>
      <c r="D262" s="11"/>
      <c r="E262" s="11" t="s">
        <v>759</v>
      </c>
      <c r="F262" s="11"/>
      <c r="G262" s="11" t="s">
        <v>58</v>
      </c>
      <c r="H262" s="11"/>
      <c r="I262" s="11" t="s">
        <v>70</v>
      </c>
      <c r="J262" s="11" t="s">
        <v>782</v>
      </c>
      <c r="K262" s="11"/>
      <c r="L262" s="11">
        <v>1970</v>
      </c>
      <c r="M262" s="11">
        <v>6</v>
      </c>
      <c r="N262" s="11">
        <v>1</v>
      </c>
      <c r="O262" s="11"/>
      <c r="P262" s="11">
        <v>1104</v>
      </c>
      <c r="Q262" s="11"/>
      <c r="R262" s="11"/>
      <c r="S262" s="11" t="s">
        <v>67</v>
      </c>
      <c r="T262" s="11"/>
      <c r="U262" s="11"/>
      <c r="V262" s="11" t="s">
        <v>0</v>
      </c>
      <c r="W262" s="54">
        <f>7.8+0.5</f>
        <v>8.3000000000000007</v>
      </c>
      <c r="X262" s="11">
        <v>4</v>
      </c>
    </row>
    <row r="263" spans="1:24" ht="57.6" x14ac:dyDescent="0.3">
      <c r="A263" s="10">
        <v>7</v>
      </c>
      <c r="B263" s="11" t="s">
        <v>757</v>
      </c>
      <c r="C263" s="11"/>
      <c r="D263" s="11"/>
      <c r="E263" s="11" t="s">
        <v>759</v>
      </c>
      <c r="F263" s="11"/>
      <c r="G263" s="11" t="s">
        <v>58</v>
      </c>
      <c r="H263" s="11"/>
      <c r="I263" s="11" t="s">
        <v>70</v>
      </c>
      <c r="J263" s="11" t="s">
        <v>782</v>
      </c>
      <c r="K263" s="11"/>
      <c r="L263" s="11">
        <v>1970</v>
      </c>
      <c r="M263" s="11">
        <v>6</v>
      </c>
      <c r="N263" s="11">
        <v>1</v>
      </c>
      <c r="O263" s="11"/>
      <c r="P263" s="11">
        <v>1104</v>
      </c>
      <c r="Q263" s="11"/>
      <c r="R263" s="11"/>
      <c r="S263" s="11" t="s">
        <v>65</v>
      </c>
      <c r="T263" s="11"/>
      <c r="U263" s="11"/>
      <c r="V263" s="11" t="s">
        <v>0</v>
      </c>
      <c r="W263" s="54">
        <v>901</v>
      </c>
      <c r="X263" s="11">
        <v>4</v>
      </c>
    </row>
    <row r="264" spans="1:24" ht="57.6" x14ac:dyDescent="0.3">
      <c r="A264" s="10">
        <v>7</v>
      </c>
      <c r="B264" s="11" t="s">
        <v>757</v>
      </c>
      <c r="C264" s="11"/>
      <c r="D264" s="11"/>
      <c r="E264" s="11" t="s">
        <v>759</v>
      </c>
      <c r="F264" s="11"/>
      <c r="G264" s="11" t="s">
        <v>58</v>
      </c>
      <c r="H264" s="11"/>
      <c r="I264" s="11" t="s">
        <v>70</v>
      </c>
      <c r="J264" s="11" t="s">
        <v>782</v>
      </c>
      <c r="K264" s="11"/>
      <c r="L264" s="11">
        <v>1970</v>
      </c>
      <c r="M264" s="11">
        <v>6</v>
      </c>
      <c r="N264" s="11">
        <v>1</v>
      </c>
      <c r="O264" s="11"/>
      <c r="P264" s="11">
        <v>1104</v>
      </c>
      <c r="Q264" s="11"/>
      <c r="R264" s="11"/>
      <c r="S264" s="11" t="s">
        <v>437</v>
      </c>
      <c r="T264" s="11"/>
      <c r="U264" s="11"/>
      <c r="V264" s="11" t="s">
        <v>0</v>
      </c>
      <c r="W264" s="54">
        <v>3</v>
      </c>
      <c r="X264" s="11">
        <v>4</v>
      </c>
    </row>
    <row r="265" spans="1:24" ht="57.6" x14ac:dyDescent="0.3">
      <c r="A265" s="10">
        <v>7</v>
      </c>
      <c r="B265" s="11" t="s">
        <v>757</v>
      </c>
      <c r="C265" s="11"/>
      <c r="D265" s="11"/>
      <c r="E265" s="11" t="s">
        <v>759</v>
      </c>
      <c r="F265" s="11"/>
      <c r="G265" s="11" t="s">
        <v>58</v>
      </c>
      <c r="H265" s="11"/>
      <c r="I265" s="11" t="s">
        <v>70</v>
      </c>
      <c r="J265" s="11" t="s">
        <v>782</v>
      </c>
      <c r="K265" s="11"/>
      <c r="L265" s="11">
        <v>1970</v>
      </c>
      <c r="M265" s="11">
        <v>6</v>
      </c>
      <c r="N265" s="11">
        <v>1</v>
      </c>
      <c r="O265" s="11"/>
      <c r="P265" s="11">
        <v>1104</v>
      </c>
      <c r="Q265" s="11"/>
      <c r="R265" s="11"/>
      <c r="S265" s="11" t="s">
        <v>30</v>
      </c>
      <c r="T265" s="11"/>
      <c r="U265" s="11"/>
      <c r="V265" s="11" t="s">
        <v>0</v>
      </c>
      <c r="W265" s="54">
        <v>34</v>
      </c>
      <c r="X265" s="11">
        <v>4</v>
      </c>
    </row>
    <row r="266" spans="1:24" ht="57.6" x14ac:dyDescent="0.3">
      <c r="A266" s="10">
        <v>7</v>
      </c>
      <c r="B266" s="11" t="s">
        <v>757</v>
      </c>
      <c r="C266" s="11"/>
      <c r="D266" s="11"/>
      <c r="E266" s="11" t="s">
        <v>759</v>
      </c>
      <c r="F266" s="11"/>
      <c r="G266" s="11" t="s">
        <v>58</v>
      </c>
      <c r="H266" s="11"/>
      <c r="I266" s="11" t="s">
        <v>70</v>
      </c>
      <c r="J266" s="11" t="s">
        <v>781</v>
      </c>
      <c r="K266" s="11"/>
      <c r="L266" s="11">
        <v>1980</v>
      </c>
      <c r="M266" s="11">
        <v>6</v>
      </c>
      <c r="N266" s="11">
        <v>1</v>
      </c>
      <c r="O266" s="11"/>
      <c r="P266" s="11">
        <v>1440</v>
      </c>
      <c r="Q266" s="11"/>
      <c r="R266" s="11"/>
      <c r="S266" s="11" t="s">
        <v>67</v>
      </c>
      <c r="T266" s="11"/>
      <c r="U266" s="11"/>
      <c r="V266" s="11" t="s">
        <v>0</v>
      </c>
      <c r="W266" s="54">
        <f>11+4</f>
        <v>15</v>
      </c>
      <c r="X266" s="11">
        <v>4</v>
      </c>
    </row>
    <row r="267" spans="1:24" ht="57.6" x14ac:dyDescent="0.3">
      <c r="A267" s="10">
        <v>7</v>
      </c>
      <c r="B267" s="11" t="s">
        <v>757</v>
      </c>
      <c r="C267" s="11"/>
      <c r="D267" s="11"/>
      <c r="E267" s="11" t="s">
        <v>759</v>
      </c>
      <c r="F267" s="11"/>
      <c r="G267" s="11" t="s">
        <v>58</v>
      </c>
      <c r="H267" s="11"/>
      <c r="I267" s="11" t="s">
        <v>70</v>
      </c>
      <c r="J267" s="11" t="s">
        <v>781</v>
      </c>
      <c r="K267" s="11"/>
      <c r="L267" s="11">
        <v>1980</v>
      </c>
      <c r="M267" s="11">
        <v>6</v>
      </c>
      <c r="N267" s="11">
        <v>1</v>
      </c>
      <c r="O267" s="11"/>
      <c r="P267" s="11">
        <v>1440</v>
      </c>
      <c r="Q267" s="11"/>
      <c r="R267" s="11"/>
      <c r="S267" s="11" t="s">
        <v>65</v>
      </c>
      <c r="T267" s="11"/>
      <c r="U267" s="11"/>
      <c r="V267" s="11" t="s">
        <v>0</v>
      </c>
      <c r="W267" s="54">
        <v>588</v>
      </c>
      <c r="X267" s="11">
        <v>4</v>
      </c>
    </row>
    <row r="268" spans="1:24" ht="57.6" x14ac:dyDescent="0.3">
      <c r="A268" s="10">
        <v>7</v>
      </c>
      <c r="B268" s="11" t="s">
        <v>757</v>
      </c>
      <c r="C268" s="11"/>
      <c r="D268" s="11"/>
      <c r="E268" s="11" t="s">
        <v>759</v>
      </c>
      <c r="F268" s="11"/>
      <c r="G268" s="11" t="s">
        <v>58</v>
      </c>
      <c r="H268" s="11"/>
      <c r="I268" s="11" t="s">
        <v>70</v>
      </c>
      <c r="J268" s="11" t="s">
        <v>781</v>
      </c>
      <c r="K268" s="11"/>
      <c r="L268" s="11">
        <v>1980</v>
      </c>
      <c r="M268" s="11">
        <v>6</v>
      </c>
      <c r="N268" s="11">
        <v>1</v>
      </c>
      <c r="O268" s="11"/>
      <c r="P268" s="11">
        <v>1440</v>
      </c>
      <c r="Q268" s="11"/>
      <c r="R268" s="11"/>
      <c r="S268" s="11" t="s">
        <v>437</v>
      </c>
      <c r="T268" s="11"/>
      <c r="U268" s="11"/>
      <c r="V268" s="11" t="s">
        <v>0</v>
      </c>
      <c r="W268" s="54">
        <v>3</v>
      </c>
      <c r="X268" s="11">
        <v>4</v>
      </c>
    </row>
    <row r="269" spans="1:24" ht="57.6" x14ac:dyDescent="0.3">
      <c r="A269" s="10">
        <v>7</v>
      </c>
      <c r="B269" s="11" t="s">
        <v>757</v>
      </c>
      <c r="C269" s="11"/>
      <c r="D269" s="11"/>
      <c r="E269" s="11" t="s">
        <v>759</v>
      </c>
      <c r="F269" s="11"/>
      <c r="G269" s="11" t="s">
        <v>58</v>
      </c>
      <c r="H269" s="11"/>
      <c r="I269" s="11" t="s">
        <v>70</v>
      </c>
      <c r="J269" s="11" t="s">
        <v>781</v>
      </c>
      <c r="K269" s="11"/>
      <c r="L269" s="11">
        <v>1980</v>
      </c>
      <c r="M269" s="11">
        <v>6</v>
      </c>
      <c r="N269" s="11">
        <v>1</v>
      </c>
      <c r="O269" s="11"/>
      <c r="P269" s="11">
        <v>1440</v>
      </c>
      <c r="Q269" s="11"/>
      <c r="R269" s="11"/>
      <c r="S269" s="11" t="s">
        <v>30</v>
      </c>
      <c r="T269" s="11"/>
      <c r="U269" s="11"/>
      <c r="V269" s="11" t="s">
        <v>0</v>
      </c>
      <c r="W269" s="54">
        <v>188</v>
      </c>
      <c r="X269" s="11">
        <v>4</v>
      </c>
    </row>
    <row r="270" spans="1:24" ht="57.6" x14ac:dyDescent="0.3">
      <c r="A270" s="10">
        <v>7</v>
      </c>
      <c r="B270" s="11" t="s">
        <v>757</v>
      </c>
      <c r="C270" s="11"/>
      <c r="D270" s="11"/>
      <c r="E270" s="11" t="s">
        <v>759</v>
      </c>
      <c r="F270" s="11"/>
      <c r="G270" s="11" t="s">
        <v>58</v>
      </c>
      <c r="H270" s="11"/>
      <c r="I270" s="11" t="s">
        <v>435</v>
      </c>
      <c r="J270" s="11" t="s">
        <v>780</v>
      </c>
      <c r="K270" s="11"/>
      <c r="L270" s="11">
        <v>1980</v>
      </c>
      <c r="M270" s="11">
        <v>4</v>
      </c>
      <c r="N270" s="11">
        <v>1</v>
      </c>
      <c r="O270" s="11"/>
      <c r="P270" s="11">
        <v>840</v>
      </c>
      <c r="Q270" s="11"/>
      <c r="R270" s="11"/>
      <c r="S270" s="11" t="s">
        <v>67</v>
      </c>
      <c r="T270" s="11"/>
      <c r="U270" s="11"/>
      <c r="V270" s="11" t="s">
        <v>0</v>
      </c>
      <c r="W270" s="54">
        <f>21+1</f>
        <v>22</v>
      </c>
      <c r="X270" s="11">
        <v>3</v>
      </c>
    </row>
    <row r="271" spans="1:24" ht="57.6" x14ac:dyDescent="0.3">
      <c r="A271" s="10">
        <v>7</v>
      </c>
      <c r="B271" s="11" t="s">
        <v>757</v>
      </c>
      <c r="C271" s="11"/>
      <c r="D271" s="11"/>
      <c r="E271" s="11" t="s">
        <v>759</v>
      </c>
      <c r="F271" s="11"/>
      <c r="G271" s="11" t="s">
        <v>58</v>
      </c>
      <c r="H271" s="11"/>
      <c r="I271" s="11" t="s">
        <v>435</v>
      </c>
      <c r="J271" s="11" t="s">
        <v>780</v>
      </c>
      <c r="K271" s="11"/>
      <c r="L271" s="11">
        <v>1980</v>
      </c>
      <c r="M271" s="11">
        <v>4</v>
      </c>
      <c r="N271" s="11">
        <v>1</v>
      </c>
      <c r="O271" s="11"/>
      <c r="P271" s="11">
        <v>840</v>
      </c>
      <c r="Q271" s="11"/>
      <c r="R271" s="11"/>
      <c r="S271" s="11" t="s">
        <v>65</v>
      </c>
      <c r="T271" s="11"/>
      <c r="U271" s="11"/>
      <c r="V271" s="11" t="s">
        <v>0</v>
      </c>
      <c r="W271" s="54">
        <v>893</v>
      </c>
      <c r="X271" s="11">
        <v>3</v>
      </c>
    </row>
    <row r="272" spans="1:24" ht="57.6" x14ac:dyDescent="0.3">
      <c r="A272" s="10">
        <v>7</v>
      </c>
      <c r="B272" s="11" t="s">
        <v>757</v>
      </c>
      <c r="C272" s="11"/>
      <c r="D272" s="11"/>
      <c r="E272" s="11" t="s">
        <v>759</v>
      </c>
      <c r="F272" s="11"/>
      <c r="G272" s="11" t="s">
        <v>58</v>
      </c>
      <c r="H272" s="11"/>
      <c r="I272" s="11" t="s">
        <v>435</v>
      </c>
      <c r="J272" s="11" t="s">
        <v>780</v>
      </c>
      <c r="K272" s="11"/>
      <c r="L272" s="11">
        <v>1980</v>
      </c>
      <c r="M272" s="11">
        <v>4</v>
      </c>
      <c r="N272" s="11">
        <v>1</v>
      </c>
      <c r="O272" s="11"/>
      <c r="P272" s="11">
        <v>840</v>
      </c>
      <c r="Q272" s="11"/>
      <c r="R272" s="11"/>
      <c r="S272" s="11" t="s">
        <v>437</v>
      </c>
      <c r="T272" s="11"/>
      <c r="U272" s="11"/>
      <c r="V272" s="11" t="s">
        <v>0</v>
      </c>
      <c r="W272" s="54">
        <v>4</v>
      </c>
      <c r="X272" s="11">
        <v>3</v>
      </c>
    </row>
    <row r="273" spans="1:24" ht="57.6" x14ac:dyDescent="0.3">
      <c r="A273" s="10">
        <v>7</v>
      </c>
      <c r="B273" s="11" t="s">
        <v>757</v>
      </c>
      <c r="C273" s="11"/>
      <c r="D273" s="11"/>
      <c r="E273" s="11" t="s">
        <v>759</v>
      </c>
      <c r="F273" s="11"/>
      <c r="G273" s="11" t="s">
        <v>58</v>
      </c>
      <c r="H273" s="11"/>
      <c r="I273" s="11" t="s">
        <v>435</v>
      </c>
      <c r="J273" s="11" t="s">
        <v>780</v>
      </c>
      <c r="K273" s="11"/>
      <c r="L273" s="11">
        <v>1980</v>
      </c>
      <c r="M273" s="11">
        <v>4</v>
      </c>
      <c r="N273" s="11">
        <v>1</v>
      </c>
      <c r="O273" s="11"/>
      <c r="P273" s="11">
        <v>840</v>
      </c>
      <c r="Q273" s="11"/>
      <c r="R273" s="11"/>
      <c r="S273" s="11" t="s">
        <v>30</v>
      </c>
      <c r="T273" s="11"/>
      <c r="U273" s="11"/>
      <c r="V273" s="11" t="s">
        <v>0</v>
      </c>
      <c r="W273" s="54">
        <v>192</v>
      </c>
      <c r="X273" s="11">
        <v>3</v>
      </c>
    </row>
    <row r="274" spans="1:24" ht="57.6" x14ac:dyDescent="0.3">
      <c r="A274" s="10">
        <v>7</v>
      </c>
      <c r="B274" s="11" t="s">
        <v>757</v>
      </c>
      <c r="C274" s="11"/>
      <c r="D274" s="11"/>
      <c r="E274" s="11" t="s">
        <v>759</v>
      </c>
      <c r="F274" s="11"/>
      <c r="G274" s="11" t="s">
        <v>58</v>
      </c>
      <c r="H274" s="11"/>
      <c r="I274" s="11" t="s">
        <v>70</v>
      </c>
      <c r="J274" s="11" t="s">
        <v>779</v>
      </c>
      <c r="K274" s="11"/>
      <c r="L274" s="11">
        <v>2000</v>
      </c>
      <c r="M274" s="11">
        <v>7</v>
      </c>
      <c r="N274" s="11">
        <v>1</v>
      </c>
      <c r="O274" s="11"/>
      <c r="P274" s="11">
        <v>2296</v>
      </c>
      <c r="Q274" s="11"/>
      <c r="R274" s="11"/>
      <c r="S274" s="11" t="s">
        <v>67</v>
      </c>
      <c r="T274" s="11"/>
      <c r="U274" s="11"/>
      <c r="V274" s="11" t="s">
        <v>0</v>
      </c>
      <c r="W274" s="54">
        <f>27+0.4</f>
        <v>27.4</v>
      </c>
      <c r="X274" s="11">
        <v>4</v>
      </c>
    </row>
    <row r="275" spans="1:24" ht="57.6" x14ac:dyDescent="0.3">
      <c r="A275" s="10">
        <v>7</v>
      </c>
      <c r="B275" s="11" t="s">
        <v>757</v>
      </c>
      <c r="C275" s="11"/>
      <c r="D275" s="11"/>
      <c r="E275" s="11" t="s">
        <v>759</v>
      </c>
      <c r="F275" s="11"/>
      <c r="G275" s="11" t="s">
        <v>58</v>
      </c>
      <c r="H275" s="11"/>
      <c r="I275" s="11" t="s">
        <v>70</v>
      </c>
      <c r="J275" s="11" t="s">
        <v>779</v>
      </c>
      <c r="K275" s="11"/>
      <c r="L275" s="11">
        <v>2000</v>
      </c>
      <c r="M275" s="11">
        <v>7</v>
      </c>
      <c r="N275" s="11">
        <v>1</v>
      </c>
      <c r="O275" s="11"/>
      <c r="P275" s="11">
        <v>2296</v>
      </c>
      <c r="Q275" s="11"/>
      <c r="R275" s="11"/>
      <c r="S275" s="11" t="s">
        <v>65</v>
      </c>
      <c r="T275" s="11"/>
      <c r="U275" s="11"/>
      <c r="V275" s="11" t="s">
        <v>0</v>
      </c>
      <c r="W275" s="54">
        <v>654</v>
      </c>
      <c r="X275" s="11">
        <v>4</v>
      </c>
    </row>
    <row r="276" spans="1:24" ht="57.6" x14ac:dyDescent="0.3">
      <c r="A276" s="10">
        <v>7</v>
      </c>
      <c r="B276" s="11" t="s">
        <v>757</v>
      </c>
      <c r="C276" s="11"/>
      <c r="D276" s="11"/>
      <c r="E276" s="11" t="s">
        <v>759</v>
      </c>
      <c r="F276" s="11"/>
      <c r="G276" s="11" t="s">
        <v>58</v>
      </c>
      <c r="H276" s="11"/>
      <c r="I276" s="11" t="s">
        <v>70</v>
      </c>
      <c r="J276" s="11" t="s">
        <v>779</v>
      </c>
      <c r="K276" s="11"/>
      <c r="L276" s="11">
        <v>2000</v>
      </c>
      <c r="M276" s="11">
        <v>7</v>
      </c>
      <c r="N276" s="11">
        <v>1</v>
      </c>
      <c r="O276" s="11"/>
      <c r="P276" s="11">
        <v>2296</v>
      </c>
      <c r="Q276" s="11"/>
      <c r="R276" s="11"/>
      <c r="S276" s="11" t="s">
        <v>437</v>
      </c>
      <c r="T276" s="11"/>
      <c r="U276" s="11"/>
      <c r="V276" s="11" t="s">
        <v>0</v>
      </c>
      <c r="W276" s="54">
        <v>2</v>
      </c>
      <c r="X276" s="11">
        <v>4</v>
      </c>
    </row>
    <row r="277" spans="1:24" ht="57.6" x14ac:dyDescent="0.3">
      <c r="A277" s="10">
        <v>7</v>
      </c>
      <c r="B277" s="11" t="s">
        <v>757</v>
      </c>
      <c r="C277" s="11"/>
      <c r="D277" s="11"/>
      <c r="E277" s="11" t="s">
        <v>759</v>
      </c>
      <c r="F277" s="11"/>
      <c r="G277" s="11" t="s">
        <v>58</v>
      </c>
      <c r="H277" s="11"/>
      <c r="I277" s="11" t="s">
        <v>70</v>
      </c>
      <c r="J277" s="11" t="s">
        <v>779</v>
      </c>
      <c r="K277" s="11"/>
      <c r="L277" s="11">
        <v>2000</v>
      </c>
      <c r="M277" s="11">
        <v>7</v>
      </c>
      <c r="N277" s="11">
        <v>1</v>
      </c>
      <c r="O277" s="11"/>
      <c r="P277" s="11">
        <v>2296</v>
      </c>
      <c r="Q277" s="11"/>
      <c r="R277" s="11"/>
      <c r="S277" s="11" t="s">
        <v>30</v>
      </c>
      <c r="T277" s="11"/>
      <c r="U277" s="11"/>
      <c r="V277" s="11" t="s">
        <v>0</v>
      </c>
      <c r="W277" s="54">
        <v>197</v>
      </c>
      <c r="X277" s="11">
        <v>4</v>
      </c>
    </row>
    <row r="278" spans="1:24" ht="386.4" x14ac:dyDescent="0.3">
      <c r="A278" s="11">
        <v>8</v>
      </c>
      <c r="B278" s="11" t="s">
        <v>756</v>
      </c>
      <c r="C278" s="11" t="s">
        <v>755</v>
      </c>
      <c r="D278" s="11"/>
      <c r="E278" s="11" t="s">
        <v>792</v>
      </c>
      <c r="F278" s="11"/>
      <c r="G278" s="11" t="s">
        <v>58</v>
      </c>
      <c r="H278" s="11"/>
      <c r="I278" s="11" t="s">
        <v>391</v>
      </c>
      <c r="J278" s="11" t="s">
        <v>793</v>
      </c>
      <c r="K278" s="11"/>
      <c r="L278" s="11">
        <v>1981</v>
      </c>
      <c r="M278" s="71" t="s">
        <v>796</v>
      </c>
      <c r="N278" s="11"/>
      <c r="O278" s="11"/>
      <c r="P278" s="11"/>
      <c r="Q278" s="11"/>
      <c r="R278" s="11"/>
      <c r="S278" s="11" t="s">
        <v>65</v>
      </c>
      <c r="T278" s="11"/>
      <c r="U278" s="11"/>
      <c r="V278" s="11" t="s">
        <v>0</v>
      </c>
      <c r="W278" s="54">
        <v>679</v>
      </c>
      <c r="X278" s="11">
        <v>1</v>
      </c>
    </row>
    <row r="279" spans="1:24" ht="28.8" x14ac:dyDescent="0.3">
      <c r="A279" s="11">
        <v>8</v>
      </c>
      <c r="B279" s="11" t="s">
        <v>758</v>
      </c>
      <c r="C279" s="11"/>
      <c r="D279" s="11"/>
      <c r="E279" s="11" t="s">
        <v>792</v>
      </c>
      <c r="F279" s="11"/>
      <c r="G279" s="11" t="s">
        <v>58</v>
      </c>
      <c r="H279" s="11"/>
      <c r="I279" s="11" t="s">
        <v>391</v>
      </c>
      <c r="J279" s="11" t="s">
        <v>793</v>
      </c>
      <c r="K279" s="11"/>
      <c r="L279" s="11">
        <v>1981</v>
      </c>
      <c r="M279" s="71" t="s">
        <v>796</v>
      </c>
      <c r="N279" s="11"/>
      <c r="O279" s="11"/>
      <c r="P279" s="11"/>
      <c r="Q279" s="11"/>
      <c r="R279" s="11"/>
      <c r="S279" s="11" t="s">
        <v>30</v>
      </c>
      <c r="T279" s="11"/>
      <c r="U279" s="11"/>
      <c r="V279" s="11" t="s">
        <v>0</v>
      </c>
      <c r="W279" s="54">
        <v>23</v>
      </c>
      <c r="X279" s="11">
        <v>1</v>
      </c>
    </row>
    <row r="280" spans="1:24" ht="28.8" x14ac:dyDescent="0.3">
      <c r="A280" s="11">
        <v>8</v>
      </c>
      <c r="B280" s="11" t="s">
        <v>758</v>
      </c>
      <c r="C280" s="11"/>
      <c r="D280" s="11"/>
      <c r="E280" s="11" t="s">
        <v>792</v>
      </c>
      <c r="F280" s="11"/>
      <c r="G280" s="11" t="s">
        <v>58</v>
      </c>
      <c r="H280" s="11"/>
      <c r="I280" s="11" t="s">
        <v>391</v>
      </c>
      <c r="J280" s="11" t="s">
        <v>793</v>
      </c>
      <c r="K280" s="11"/>
      <c r="L280" s="11">
        <v>1981</v>
      </c>
      <c r="M280" s="71" t="s">
        <v>796</v>
      </c>
      <c r="N280" s="11"/>
      <c r="O280" s="11"/>
      <c r="P280" s="11"/>
      <c r="Q280" s="11"/>
      <c r="R280" s="11"/>
      <c r="S280" s="11" t="s">
        <v>67</v>
      </c>
      <c r="T280" s="11"/>
      <c r="U280" s="11"/>
      <c r="V280" s="11" t="s">
        <v>0</v>
      </c>
      <c r="W280" s="54">
        <v>77</v>
      </c>
      <c r="X280" s="11">
        <v>1</v>
      </c>
    </row>
    <row r="281" spans="1:24" ht="28.8" x14ac:dyDescent="0.3">
      <c r="A281" s="11">
        <v>8</v>
      </c>
      <c r="B281" s="11" t="s">
        <v>758</v>
      </c>
      <c r="C281" s="11"/>
      <c r="D281" s="11"/>
      <c r="E281" s="11" t="s">
        <v>792</v>
      </c>
      <c r="F281" s="11"/>
      <c r="G281" s="11" t="s">
        <v>58</v>
      </c>
      <c r="H281" s="11"/>
      <c r="I281" s="11" t="s">
        <v>391</v>
      </c>
      <c r="J281" s="11" t="s">
        <v>793</v>
      </c>
      <c r="K281" s="11"/>
      <c r="L281" s="11">
        <v>1981</v>
      </c>
      <c r="M281" s="71" t="s">
        <v>796</v>
      </c>
      <c r="N281" s="11"/>
      <c r="O281" s="11"/>
      <c r="P281" s="11"/>
      <c r="Q281" s="11"/>
      <c r="R281" s="11"/>
      <c r="S281" s="11" t="s">
        <v>437</v>
      </c>
      <c r="T281" s="11"/>
      <c r="U281" s="11"/>
      <c r="V281" s="11" t="s">
        <v>0</v>
      </c>
      <c r="W281" s="54">
        <v>3</v>
      </c>
      <c r="X281" s="11">
        <v>1</v>
      </c>
    </row>
    <row r="282" spans="1:24" ht="28.8" x14ac:dyDescent="0.3">
      <c r="A282" s="11">
        <v>8</v>
      </c>
      <c r="B282" s="11" t="s">
        <v>758</v>
      </c>
      <c r="C282" s="11"/>
      <c r="D282" s="11"/>
      <c r="E282" s="11" t="s">
        <v>792</v>
      </c>
      <c r="F282" s="11"/>
      <c r="G282" s="11" t="s">
        <v>58</v>
      </c>
      <c r="H282" s="11"/>
      <c r="I282" s="11" t="s">
        <v>391</v>
      </c>
      <c r="J282" s="11" t="s">
        <v>793</v>
      </c>
      <c r="K282" s="11"/>
      <c r="L282" s="11">
        <v>1996</v>
      </c>
      <c r="M282" s="71" t="s">
        <v>796</v>
      </c>
      <c r="N282" s="11"/>
      <c r="O282" s="11"/>
      <c r="P282" s="11"/>
      <c r="Q282" s="11"/>
      <c r="R282" s="11"/>
      <c r="S282" s="11" t="s">
        <v>65</v>
      </c>
      <c r="T282" s="11"/>
      <c r="U282" s="11"/>
      <c r="V282" s="11" t="s">
        <v>0</v>
      </c>
      <c r="W282" s="54">
        <v>750</v>
      </c>
      <c r="X282" s="11">
        <v>1</v>
      </c>
    </row>
    <row r="283" spans="1:24" ht="28.8" x14ac:dyDescent="0.3">
      <c r="A283" s="11">
        <v>8</v>
      </c>
      <c r="B283" s="11" t="s">
        <v>758</v>
      </c>
      <c r="C283" s="11"/>
      <c r="D283" s="11"/>
      <c r="E283" s="11" t="s">
        <v>792</v>
      </c>
      <c r="F283" s="11"/>
      <c r="G283" s="11" t="s">
        <v>58</v>
      </c>
      <c r="H283" s="11"/>
      <c r="I283" s="11" t="s">
        <v>391</v>
      </c>
      <c r="J283" s="11" t="s">
        <v>793</v>
      </c>
      <c r="K283" s="11"/>
      <c r="L283" s="11">
        <v>1996</v>
      </c>
      <c r="M283" s="71" t="s">
        <v>796</v>
      </c>
      <c r="N283" s="11"/>
      <c r="O283" s="11"/>
      <c r="P283" s="11"/>
      <c r="Q283" s="11"/>
      <c r="R283" s="11"/>
      <c r="S283" s="11" t="s">
        <v>30</v>
      </c>
      <c r="T283" s="11"/>
      <c r="U283" s="11"/>
      <c r="V283" s="11" t="s">
        <v>0</v>
      </c>
      <c r="W283" s="54">
        <v>30</v>
      </c>
      <c r="X283" s="11">
        <v>1</v>
      </c>
    </row>
    <row r="284" spans="1:24" ht="28.8" x14ac:dyDescent="0.3">
      <c r="A284" s="11">
        <v>8</v>
      </c>
      <c r="B284" s="11" t="s">
        <v>758</v>
      </c>
      <c r="C284" s="11"/>
      <c r="D284" s="11"/>
      <c r="E284" s="11" t="s">
        <v>792</v>
      </c>
      <c r="F284" s="11"/>
      <c r="G284" s="11" t="s">
        <v>58</v>
      </c>
      <c r="H284" s="11"/>
      <c r="I284" s="11" t="s">
        <v>391</v>
      </c>
      <c r="J284" s="11" t="s">
        <v>793</v>
      </c>
      <c r="K284" s="11"/>
      <c r="L284" s="11">
        <v>1996</v>
      </c>
      <c r="M284" s="71" t="s">
        <v>796</v>
      </c>
      <c r="N284" s="11"/>
      <c r="O284" s="11"/>
      <c r="P284" s="11"/>
      <c r="Q284" s="11"/>
      <c r="R284" s="11"/>
      <c r="S284" s="11" t="s">
        <v>67</v>
      </c>
      <c r="T284" s="11"/>
      <c r="U284" s="11"/>
      <c r="V284" s="11" t="s">
        <v>0</v>
      </c>
      <c r="W284" s="54">
        <v>72</v>
      </c>
      <c r="X284" s="11">
        <v>1</v>
      </c>
    </row>
    <row r="285" spans="1:24" ht="28.8" x14ac:dyDescent="0.3">
      <c r="A285" s="11">
        <v>8</v>
      </c>
      <c r="B285" s="11" t="s">
        <v>758</v>
      </c>
      <c r="C285" s="11"/>
      <c r="D285" s="11"/>
      <c r="E285" s="11" t="s">
        <v>792</v>
      </c>
      <c r="F285" s="11"/>
      <c r="G285" s="11" t="s">
        <v>58</v>
      </c>
      <c r="H285" s="11"/>
      <c r="I285" s="11" t="s">
        <v>391</v>
      </c>
      <c r="J285" s="11" t="s">
        <v>793</v>
      </c>
      <c r="K285" s="11"/>
      <c r="L285" s="11">
        <v>1996</v>
      </c>
      <c r="M285" s="71" t="s">
        <v>796</v>
      </c>
      <c r="N285" s="11"/>
      <c r="O285" s="11"/>
      <c r="P285" s="11"/>
      <c r="Q285" s="11"/>
      <c r="R285" s="11"/>
      <c r="S285" s="11" t="s">
        <v>437</v>
      </c>
      <c r="T285" s="11"/>
      <c r="U285" s="11"/>
      <c r="V285" s="11" t="s">
        <v>0</v>
      </c>
      <c r="W285" s="54">
        <v>3</v>
      </c>
      <c r="X285" s="11">
        <v>1</v>
      </c>
    </row>
    <row r="286" spans="1:24" ht="28.8" x14ac:dyDescent="0.3">
      <c r="A286" s="11">
        <v>8</v>
      </c>
      <c r="B286" s="11" t="s">
        <v>758</v>
      </c>
      <c r="C286" s="11"/>
      <c r="D286" s="11"/>
      <c r="E286" s="11" t="s">
        <v>792</v>
      </c>
      <c r="F286" s="11"/>
      <c r="G286" s="11" t="s">
        <v>58</v>
      </c>
      <c r="H286" s="11"/>
      <c r="I286" s="11" t="s">
        <v>391</v>
      </c>
      <c r="J286" s="11" t="s">
        <v>793</v>
      </c>
      <c r="K286" s="11"/>
      <c r="L286" s="11">
        <v>2007</v>
      </c>
      <c r="M286" s="71" t="s">
        <v>796</v>
      </c>
      <c r="N286" s="11"/>
      <c r="O286" s="11"/>
      <c r="P286" s="11"/>
      <c r="Q286" s="11"/>
      <c r="R286" s="11"/>
      <c r="S286" s="11" t="s">
        <v>65</v>
      </c>
      <c r="T286" s="11"/>
      <c r="U286" s="11"/>
      <c r="V286" s="11" t="s">
        <v>0</v>
      </c>
      <c r="W286" s="54">
        <v>137</v>
      </c>
      <c r="X286" s="11">
        <v>1</v>
      </c>
    </row>
    <row r="287" spans="1:24" ht="28.8" x14ac:dyDescent="0.3">
      <c r="A287" s="11">
        <v>8</v>
      </c>
      <c r="B287" s="11" t="s">
        <v>758</v>
      </c>
      <c r="C287" s="11"/>
      <c r="D287" s="11"/>
      <c r="E287" s="11" t="s">
        <v>792</v>
      </c>
      <c r="F287" s="11"/>
      <c r="G287" s="11" t="s">
        <v>58</v>
      </c>
      <c r="H287" s="11"/>
      <c r="I287" s="11" t="s">
        <v>391</v>
      </c>
      <c r="J287" s="11" t="s">
        <v>793</v>
      </c>
      <c r="K287" s="11"/>
      <c r="L287" s="11">
        <v>2007</v>
      </c>
      <c r="M287" s="71" t="s">
        <v>796</v>
      </c>
      <c r="N287" s="11"/>
      <c r="O287" s="11"/>
      <c r="P287" s="11"/>
      <c r="Q287" s="11"/>
      <c r="R287" s="11"/>
      <c r="S287" s="11" t="s">
        <v>30</v>
      </c>
      <c r="T287" s="11"/>
      <c r="U287" s="11"/>
      <c r="V287" s="11" t="s">
        <v>0</v>
      </c>
      <c r="W287" s="54">
        <v>34</v>
      </c>
      <c r="X287" s="11">
        <v>1</v>
      </c>
    </row>
    <row r="288" spans="1:24" ht="28.8" x14ac:dyDescent="0.3">
      <c r="A288" s="11">
        <v>8</v>
      </c>
      <c r="B288" s="11" t="s">
        <v>758</v>
      </c>
      <c r="C288" s="11"/>
      <c r="D288" s="11"/>
      <c r="E288" s="11" t="s">
        <v>792</v>
      </c>
      <c r="F288" s="11"/>
      <c r="G288" s="11" t="s">
        <v>58</v>
      </c>
      <c r="H288" s="11"/>
      <c r="I288" s="11" t="s">
        <v>391</v>
      </c>
      <c r="J288" s="11" t="s">
        <v>793</v>
      </c>
      <c r="K288" s="11"/>
      <c r="L288" s="11">
        <v>2007</v>
      </c>
      <c r="M288" s="71" t="s">
        <v>796</v>
      </c>
      <c r="N288" s="11"/>
      <c r="O288" s="11"/>
      <c r="P288" s="11"/>
      <c r="Q288" s="11"/>
      <c r="R288" s="11"/>
      <c r="S288" s="11" t="s">
        <v>67</v>
      </c>
      <c r="T288" s="11"/>
      <c r="U288" s="11"/>
      <c r="V288" s="11" t="s">
        <v>0</v>
      </c>
      <c r="W288" s="54">
        <v>69</v>
      </c>
      <c r="X288" s="11">
        <v>1</v>
      </c>
    </row>
    <row r="289" spans="1:24" ht="28.8" x14ac:dyDescent="0.3">
      <c r="A289" s="11">
        <v>8</v>
      </c>
      <c r="B289" s="11" t="s">
        <v>758</v>
      </c>
      <c r="C289" s="11"/>
      <c r="D289" s="11"/>
      <c r="E289" s="11" t="s">
        <v>792</v>
      </c>
      <c r="F289" s="11"/>
      <c r="G289" s="11" t="s">
        <v>58</v>
      </c>
      <c r="H289" s="11"/>
      <c r="I289" s="11" t="s">
        <v>391</v>
      </c>
      <c r="J289" s="11" t="s">
        <v>793</v>
      </c>
      <c r="K289" s="11"/>
      <c r="L289" s="11">
        <v>2007</v>
      </c>
      <c r="M289" s="71" t="s">
        <v>796</v>
      </c>
      <c r="N289" s="11"/>
      <c r="O289" s="11"/>
      <c r="P289" s="11"/>
      <c r="Q289" s="11"/>
      <c r="R289" s="11"/>
      <c r="S289" s="11" t="s">
        <v>437</v>
      </c>
      <c r="T289" s="11"/>
      <c r="U289" s="11"/>
      <c r="V289" s="11" t="s">
        <v>0</v>
      </c>
      <c r="W289" s="54">
        <v>3</v>
      </c>
      <c r="X289" s="11">
        <v>1</v>
      </c>
    </row>
    <row r="290" spans="1:24" ht="28.8" x14ac:dyDescent="0.3">
      <c r="A290" s="11">
        <v>8</v>
      </c>
      <c r="B290" s="11" t="s">
        <v>758</v>
      </c>
      <c r="C290" s="11"/>
      <c r="D290" s="11"/>
      <c r="E290" s="11" t="s">
        <v>792</v>
      </c>
      <c r="F290" s="11"/>
      <c r="G290" s="11" t="s">
        <v>58</v>
      </c>
      <c r="H290" s="11"/>
      <c r="I290" s="11" t="s">
        <v>435</v>
      </c>
      <c r="J290" s="11" t="s">
        <v>795</v>
      </c>
      <c r="K290" s="11"/>
      <c r="L290" s="11">
        <v>1981</v>
      </c>
      <c r="M290" s="11" t="s">
        <v>797</v>
      </c>
      <c r="N290" s="11"/>
      <c r="O290" s="11"/>
      <c r="P290" s="11"/>
      <c r="Q290" s="11"/>
      <c r="R290" s="11"/>
      <c r="S290" s="11" t="s">
        <v>65</v>
      </c>
      <c r="T290" s="11"/>
      <c r="U290" s="11"/>
      <c r="V290" s="11" t="s">
        <v>0</v>
      </c>
      <c r="W290" s="54">
        <v>1010</v>
      </c>
      <c r="X290" s="11">
        <v>3</v>
      </c>
    </row>
    <row r="291" spans="1:24" ht="28.8" x14ac:dyDescent="0.3">
      <c r="A291" s="11">
        <v>8</v>
      </c>
      <c r="B291" s="11" t="s">
        <v>758</v>
      </c>
      <c r="C291" s="11"/>
      <c r="D291" s="11"/>
      <c r="E291" s="11" t="s">
        <v>792</v>
      </c>
      <c r="F291" s="11"/>
      <c r="G291" s="11" t="s">
        <v>58</v>
      </c>
      <c r="H291" s="11"/>
      <c r="I291" s="11" t="s">
        <v>435</v>
      </c>
      <c r="J291" s="11" t="s">
        <v>795</v>
      </c>
      <c r="K291" s="11"/>
      <c r="L291" s="11">
        <v>1981</v>
      </c>
      <c r="M291" s="11" t="s">
        <v>797</v>
      </c>
      <c r="N291" s="11"/>
      <c r="O291" s="11"/>
      <c r="P291" s="11"/>
      <c r="Q291" s="11"/>
      <c r="R291" s="11"/>
      <c r="S291" s="11" t="s">
        <v>30</v>
      </c>
      <c r="T291" s="11"/>
      <c r="U291" s="11"/>
      <c r="V291" s="11" t="s">
        <v>0</v>
      </c>
      <c r="W291" s="54">
        <v>37</v>
      </c>
      <c r="X291" s="11">
        <v>3</v>
      </c>
    </row>
    <row r="292" spans="1:24" ht="28.8" x14ac:dyDescent="0.3">
      <c r="A292" s="11">
        <v>8</v>
      </c>
      <c r="B292" s="11" t="s">
        <v>758</v>
      </c>
      <c r="C292" s="11"/>
      <c r="D292" s="11"/>
      <c r="E292" s="11" t="s">
        <v>792</v>
      </c>
      <c r="F292" s="11"/>
      <c r="G292" s="11" t="s">
        <v>58</v>
      </c>
      <c r="H292" s="11"/>
      <c r="I292" s="11" t="s">
        <v>435</v>
      </c>
      <c r="J292" s="11" t="s">
        <v>795</v>
      </c>
      <c r="K292" s="11"/>
      <c r="L292" s="11">
        <v>1981</v>
      </c>
      <c r="M292" s="11" t="s">
        <v>797</v>
      </c>
      <c r="N292" s="11"/>
      <c r="O292" s="11"/>
      <c r="P292" s="11"/>
      <c r="Q292" s="11"/>
      <c r="R292" s="11"/>
      <c r="S292" s="11" t="s">
        <v>67</v>
      </c>
      <c r="T292" s="11"/>
      <c r="U292" s="11"/>
      <c r="V292" s="11" t="s">
        <v>0</v>
      </c>
      <c r="W292" s="54">
        <v>112</v>
      </c>
      <c r="X292" s="11">
        <v>3</v>
      </c>
    </row>
    <row r="293" spans="1:24" ht="28.8" x14ac:dyDescent="0.3">
      <c r="A293" s="11">
        <v>8</v>
      </c>
      <c r="B293" s="11" t="s">
        <v>758</v>
      </c>
      <c r="C293" s="11"/>
      <c r="D293" s="11"/>
      <c r="E293" s="11" t="s">
        <v>792</v>
      </c>
      <c r="F293" s="11"/>
      <c r="G293" s="11" t="s">
        <v>58</v>
      </c>
      <c r="H293" s="11"/>
      <c r="I293" s="11" t="s">
        <v>435</v>
      </c>
      <c r="J293" s="11" t="s">
        <v>795</v>
      </c>
      <c r="K293" s="11"/>
      <c r="L293" s="11">
        <v>1981</v>
      </c>
      <c r="M293" s="11" t="s">
        <v>797</v>
      </c>
      <c r="N293" s="11"/>
      <c r="O293" s="11"/>
      <c r="P293" s="11"/>
      <c r="Q293" s="11"/>
      <c r="R293" s="11"/>
      <c r="S293" s="11" t="s">
        <v>437</v>
      </c>
      <c r="T293" s="11"/>
      <c r="U293" s="11"/>
      <c r="V293" s="11" t="s">
        <v>0</v>
      </c>
      <c r="W293" s="54">
        <v>4</v>
      </c>
      <c r="X293" s="11">
        <v>3</v>
      </c>
    </row>
    <row r="294" spans="1:24" ht="28.8" x14ac:dyDescent="0.3">
      <c r="A294" s="11">
        <v>8</v>
      </c>
      <c r="B294" s="11" t="s">
        <v>758</v>
      </c>
      <c r="C294" s="11"/>
      <c r="D294" s="11"/>
      <c r="E294" s="11" t="s">
        <v>792</v>
      </c>
      <c r="F294" s="11"/>
      <c r="G294" s="11" t="s">
        <v>58</v>
      </c>
      <c r="H294" s="11"/>
      <c r="I294" s="11" t="s">
        <v>435</v>
      </c>
      <c r="J294" s="11" t="s">
        <v>795</v>
      </c>
      <c r="K294" s="11"/>
      <c r="L294" s="11">
        <v>1969</v>
      </c>
      <c r="M294" s="11" t="s">
        <v>797</v>
      </c>
      <c r="N294" s="11"/>
      <c r="O294" s="11"/>
      <c r="P294" s="11"/>
      <c r="Q294" s="11"/>
      <c r="R294" s="11"/>
      <c r="S294" s="11" t="s">
        <v>65</v>
      </c>
      <c r="T294" s="11"/>
      <c r="U294" s="11"/>
      <c r="V294" s="11" t="s">
        <v>0</v>
      </c>
      <c r="W294" s="54">
        <v>1148</v>
      </c>
      <c r="X294" s="11">
        <v>3</v>
      </c>
    </row>
    <row r="295" spans="1:24" ht="28.8" x14ac:dyDescent="0.3">
      <c r="A295" s="11">
        <v>8</v>
      </c>
      <c r="B295" s="11" t="s">
        <v>758</v>
      </c>
      <c r="C295" s="11"/>
      <c r="D295" s="11"/>
      <c r="E295" s="11" t="s">
        <v>792</v>
      </c>
      <c r="F295" s="11"/>
      <c r="G295" s="11" t="s">
        <v>58</v>
      </c>
      <c r="H295" s="11"/>
      <c r="I295" s="11" t="s">
        <v>435</v>
      </c>
      <c r="J295" s="11" t="s">
        <v>795</v>
      </c>
      <c r="K295" s="11"/>
      <c r="L295" s="11">
        <v>1969</v>
      </c>
      <c r="M295" s="11" t="s">
        <v>797</v>
      </c>
      <c r="N295" s="11"/>
      <c r="O295" s="11"/>
      <c r="P295" s="11"/>
      <c r="Q295" s="11"/>
      <c r="R295" s="11"/>
      <c r="S295" s="11" t="s">
        <v>30</v>
      </c>
      <c r="T295" s="11"/>
      <c r="U295" s="11"/>
      <c r="V295" s="11" t="s">
        <v>0</v>
      </c>
      <c r="W295" s="54">
        <v>49</v>
      </c>
      <c r="X295" s="11">
        <v>3</v>
      </c>
    </row>
    <row r="296" spans="1:24" ht="28.8" x14ac:dyDescent="0.3">
      <c r="A296" s="11">
        <v>8</v>
      </c>
      <c r="B296" s="11" t="s">
        <v>758</v>
      </c>
      <c r="C296" s="11"/>
      <c r="D296" s="11"/>
      <c r="E296" s="11" t="s">
        <v>792</v>
      </c>
      <c r="F296" s="11"/>
      <c r="G296" s="11" t="s">
        <v>58</v>
      </c>
      <c r="H296" s="11"/>
      <c r="I296" s="11" t="s">
        <v>435</v>
      </c>
      <c r="J296" s="11" t="s">
        <v>795</v>
      </c>
      <c r="K296" s="11"/>
      <c r="L296" s="11">
        <v>1969</v>
      </c>
      <c r="M296" s="11" t="s">
        <v>797</v>
      </c>
      <c r="N296" s="11"/>
      <c r="O296" s="11"/>
      <c r="P296" s="11"/>
      <c r="Q296" s="11"/>
      <c r="R296" s="11"/>
      <c r="S296" s="11" t="s">
        <v>67</v>
      </c>
      <c r="T296" s="11"/>
      <c r="U296" s="11"/>
      <c r="V296" s="11" t="s">
        <v>0</v>
      </c>
      <c r="W296" s="54">
        <v>102</v>
      </c>
      <c r="X296" s="11">
        <v>3</v>
      </c>
    </row>
    <row r="297" spans="1:24" ht="28.8" x14ac:dyDescent="0.3">
      <c r="A297" s="11">
        <v>8</v>
      </c>
      <c r="B297" s="11" t="s">
        <v>758</v>
      </c>
      <c r="C297" s="11"/>
      <c r="D297" s="11"/>
      <c r="E297" s="11" t="s">
        <v>792</v>
      </c>
      <c r="F297" s="11"/>
      <c r="G297" s="11" t="s">
        <v>58</v>
      </c>
      <c r="H297" s="11"/>
      <c r="I297" s="11" t="s">
        <v>435</v>
      </c>
      <c r="J297" s="11" t="s">
        <v>795</v>
      </c>
      <c r="K297" s="11"/>
      <c r="L297" s="11">
        <v>1969</v>
      </c>
      <c r="M297" s="11" t="s">
        <v>797</v>
      </c>
      <c r="N297" s="11"/>
      <c r="O297" s="11"/>
      <c r="P297" s="11"/>
      <c r="Q297" s="11"/>
      <c r="R297" s="11"/>
      <c r="S297" s="11" t="s">
        <v>437</v>
      </c>
      <c r="T297" s="11"/>
      <c r="U297" s="11"/>
      <c r="V297" s="11" t="s">
        <v>0</v>
      </c>
      <c r="W297" s="54">
        <v>5</v>
      </c>
      <c r="X297" s="11">
        <v>3</v>
      </c>
    </row>
    <row r="298" spans="1:24" ht="28.8" x14ac:dyDescent="0.3">
      <c r="A298" s="11">
        <v>8</v>
      </c>
      <c r="B298" s="11" t="s">
        <v>758</v>
      </c>
      <c r="C298" s="11"/>
      <c r="D298" s="11"/>
      <c r="E298" s="11" t="s">
        <v>792</v>
      </c>
      <c r="F298" s="11"/>
      <c r="G298" s="11" t="s">
        <v>58</v>
      </c>
      <c r="H298" s="11"/>
      <c r="I298" s="11" t="s">
        <v>435</v>
      </c>
      <c r="J298" s="11" t="s">
        <v>795</v>
      </c>
      <c r="K298" s="11"/>
      <c r="L298" s="11">
        <v>2007</v>
      </c>
      <c r="M298" s="11" t="s">
        <v>797</v>
      </c>
      <c r="N298" s="11"/>
      <c r="O298" s="11"/>
      <c r="P298" s="11"/>
      <c r="Q298" s="11"/>
      <c r="R298" s="11"/>
      <c r="S298" s="11" t="s">
        <v>65</v>
      </c>
      <c r="T298" s="11"/>
      <c r="U298" s="11"/>
      <c r="V298" s="11" t="s">
        <v>0</v>
      </c>
      <c r="W298" s="54">
        <v>1181</v>
      </c>
      <c r="X298" s="11">
        <v>3</v>
      </c>
    </row>
    <row r="299" spans="1:24" ht="28.8" x14ac:dyDescent="0.3">
      <c r="A299" s="11">
        <v>8</v>
      </c>
      <c r="B299" s="11" t="s">
        <v>758</v>
      </c>
      <c r="C299" s="11"/>
      <c r="D299" s="11"/>
      <c r="E299" s="11" t="s">
        <v>792</v>
      </c>
      <c r="F299" s="11"/>
      <c r="G299" s="11" t="s">
        <v>58</v>
      </c>
      <c r="H299" s="11"/>
      <c r="I299" s="11" t="s">
        <v>435</v>
      </c>
      <c r="J299" s="11" t="s">
        <v>795</v>
      </c>
      <c r="K299" s="11"/>
      <c r="L299" s="11">
        <v>2007</v>
      </c>
      <c r="M299" s="11" t="s">
        <v>797</v>
      </c>
      <c r="N299" s="11"/>
      <c r="O299" s="11"/>
      <c r="P299" s="11"/>
      <c r="Q299" s="11"/>
      <c r="R299" s="11"/>
      <c r="S299" s="11" t="s">
        <v>30</v>
      </c>
      <c r="T299" s="11"/>
      <c r="U299" s="11"/>
      <c r="V299" s="11" t="s">
        <v>0</v>
      </c>
      <c r="W299" s="54">
        <v>56</v>
      </c>
      <c r="X299" s="11">
        <v>3</v>
      </c>
    </row>
    <row r="300" spans="1:24" ht="28.8" x14ac:dyDescent="0.3">
      <c r="A300" s="11">
        <v>8</v>
      </c>
      <c r="B300" s="11" t="s">
        <v>758</v>
      </c>
      <c r="C300" s="11"/>
      <c r="D300" s="11"/>
      <c r="E300" s="11" t="s">
        <v>792</v>
      </c>
      <c r="F300" s="11"/>
      <c r="G300" s="11" t="s">
        <v>58</v>
      </c>
      <c r="H300" s="11"/>
      <c r="I300" s="11" t="s">
        <v>435</v>
      </c>
      <c r="J300" s="11" t="s">
        <v>795</v>
      </c>
      <c r="K300" s="11"/>
      <c r="L300" s="11">
        <v>2007</v>
      </c>
      <c r="M300" s="11" t="s">
        <v>797</v>
      </c>
      <c r="N300" s="11"/>
      <c r="O300" s="11"/>
      <c r="P300" s="11"/>
      <c r="Q300" s="11"/>
      <c r="R300" s="11"/>
      <c r="S300" s="11" t="s">
        <v>67</v>
      </c>
      <c r="T300" s="11"/>
      <c r="U300" s="11"/>
      <c r="V300" s="11" t="s">
        <v>0</v>
      </c>
      <c r="W300" s="54">
        <v>92</v>
      </c>
      <c r="X300" s="11">
        <v>3</v>
      </c>
    </row>
    <row r="301" spans="1:24" ht="28.8" x14ac:dyDescent="0.3">
      <c r="A301" s="11">
        <v>8</v>
      </c>
      <c r="B301" s="11" t="s">
        <v>758</v>
      </c>
      <c r="C301" s="11"/>
      <c r="D301" s="11"/>
      <c r="E301" s="11" t="s">
        <v>792</v>
      </c>
      <c r="F301" s="11"/>
      <c r="G301" s="11" t="s">
        <v>58</v>
      </c>
      <c r="H301" s="11"/>
      <c r="I301" s="11" t="s">
        <v>435</v>
      </c>
      <c r="J301" s="11" t="s">
        <v>795</v>
      </c>
      <c r="K301" s="11"/>
      <c r="L301" s="11">
        <v>2007</v>
      </c>
      <c r="M301" s="11" t="s">
        <v>797</v>
      </c>
      <c r="N301" s="11"/>
      <c r="O301" s="11"/>
      <c r="P301" s="11"/>
      <c r="Q301" s="11"/>
      <c r="R301" s="11"/>
      <c r="S301" s="11" t="s">
        <v>437</v>
      </c>
      <c r="T301" s="11"/>
      <c r="U301" s="11"/>
      <c r="V301" s="11" t="s">
        <v>0</v>
      </c>
      <c r="W301" s="54">
        <v>5</v>
      </c>
      <c r="X301" s="11">
        <v>3</v>
      </c>
    </row>
    <row r="302" spans="1:24" ht="28.8" x14ac:dyDescent="0.3">
      <c r="A302" s="11">
        <v>8</v>
      </c>
      <c r="B302" s="11" t="s">
        <v>758</v>
      </c>
      <c r="C302" s="11"/>
      <c r="D302" s="11"/>
      <c r="E302" s="11" t="s">
        <v>792</v>
      </c>
      <c r="F302" s="11"/>
      <c r="G302" s="11" t="s">
        <v>58</v>
      </c>
      <c r="H302" s="11"/>
      <c r="I302" s="11" t="s">
        <v>70</v>
      </c>
      <c r="J302" s="11" t="s">
        <v>794</v>
      </c>
      <c r="K302" s="11"/>
      <c r="L302" s="11">
        <v>1981</v>
      </c>
      <c r="M302" s="11" t="s">
        <v>798</v>
      </c>
      <c r="N302" s="11"/>
      <c r="O302" s="11"/>
      <c r="P302" s="11"/>
      <c r="Q302" s="11"/>
      <c r="R302" s="11"/>
      <c r="S302" s="11" t="s">
        <v>65</v>
      </c>
      <c r="T302" s="11"/>
      <c r="U302" s="11"/>
      <c r="V302" s="11" t="s">
        <v>0</v>
      </c>
      <c r="W302" s="54">
        <v>766</v>
      </c>
      <c r="X302" s="11">
        <v>4</v>
      </c>
    </row>
    <row r="303" spans="1:24" ht="28.8" x14ac:dyDescent="0.3">
      <c r="A303" s="11">
        <v>8</v>
      </c>
      <c r="B303" s="11" t="s">
        <v>758</v>
      </c>
      <c r="C303" s="11"/>
      <c r="D303" s="11"/>
      <c r="E303" s="11" t="s">
        <v>792</v>
      </c>
      <c r="F303" s="11"/>
      <c r="G303" s="11" t="s">
        <v>58</v>
      </c>
      <c r="H303" s="11"/>
      <c r="I303" s="11" t="s">
        <v>70</v>
      </c>
      <c r="J303" s="11" t="s">
        <v>794</v>
      </c>
      <c r="K303" s="11"/>
      <c r="L303" s="11">
        <v>1981</v>
      </c>
      <c r="M303" s="11" t="s">
        <v>798</v>
      </c>
      <c r="N303" s="11"/>
      <c r="O303" s="11"/>
      <c r="P303" s="11"/>
      <c r="Q303" s="11"/>
      <c r="R303" s="11"/>
      <c r="S303" s="11" t="s">
        <v>30</v>
      </c>
      <c r="T303" s="11"/>
      <c r="U303" s="11"/>
      <c r="V303" s="11" t="s">
        <v>0</v>
      </c>
      <c r="W303" s="54">
        <v>104</v>
      </c>
      <c r="X303" s="11">
        <v>4</v>
      </c>
    </row>
    <row r="304" spans="1:24" ht="28.8" x14ac:dyDescent="0.3">
      <c r="A304" s="11">
        <v>8</v>
      </c>
      <c r="B304" s="11" t="s">
        <v>758</v>
      </c>
      <c r="C304" s="11"/>
      <c r="D304" s="11"/>
      <c r="E304" s="11" t="s">
        <v>792</v>
      </c>
      <c r="F304" s="11"/>
      <c r="G304" s="11" t="s">
        <v>58</v>
      </c>
      <c r="H304" s="11"/>
      <c r="I304" s="11" t="s">
        <v>70</v>
      </c>
      <c r="J304" s="11" t="s">
        <v>794</v>
      </c>
      <c r="K304" s="11"/>
      <c r="L304" s="11">
        <v>1981</v>
      </c>
      <c r="M304" s="11" t="s">
        <v>798</v>
      </c>
      <c r="N304" s="11"/>
      <c r="O304" s="11"/>
      <c r="P304" s="11"/>
      <c r="Q304" s="11"/>
      <c r="R304" s="11"/>
      <c r="S304" s="11" t="s">
        <v>67</v>
      </c>
      <c r="T304" s="11"/>
      <c r="U304" s="11"/>
      <c r="V304" s="11" t="s">
        <v>0</v>
      </c>
      <c r="W304" s="54">
        <v>136</v>
      </c>
      <c r="X304" s="11">
        <v>4</v>
      </c>
    </row>
    <row r="305" spans="1:24" ht="28.8" x14ac:dyDescent="0.3">
      <c r="A305" s="11">
        <v>8</v>
      </c>
      <c r="B305" s="11" t="s">
        <v>758</v>
      </c>
      <c r="C305" s="11"/>
      <c r="D305" s="11"/>
      <c r="E305" s="11" t="s">
        <v>792</v>
      </c>
      <c r="F305" s="11"/>
      <c r="G305" s="11" t="s">
        <v>58</v>
      </c>
      <c r="H305" s="11"/>
      <c r="I305" s="11" t="s">
        <v>70</v>
      </c>
      <c r="J305" s="11" t="s">
        <v>794</v>
      </c>
      <c r="K305" s="11"/>
      <c r="L305" s="11">
        <v>1981</v>
      </c>
      <c r="M305" s="11" t="s">
        <v>798</v>
      </c>
      <c r="N305" s="11"/>
      <c r="O305" s="11"/>
      <c r="P305" s="11"/>
      <c r="Q305" s="11"/>
      <c r="R305" s="11"/>
      <c r="S305" s="11" t="s">
        <v>437</v>
      </c>
      <c r="T305" s="11"/>
      <c r="U305" s="11"/>
      <c r="V305" s="11" t="s">
        <v>0</v>
      </c>
      <c r="W305" s="54">
        <v>8</v>
      </c>
      <c r="X305" s="11">
        <v>4</v>
      </c>
    </row>
    <row r="306" spans="1:24" ht="28.8" x14ac:dyDescent="0.3">
      <c r="A306" s="11">
        <v>8</v>
      </c>
      <c r="B306" s="11" t="s">
        <v>758</v>
      </c>
      <c r="C306" s="11"/>
      <c r="D306" s="11"/>
      <c r="E306" s="11" t="s">
        <v>792</v>
      </c>
      <c r="F306" s="11"/>
      <c r="G306" s="11" t="s">
        <v>58</v>
      </c>
      <c r="H306" s="11"/>
      <c r="I306" s="11" t="s">
        <v>70</v>
      </c>
      <c r="J306" s="11" t="s">
        <v>794</v>
      </c>
      <c r="K306" s="11"/>
      <c r="L306" s="11">
        <v>1969</v>
      </c>
      <c r="M306" s="11" t="s">
        <v>798</v>
      </c>
      <c r="N306" s="11"/>
      <c r="O306" s="11"/>
      <c r="P306" s="11"/>
      <c r="Q306" s="11"/>
      <c r="R306" s="11"/>
      <c r="S306" s="11" t="s">
        <v>65</v>
      </c>
      <c r="T306" s="11"/>
      <c r="U306" s="11"/>
      <c r="V306" s="11" t="s">
        <v>0</v>
      </c>
      <c r="W306" s="54">
        <v>966</v>
      </c>
      <c r="X306" s="11">
        <v>4</v>
      </c>
    </row>
    <row r="307" spans="1:24" ht="28.8" x14ac:dyDescent="0.3">
      <c r="A307" s="11">
        <v>8</v>
      </c>
      <c r="B307" s="11" t="s">
        <v>758</v>
      </c>
      <c r="C307" s="11"/>
      <c r="D307" s="11"/>
      <c r="E307" s="11" t="s">
        <v>792</v>
      </c>
      <c r="F307" s="11"/>
      <c r="G307" s="11" t="s">
        <v>58</v>
      </c>
      <c r="H307" s="11"/>
      <c r="I307" s="11" t="s">
        <v>70</v>
      </c>
      <c r="J307" s="11" t="s">
        <v>794</v>
      </c>
      <c r="K307" s="11"/>
      <c r="L307" s="11">
        <v>1969</v>
      </c>
      <c r="M307" s="11" t="s">
        <v>798</v>
      </c>
      <c r="N307" s="11"/>
      <c r="O307" s="11"/>
      <c r="P307" s="11"/>
      <c r="Q307" s="11"/>
      <c r="R307" s="11"/>
      <c r="S307" s="11" t="s">
        <v>30</v>
      </c>
      <c r="T307" s="11"/>
      <c r="U307" s="11"/>
      <c r="V307" s="11" t="s">
        <v>0</v>
      </c>
      <c r="W307" s="54">
        <v>120</v>
      </c>
      <c r="X307" s="11">
        <v>4</v>
      </c>
    </row>
    <row r="308" spans="1:24" ht="28.8" x14ac:dyDescent="0.3">
      <c r="A308" s="11">
        <v>8</v>
      </c>
      <c r="B308" s="11" t="s">
        <v>758</v>
      </c>
      <c r="C308" s="11"/>
      <c r="D308" s="11"/>
      <c r="E308" s="11" t="s">
        <v>792</v>
      </c>
      <c r="F308" s="11"/>
      <c r="G308" s="11" t="s">
        <v>58</v>
      </c>
      <c r="H308" s="11"/>
      <c r="I308" s="11" t="s">
        <v>70</v>
      </c>
      <c r="J308" s="11" t="s">
        <v>794</v>
      </c>
      <c r="K308" s="11"/>
      <c r="L308" s="11">
        <v>1969</v>
      </c>
      <c r="M308" s="11" t="s">
        <v>798</v>
      </c>
      <c r="N308" s="11"/>
      <c r="O308" s="11"/>
      <c r="P308" s="11"/>
      <c r="Q308" s="11"/>
      <c r="R308" s="11"/>
      <c r="S308" s="11" t="s">
        <v>67</v>
      </c>
      <c r="T308" s="11"/>
      <c r="U308" s="11"/>
      <c r="V308" s="11" t="s">
        <v>0</v>
      </c>
      <c r="W308" s="54">
        <v>123</v>
      </c>
      <c r="X308" s="11">
        <v>4</v>
      </c>
    </row>
    <row r="309" spans="1:24" ht="28.8" x14ac:dyDescent="0.3">
      <c r="A309" s="11">
        <v>8</v>
      </c>
      <c r="B309" s="11" t="s">
        <v>758</v>
      </c>
      <c r="C309" s="11"/>
      <c r="D309" s="11"/>
      <c r="E309" s="11" t="s">
        <v>792</v>
      </c>
      <c r="F309" s="11"/>
      <c r="G309" s="11" t="s">
        <v>58</v>
      </c>
      <c r="H309" s="11"/>
      <c r="I309" s="11" t="s">
        <v>70</v>
      </c>
      <c r="J309" s="11" t="s">
        <v>794</v>
      </c>
      <c r="K309" s="11"/>
      <c r="L309" s="11">
        <v>1969</v>
      </c>
      <c r="M309" s="11" t="s">
        <v>798</v>
      </c>
      <c r="N309" s="11"/>
      <c r="O309" s="11"/>
      <c r="P309" s="11"/>
      <c r="Q309" s="11"/>
      <c r="R309" s="11"/>
      <c r="S309" s="11" t="s">
        <v>437</v>
      </c>
      <c r="T309" s="11"/>
      <c r="U309" s="11"/>
      <c r="V309" s="11" t="s">
        <v>0</v>
      </c>
      <c r="W309" s="54">
        <v>8</v>
      </c>
      <c r="X309" s="11">
        <v>4</v>
      </c>
    </row>
    <row r="310" spans="1:24" ht="28.8" x14ac:dyDescent="0.3">
      <c r="A310" s="11">
        <v>8</v>
      </c>
      <c r="B310" s="11" t="s">
        <v>758</v>
      </c>
      <c r="C310" s="11"/>
      <c r="D310" s="11"/>
      <c r="E310" s="11" t="s">
        <v>792</v>
      </c>
      <c r="F310" s="11"/>
      <c r="G310" s="11" t="s">
        <v>58</v>
      </c>
      <c r="H310" s="11"/>
      <c r="I310" s="11" t="s">
        <v>70</v>
      </c>
      <c r="J310" s="11" t="s">
        <v>794</v>
      </c>
      <c r="K310" s="11"/>
      <c r="L310" s="11">
        <v>2007</v>
      </c>
      <c r="M310" s="11" t="s">
        <v>798</v>
      </c>
      <c r="N310" s="11"/>
      <c r="O310" s="11"/>
      <c r="P310" s="11"/>
      <c r="Q310" s="11"/>
      <c r="R310" s="11"/>
      <c r="S310" s="11" t="s">
        <v>65</v>
      </c>
      <c r="T310" s="11"/>
      <c r="U310" s="11"/>
      <c r="V310" s="11" t="s">
        <v>0</v>
      </c>
      <c r="W310" s="54">
        <v>1126</v>
      </c>
      <c r="X310" s="11">
        <v>4</v>
      </c>
    </row>
    <row r="311" spans="1:24" ht="28.8" x14ac:dyDescent="0.3">
      <c r="A311" s="11">
        <v>8</v>
      </c>
      <c r="B311" s="11" t="s">
        <v>758</v>
      </c>
      <c r="C311" s="11"/>
      <c r="D311" s="11"/>
      <c r="E311" s="11" t="s">
        <v>792</v>
      </c>
      <c r="F311" s="11"/>
      <c r="G311" s="11" t="s">
        <v>58</v>
      </c>
      <c r="H311" s="11"/>
      <c r="I311" s="11" t="s">
        <v>70</v>
      </c>
      <c r="J311" s="11" t="s">
        <v>794</v>
      </c>
      <c r="K311" s="11"/>
      <c r="L311" s="11">
        <v>2007</v>
      </c>
      <c r="M311" s="11" t="s">
        <v>798</v>
      </c>
      <c r="N311" s="11"/>
      <c r="O311" s="11"/>
      <c r="P311" s="11"/>
      <c r="Q311" s="11"/>
      <c r="R311" s="11"/>
      <c r="S311" s="11" t="s">
        <v>30</v>
      </c>
      <c r="T311" s="11"/>
      <c r="U311" s="11"/>
      <c r="V311" s="11" t="s">
        <v>0</v>
      </c>
      <c r="W311" s="54">
        <v>133</v>
      </c>
      <c r="X311" s="11">
        <v>4</v>
      </c>
    </row>
    <row r="312" spans="1:24" ht="28.8" x14ac:dyDescent="0.3">
      <c r="A312" s="11">
        <v>8</v>
      </c>
      <c r="B312" s="11" t="s">
        <v>758</v>
      </c>
      <c r="C312" s="11"/>
      <c r="D312" s="11"/>
      <c r="E312" s="11" t="s">
        <v>792</v>
      </c>
      <c r="F312" s="11"/>
      <c r="G312" s="11" t="s">
        <v>58</v>
      </c>
      <c r="H312" s="11"/>
      <c r="I312" s="11" t="s">
        <v>70</v>
      </c>
      <c r="J312" s="11" t="s">
        <v>794</v>
      </c>
      <c r="K312" s="11"/>
      <c r="L312" s="11">
        <v>2007</v>
      </c>
      <c r="M312" s="11" t="s">
        <v>798</v>
      </c>
      <c r="N312" s="11"/>
      <c r="O312" s="11"/>
      <c r="P312" s="11"/>
      <c r="Q312" s="11"/>
      <c r="R312" s="11"/>
      <c r="S312" s="11" t="s">
        <v>67</v>
      </c>
      <c r="T312" s="11"/>
      <c r="U312" s="11"/>
      <c r="V312" s="11" t="s">
        <v>0</v>
      </c>
      <c r="W312" s="54">
        <v>123</v>
      </c>
      <c r="X312" s="11">
        <v>4</v>
      </c>
    </row>
    <row r="313" spans="1:24" ht="28.8" x14ac:dyDescent="0.3">
      <c r="A313" s="11">
        <v>8</v>
      </c>
      <c r="B313" s="11" t="s">
        <v>758</v>
      </c>
      <c r="C313" s="11"/>
      <c r="D313" s="11"/>
      <c r="E313" s="11" t="s">
        <v>792</v>
      </c>
      <c r="F313" s="11"/>
      <c r="G313" s="11" t="s">
        <v>58</v>
      </c>
      <c r="H313" s="11"/>
      <c r="I313" s="11" t="s">
        <v>70</v>
      </c>
      <c r="J313" s="11" t="s">
        <v>794</v>
      </c>
      <c r="K313" s="11"/>
      <c r="L313" s="11">
        <v>2007</v>
      </c>
      <c r="M313" s="11" t="s">
        <v>798</v>
      </c>
      <c r="N313" s="11"/>
      <c r="O313" s="11"/>
      <c r="P313" s="11"/>
      <c r="Q313" s="11"/>
      <c r="R313" s="11"/>
      <c r="S313" s="11" t="s">
        <v>437</v>
      </c>
      <c r="T313" s="11"/>
      <c r="U313" s="11"/>
      <c r="V313" s="11" t="s">
        <v>0</v>
      </c>
      <c r="W313" s="54">
        <v>9</v>
      </c>
      <c r="X313" s="11">
        <v>4</v>
      </c>
    </row>
    <row r="314" spans="1:24" ht="40.049999999999997" customHeight="1" x14ac:dyDescent="0.3">
      <c r="A314" s="10">
        <v>9</v>
      </c>
      <c r="B314" s="11" t="s">
        <v>941</v>
      </c>
      <c r="C314" s="11" t="s">
        <v>943</v>
      </c>
      <c r="D314" s="11" t="s">
        <v>942</v>
      </c>
      <c r="E314" s="11" t="s">
        <v>917</v>
      </c>
      <c r="F314" s="11"/>
      <c r="G314" s="11" t="s">
        <v>58</v>
      </c>
      <c r="H314" s="11"/>
      <c r="I314" s="11" t="s">
        <v>435</v>
      </c>
      <c r="J314" s="11" t="s">
        <v>918</v>
      </c>
      <c r="K314" s="11"/>
      <c r="L314" s="11">
        <v>1918</v>
      </c>
      <c r="M314" s="11">
        <v>3.4</v>
      </c>
      <c r="N314" s="11"/>
      <c r="O314" s="11"/>
      <c r="P314" s="11"/>
      <c r="Q314" s="11"/>
      <c r="R314" s="11"/>
      <c r="S314" s="11" t="s">
        <v>30</v>
      </c>
      <c r="T314" s="11"/>
      <c r="U314" s="11"/>
      <c r="V314" s="11" t="s">
        <v>0</v>
      </c>
      <c r="W314" s="54">
        <v>3.414459688</v>
      </c>
      <c r="X314" s="11">
        <v>3</v>
      </c>
    </row>
    <row r="315" spans="1:24" ht="28.8" x14ac:dyDescent="0.3">
      <c r="A315" s="10">
        <v>9</v>
      </c>
      <c r="B315" s="11" t="s">
        <v>916</v>
      </c>
      <c r="C315" s="11"/>
      <c r="D315" s="11"/>
      <c r="E315" s="11" t="s">
        <v>917</v>
      </c>
      <c r="F315" s="11"/>
      <c r="G315" s="11" t="s">
        <v>58</v>
      </c>
      <c r="H315" s="11"/>
      <c r="I315" s="11" t="s">
        <v>435</v>
      </c>
      <c r="J315" s="11" t="s">
        <v>918</v>
      </c>
      <c r="K315" s="11"/>
      <c r="L315" s="11">
        <v>1918</v>
      </c>
      <c r="M315" s="11">
        <v>3.4</v>
      </c>
      <c r="N315" s="11"/>
      <c r="O315" s="11"/>
      <c r="P315" s="11"/>
      <c r="Q315" s="11"/>
      <c r="R315" s="11"/>
      <c r="S315" s="11" t="s">
        <v>414</v>
      </c>
      <c r="T315" s="11"/>
      <c r="U315" s="11"/>
      <c r="V315" s="11" t="s">
        <v>0</v>
      </c>
      <c r="W315" s="54">
        <v>0.16285819500000001</v>
      </c>
      <c r="X315" s="11">
        <v>3</v>
      </c>
    </row>
    <row r="316" spans="1:24" ht="28.8" x14ac:dyDescent="0.3">
      <c r="A316" s="10">
        <v>9</v>
      </c>
      <c r="B316" s="11" t="s">
        <v>916</v>
      </c>
      <c r="C316" s="11"/>
      <c r="D316" s="11"/>
      <c r="E316" s="11" t="s">
        <v>917</v>
      </c>
      <c r="F316" s="11"/>
      <c r="G316" s="11" t="s">
        <v>58</v>
      </c>
      <c r="H316" s="11"/>
      <c r="I316" s="11" t="s">
        <v>435</v>
      </c>
      <c r="J316" s="11" t="s">
        <v>918</v>
      </c>
      <c r="K316" s="11"/>
      <c r="L316" s="11">
        <v>1918</v>
      </c>
      <c r="M316" s="11">
        <v>3.4</v>
      </c>
      <c r="N316" s="11"/>
      <c r="O316" s="11"/>
      <c r="P316" s="11"/>
      <c r="Q316" s="11"/>
      <c r="R316" s="11"/>
      <c r="S316" s="11" t="s">
        <v>290</v>
      </c>
      <c r="T316" s="11"/>
      <c r="U316" s="11"/>
      <c r="V316" s="11" t="s">
        <v>0</v>
      </c>
      <c r="W316" s="54">
        <v>0.47809052699999999</v>
      </c>
      <c r="X316" s="11">
        <v>3</v>
      </c>
    </row>
    <row r="317" spans="1:24" ht="28.8" x14ac:dyDescent="0.3">
      <c r="A317" s="10">
        <v>9</v>
      </c>
      <c r="B317" s="11" t="s">
        <v>916</v>
      </c>
      <c r="C317" s="11"/>
      <c r="D317" s="11"/>
      <c r="E317" s="11" t="s">
        <v>917</v>
      </c>
      <c r="F317" s="11"/>
      <c r="G317" s="11" t="s">
        <v>58</v>
      </c>
      <c r="H317" s="11"/>
      <c r="I317" s="11" t="s">
        <v>435</v>
      </c>
      <c r="J317" s="11" t="s">
        <v>918</v>
      </c>
      <c r="K317" s="11"/>
      <c r="L317" s="11">
        <v>1918</v>
      </c>
      <c r="M317" s="11">
        <v>3.4</v>
      </c>
      <c r="N317" s="11"/>
      <c r="O317" s="11"/>
      <c r="P317" s="11"/>
      <c r="Q317" s="11"/>
      <c r="R317" s="11"/>
      <c r="S317" s="11" t="s">
        <v>67</v>
      </c>
      <c r="T317" s="11"/>
      <c r="U317" s="11"/>
      <c r="V317" s="11" t="s">
        <v>0</v>
      </c>
      <c r="W317" s="54">
        <v>6.8171869989999996</v>
      </c>
      <c r="X317" s="11">
        <v>3</v>
      </c>
    </row>
    <row r="318" spans="1:24" ht="28.8" x14ac:dyDescent="0.3">
      <c r="A318" s="10">
        <v>9</v>
      </c>
      <c r="B318" s="11" t="s">
        <v>916</v>
      </c>
      <c r="C318" s="11"/>
      <c r="D318" s="11"/>
      <c r="E318" s="11" t="s">
        <v>917</v>
      </c>
      <c r="F318" s="11"/>
      <c r="G318" s="11" t="s">
        <v>58</v>
      </c>
      <c r="H318" s="11"/>
      <c r="I318" s="11" t="s">
        <v>435</v>
      </c>
      <c r="J318" s="11" t="s">
        <v>918</v>
      </c>
      <c r="K318" s="11"/>
      <c r="L318" s="11">
        <v>1918</v>
      </c>
      <c r="M318" s="11">
        <v>3.4</v>
      </c>
      <c r="N318" s="11"/>
      <c r="O318" s="11"/>
      <c r="P318" s="11"/>
      <c r="Q318" s="11"/>
      <c r="R318" s="11"/>
      <c r="S318" s="11" t="s">
        <v>65</v>
      </c>
      <c r="T318" s="11"/>
      <c r="U318" s="11"/>
      <c r="V318" s="11" t="s">
        <v>0</v>
      </c>
      <c r="W318" s="54">
        <v>529.34949300000005</v>
      </c>
      <c r="X318" s="11">
        <v>3</v>
      </c>
    </row>
    <row r="319" spans="1:24" ht="28.8" x14ac:dyDescent="0.3">
      <c r="A319" s="10">
        <v>9</v>
      </c>
      <c r="B319" s="11" t="s">
        <v>916</v>
      </c>
      <c r="C319" s="11"/>
      <c r="D319" s="11"/>
      <c r="E319" s="11" t="s">
        <v>917</v>
      </c>
      <c r="F319" s="11"/>
      <c r="G319" s="11" t="s">
        <v>58</v>
      </c>
      <c r="H319" s="11"/>
      <c r="I319" s="11" t="s">
        <v>435</v>
      </c>
      <c r="J319" s="11" t="s">
        <v>918</v>
      </c>
      <c r="K319" s="11"/>
      <c r="L319" s="11">
        <v>1918</v>
      </c>
      <c r="M319" s="11">
        <v>3.4</v>
      </c>
      <c r="N319" s="11"/>
      <c r="O319" s="11"/>
      <c r="P319" s="11"/>
      <c r="Q319" s="11"/>
      <c r="R319" s="11"/>
      <c r="S319" s="11" t="s">
        <v>437</v>
      </c>
      <c r="T319" s="11"/>
      <c r="U319" s="11"/>
      <c r="V319" s="11" t="s">
        <v>0</v>
      </c>
      <c r="W319" s="54">
        <v>0.90913925299999998</v>
      </c>
      <c r="X319" s="11">
        <v>3</v>
      </c>
    </row>
    <row r="320" spans="1:24" ht="28.8" x14ac:dyDescent="0.3">
      <c r="A320" s="10">
        <v>9</v>
      </c>
      <c r="B320" s="11" t="s">
        <v>916</v>
      </c>
      <c r="C320" s="11"/>
      <c r="D320" s="11"/>
      <c r="E320" s="11" t="s">
        <v>917</v>
      </c>
      <c r="F320" s="11"/>
      <c r="G320" s="11" t="s">
        <v>58</v>
      </c>
      <c r="H320" s="11"/>
      <c r="I320" s="11" t="s">
        <v>435</v>
      </c>
      <c r="J320" s="11" t="s">
        <v>919</v>
      </c>
      <c r="K320" s="11"/>
      <c r="L320" s="11">
        <v>1997</v>
      </c>
      <c r="M320" s="11">
        <v>3.2</v>
      </c>
      <c r="N320" s="11"/>
      <c r="O320" s="11"/>
      <c r="P320" s="11"/>
      <c r="Q320" s="11"/>
      <c r="R320" s="11"/>
      <c r="S320" s="11" t="s">
        <v>30</v>
      </c>
      <c r="T320" s="11"/>
      <c r="U320" s="11"/>
      <c r="V320" s="11" t="s">
        <v>0</v>
      </c>
      <c r="W320" s="54">
        <v>6.1957324839999997</v>
      </c>
      <c r="X320" s="11">
        <v>3</v>
      </c>
    </row>
    <row r="321" spans="1:24" ht="28.8" x14ac:dyDescent="0.3">
      <c r="A321" s="10">
        <v>9</v>
      </c>
      <c r="B321" s="11" t="s">
        <v>916</v>
      </c>
      <c r="C321" s="11"/>
      <c r="D321" s="11"/>
      <c r="E321" s="11" t="s">
        <v>917</v>
      </c>
      <c r="F321" s="11"/>
      <c r="G321" s="11" t="s">
        <v>58</v>
      </c>
      <c r="H321" s="11"/>
      <c r="I321" s="11" t="s">
        <v>435</v>
      </c>
      <c r="J321" s="11" t="s">
        <v>919</v>
      </c>
      <c r="K321" s="11"/>
      <c r="L321" s="11">
        <v>1997</v>
      </c>
      <c r="M321" s="11">
        <v>3.2</v>
      </c>
      <c r="N321" s="11"/>
      <c r="O321" s="11"/>
      <c r="P321" s="11"/>
      <c r="Q321" s="11"/>
      <c r="R321" s="11"/>
      <c r="S321" s="11" t="s">
        <v>414</v>
      </c>
      <c r="T321" s="11"/>
      <c r="U321" s="11"/>
      <c r="V321" s="11" t="s">
        <v>0</v>
      </c>
      <c r="W321" s="54">
        <v>8.3917196999999999E-2</v>
      </c>
      <c r="X321" s="11">
        <v>3</v>
      </c>
    </row>
    <row r="322" spans="1:24" ht="28.8" x14ac:dyDescent="0.3">
      <c r="A322" s="10">
        <v>9</v>
      </c>
      <c r="B322" s="11" t="s">
        <v>916</v>
      </c>
      <c r="C322" s="11"/>
      <c r="D322" s="11"/>
      <c r="E322" s="11" t="s">
        <v>917</v>
      </c>
      <c r="F322" s="11"/>
      <c r="G322" s="11" t="s">
        <v>58</v>
      </c>
      <c r="H322" s="11"/>
      <c r="I322" s="11" t="s">
        <v>435</v>
      </c>
      <c r="J322" s="11" t="s">
        <v>919</v>
      </c>
      <c r="K322" s="11"/>
      <c r="L322" s="11">
        <v>1997</v>
      </c>
      <c r="M322" s="11">
        <v>3.2</v>
      </c>
      <c r="N322" s="11"/>
      <c r="O322" s="11"/>
      <c r="P322" s="11"/>
      <c r="Q322" s="11"/>
      <c r="R322" s="11"/>
      <c r="S322" s="11" t="s">
        <v>290</v>
      </c>
      <c r="T322" s="11"/>
      <c r="U322" s="11"/>
      <c r="V322" s="11" t="s">
        <v>0</v>
      </c>
      <c r="W322" s="54">
        <v>0.85031847100000002</v>
      </c>
      <c r="X322" s="11">
        <v>3</v>
      </c>
    </row>
    <row r="323" spans="1:24" ht="28.8" x14ac:dyDescent="0.3">
      <c r="A323" s="10">
        <v>9</v>
      </c>
      <c r="B323" s="11" t="s">
        <v>916</v>
      </c>
      <c r="C323" s="11"/>
      <c r="D323" s="11"/>
      <c r="E323" s="11" t="s">
        <v>917</v>
      </c>
      <c r="F323" s="11"/>
      <c r="G323" s="11" t="s">
        <v>58</v>
      </c>
      <c r="H323" s="11"/>
      <c r="I323" s="11" t="s">
        <v>435</v>
      </c>
      <c r="J323" s="11" t="s">
        <v>919</v>
      </c>
      <c r="K323" s="11"/>
      <c r="L323" s="11">
        <v>1997</v>
      </c>
      <c r="M323" s="11">
        <v>3.2</v>
      </c>
      <c r="N323" s="11"/>
      <c r="O323" s="11"/>
      <c r="P323" s="11"/>
      <c r="Q323" s="11"/>
      <c r="R323" s="11"/>
      <c r="S323" s="11" t="s">
        <v>67</v>
      </c>
      <c r="T323" s="11"/>
      <c r="U323" s="11"/>
      <c r="V323" s="11" t="s">
        <v>0</v>
      </c>
      <c r="W323" s="54">
        <v>4.9353503180000002</v>
      </c>
      <c r="X323" s="11">
        <v>3</v>
      </c>
    </row>
    <row r="324" spans="1:24" ht="28.8" x14ac:dyDescent="0.3">
      <c r="A324" s="10">
        <v>9</v>
      </c>
      <c r="B324" s="11" t="s">
        <v>916</v>
      </c>
      <c r="C324" s="11"/>
      <c r="D324" s="11"/>
      <c r="E324" s="11" t="s">
        <v>917</v>
      </c>
      <c r="F324" s="11"/>
      <c r="G324" s="11" t="s">
        <v>58</v>
      </c>
      <c r="H324" s="11"/>
      <c r="I324" s="11" t="s">
        <v>435</v>
      </c>
      <c r="J324" s="11" t="s">
        <v>919</v>
      </c>
      <c r="K324" s="11"/>
      <c r="L324" s="11">
        <v>1997</v>
      </c>
      <c r="M324" s="11">
        <v>3.2</v>
      </c>
      <c r="N324" s="11"/>
      <c r="O324" s="11"/>
      <c r="P324" s="11"/>
      <c r="Q324" s="11"/>
      <c r="R324" s="11"/>
      <c r="S324" s="11" t="s">
        <v>65</v>
      </c>
      <c r="T324" s="11"/>
      <c r="U324" s="11"/>
      <c r="V324" s="11" t="s">
        <v>0</v>
      </c>
      <c r="W324" s="54">
        <v>1.543184713</v>
      </c>
      <c r="X324" s="11">
        <v>3</v>
      </c>
    </row>
    <row r="325" spans="1:24" ht="28.8" x14ac:dyDescent="0.3">
      <c r="A325" s="10">
        <v>9</v>
      </c>
      <c r="B325" s="11" t="s">
        <v>916</v>
      </c>
      <c r="C325" s="11"/>
      <c r="D325" s="11"/>
      <c r="E325" s="11" t="s">
        <v>917</v>
      </c>
      <c r="F325" s="11"/>
      <c r="G325" s="11" t="s">
        <v>58</v>
      </c>
      <c r="H325" s="11"/>
      <c r="I325" s="11" t="s">
        <v>435</v>
      </c>
      <c r="J325" s="11" t="s">
        <v>919</v>
      </c>
      <c r="K325" s="11"/>
      <c r="L325" s="11">
        <v>1997</v>
      </c>
      <c r="M325" s="11">
        <v>3.2</v>
      </c>
      <c r="N325" s="11"/>
      <c r="O325" s="11"/>
      <c r="P325" s="11"/>
      <c r="Q325" s="11"/>
      <c r="R325" s="11"/>
      <c r="S325" s="11" t="s">
        <v>437</v>
      </c>
      <c r="T325" s="11"/>
      <c r="U325" s="11"/>
      <c r="V325" s="11" t="s">
        <v>0</v>
      </c>
      <c r="W325" s="54">
        <v>2.211783439</v>
      </c>
      <c r="X325" s="11">
        <v>3</v>
      </c>
    </row>
    <row r="326" spans="1:24" ht="28.8" x14ac:dyDescent="0.3">
      <c r="A326" s="10">
        <v>9</v>
      </c>
      <c r="B326" s="11" t="s">
        <v>916</v>
      </c>
      <c r="C326" s="11"/>
      <c r="D326" s="11"/>
      <c r="E326" s="11" t="s">
        <v>917</v>
      </c>
      <c r="F326" s="11"/>
      <c r="G326" s="11" t="s">
        <v>58</v>
      </c>
      <c r="H326" s="11"/>
      <c r="I326" s="11" t="s">
        <v>435</v>
      </c>
      <c r="J326" s="11" t="s">
        <v>920</v>
      </c>
      <c r="K326" s="11"/>
      <c r="L326" s="11">
        <v>1997</v>
      </c>
      <c r="M326" s="11">
        <v>3.3</v>
      </c>
      <c r="N326" s="11"/>
      <c r="O326" s="11"/>
      <c r="P326" s="11"/>
      <c r="Q326" s="11"/>
      <c r="R326" s="11"/>
      <c r="S326" s="11" t="s">
        <v>30</v>
      </c>
      <c r="T326" s="11"/>
      <c r="U326" s="11"/>
      <c r="V326" s="11" t="s">
        <v>0</v>
      </c>
      <c r="W326" s="54">
        <v>3.0339037539999998</v>
      </c>
      <c r="X326" s="11">
        <v>3</v>
      </c>
    </row>
    <row r="327" spans="1:24" ht="28.8" x14ac:dyDescent="0.3">
      <c r="A327" s="10">
        <v>9</v>
      </c>
      <c r="B327" s="11" t="s">
        <v>916</v>
      </c>
      <c r="C327" s="11"/>
      <c r="D327" s="11"/>
      <c r="E327" s="11" t="s">
        <v>917</v>
      </c>
      <c r="F327" s="11"/>
      <c r="G327" s="11" t="s">
        <v>58</v>
      </c>
      <c r="H327" s="11"/>
      <c r="I327" s="11" t="s">
        <v>435</v>
      </c>
      <c r="J327" s="11" t="s">
        <v>920</v>
      </c>
      <c r="K327" s="11"/>
      <c r="L327" s="11">
        <v>1997</v>
      </c>
      <c r="M327" s="11">
        <v>3.3</v>
      </c>
      <c r="N327" s="11"/>
      <c r="O327" s="11"/>
      <c r="P327" s="11"/>
      <c r="Q327" s="11"/>
      <c r="R327" s="11"/>
      <c r="S327" s="11" t="s">
        <v>414</v>
      </c>
      <c r="T327" s="11"/>
      <c r="U327" s="11"/>
      <c r="V327" s="11" t="s">
        <v>0</v>
      </c>
      <c r="W327" s="54">
        <v>8.6964911000000006E-2</v>
      </c>
      <c r="X327" s="11">
        <v>3</v>
      </c>
    </row>
    <row r="328" spans="1:24" ht="28.8" x14ac:dyDescent="0.3">
      <c r="A328" s="10">
        <v>9</v>
      </c>
      <c r="B328" s="11" t="s">
        <v>916</v>
      </c>
      <c r="C328" s="11"/>
      <c r="D328" s="11"/>
      <c r="E328" s="11" t="s">
        <v>917</v>
      </c>
      <c r="F328" s="11"/>
      <c r="G328" s="11" t="s">
        <v>58</v>
      </c>
      <c r="H328" s="11"/>
      <c r="I328" s="11" t="s">
        <v>435</v>
      </c>
      <c r="J328" s="11" t="s">
        <v>920</v>
      </c>
      <c r="K328" s="11"/>
      <c r="L328" s="11">
        <v>1997</v>
      </c>
      <c r="M328" s="11">
        <v>3.3</v>
      </c>
      <c r="N328" s="11"/>
      <c r="O328" s="11"/>
      <c r="P328" s="11"/>
      <c r="Q328" s="11"/>
      <c r="R328" s="11"/>
      <c r="S328" s="11" t="s">
        <v>290</v>
      </c>
      <c r="T328" s="11"/>
      <c r="U328" s="11"/>
      <c r="V328" s="11" t="s">
        <v>0</v>
      </c>
      <c r="W328" s="54">
        <v>0.128714669</v>
      </c>
      <c r="X328" s="11">
        <v>3</v>
      </c>
    </row>
    <row r="329" spans="1:24" ht="28.8" x14ac:dyDescent="0.3">
      <c r="A329" s="10">
        <v>9</v>
      </c>
      <c r="B329" s="11" t="s">
        <v>916</v>
      </c>
      <c r="C329" s="11"/>
      <c r="D329" s="11"/>
      <c r="E329" s="11" t="s">
        <v>917</v>
      </c>
      <c r="F329" s="11"/>
      <c r="G329" s="11" t="s">
        <v>58</v>
      </c>
      <c r="H329" s="11"/>
      <c r="I329" s="11" t="s">
        <v>435</v>
      </c>
      <c r="J329" s="11" t="s">
        <v>920</v>
      </c>
      <c r="K329" s="11"/>
      <c r="L329" s="11">
        <v>1997</v>
      </c>
      <c r="M329" s="11">
        <v>3.3</v>
      </c>
      <c r="N329" s="11"/>
      <c r="O329" s="11"/>
      <c r="P329" s="11"/>
      <c r="Q329" s="11"/>
      <c r="R329" s="11"/>
      <c r="S329" s="11" t="s">
        <v>67</v>
      </c>
      <c r="T329" s="11"/>
      <c r="U329" s="11"/>
      <c r="V329" s="11" t="s">
        <v>0</v>
      </c>
      <c r="W329" s="54">
        <v>1.6336036709999999</v>
      </c>
      <c r="X329" s="11">
        <v>3</v>
      </c>
    </row>
    <row r="330" spans="1:24" ht="28.8" x14ac:dyDescent="0.3">
      <c r="A330" s="10">
        <v>9</v>
      </c>
      <c r="B330" s="11" t="s">
        <v>916</v>
      </c>
      <c r="C330" s="11"/>
      <c r="D330" s="11"/>
      <c r="E330" s="11" t="s">
        <v>917</v>
      </c>
      <c r="F330" s="11"/>
      <c r="G330" s="11" t="s">
        <v>58</v>
      </c>
      <c r="H330" s="11"/>
      <c r="I330" s="11" t="s">
        <v>435</v>
      </c>
      <c r="J330" s="11" t="s">
        <v>920</v>
      </c>
      <c r="K330" s="11"/>
      <c r="L330" s="11">
        <v>1997</v>
      </c>
      <c r="M330" s="11">
        <v>3.3</v>
      </c>
      <c r="N330" s="11"/>
      <c r="O330" s="11"/>
      <c r="P330" s="11"/>
      <c r="Q330" s="11"/>
      <c r="R330" s="11"/>
      <c r="S330" s="11" t="s">
        <v>65</v>
      </c>
      <c r="T330" s="11"/>
      <c r="U330" s="11"/>
      <c r="V330" s="11" t="s">
        <v>0</v>
      </c>
      <c r="W330" s="54">
        <v>1.513321463</v>
      </c>
      <c r="X330" s="11">
        <v>3</v>
      </c>
    </row>
    <row r="331" spans="1:24" ht="28.8" x14ac:dyDescent="0.3">
      <c r="A331" s="10">
        <v>9</v>
      </c>
      <c r="B331" s="11" t="s">
        <v>916</v>
      </c>
      <c r="C331" s="11"/>
      <c r="D331" s="11"/>
      <c r="E331" s="11" t="s">
        <v>917</v>
      </c>
      <c r="F331" s="11"/>
      <c r="G331" s="11" t="s">
        <v>58</v>
      </c>
      <c r="H331" s="11"/>
      <c r="I331" s="11" t="s">
        <v>435</v>
      </c>
      <c r="J331" s="11" t="s">
        <v>920</v>
      </c>
      <c r="K331" s="11"/>
      <c r="L331" s="11">
        <v>1997</v>
      </c>
      <c r="M331" s="11">
        <v>3.3</v>
      </c>
      <c r="N331" s="11"/>
      <c r="O331" s="11"/>
      <c r="P331" s="11"/>
      <c r="Q331" s="11"/>
      <c r="R331" s="11"/>
      <c r="S331" s="11" t="s">
        <v>437</v>
      </c>
      <c r="T331" s="11"/>
      <c r="U331" s="11"/>
      <c r="V331" s="11" t="s">
        <v>0</v>
      </c>
      <c r="W331" s="54">
        <v>8.6057307380000001</v>
      </c>
      <c r="X331" s="11">
        <v>3</v>
      </c>
    </row>
    <row r="332" spans="1:24" ht="28.8" x14ac:dyDescent="0.3">
      <c r="A332" s="10">
        <v>9</v>
      </c>
      <c r="B332" s="11" t="s">
        <v>916</v>
      </c>
      <c r="C332" s="11"/>
      <c r="D332" s="11"/>
      <c r="E332" s="11" t="s">
        <v>917</v>
      </c>
      <c r="F332" s="11"/>
      <c r="G332" s="11" t="s">
        <v>58</v>
      </c>
      <c r="H332" s="11"/>
      <c r="I332" s="11" t="s">
        <v>435</v>
      </c>
      <c r="J332" s="11" t="s">
        <v>921</v>
      </c>
      <c r="K332" s="11"/>
      <c r="L332" s="11">
        <v>1997</v>
      </c>
      <c r="M332" s="11">
        <v>3.3</v>
      </c>
      <c r="N332" s="11"/>
      <c r="O332" s="11"/>
      <c r="P332" s="11"/>
      <c r="Q332" s="11"/>
      <c r="R332" s="11"/>
      <c r="S332" s="11" t="s">
        <v>30</v>
      </c>
      <c r="T332" s="11"/>
      <c r="U332" s="11"/>
      <c r="V332" s="11" t="s">
        <v>0</v>
      </c>
      <c r="W332" s="54">
        <v>603.39642300000003</v>
      </c>
      <c r="X332" s="11">
        <v>3</v>
      </c>
    </row>
    <row r="333" spans="1:24" ht="28.8" x14ac:dyDescent="0.3">
      <c r="A333" s="10">
        <v>9</v>
      </c>
      <c r="B333" s="11" t="s">
        <v>916</v>
      </c>
      <c r="C333" s="11"/>
      <c r="D333" s="11"/>
      <c r="E333" s="11" t="s">
        <v>917</v>
      </c>
      <c r="F333" s="11"/>
      <c r="G333" s="11" t="s">
        <v>58</v>
      </c>
      <c r="H333" s="11"/>
      <c r="I333" s="11" t="s">
        <v>435</v>
      </c>
      <c r="J333" s="11" t="s">
        <v>922</v>
      </c>
      <c r="K333" s="11"/>
      <c r="L333" s="11">
        <v>1997</v>
      </c>
      <c r="M333" s="11">
        <v>3.3</v>
      </c>
      <c r="N333" s="11"/>
      <c r="O333" s="11"/>
      <c r="P333" s="11"/>
      <c r="Q333" s="11"/>
      <c r="R333" s="11"/>
      <c r="S333" s="11" t="s">
        <v>414</v>
      </c>
      <c r="T333" s="11"/>
      <c r="U333" s="11"/>
      <c r="V333" s="11" t="s">
        <v>0</v>
      </c>
      <c r="W333" s="54">
        <v>0.26056198800000002</v>
      </c>
      <c r="X333" s="11">
        <v>3</v>
      </c>
    </row>
    <row r="334" spans="1:24" ht="28.8" x14ac:dyDescent="0.3">
      <c r="A334" s="10">
        <v>9</v>
      </c>
      <c r="B334" s="11" t="s">
        <v>916</v>
      </c>
      <c r="C334" s="11"/>
      <c r="D334" s="11"/>
      <c r="E334" s="11" t="s">
        <v>917</v>
      </c>
      <c r="F334" s="11"/>
      <c r="G334" s="11" t="s">
        <v>58</v>
      </c>
      <c r="H334" s="11"/>
      <c r="I334" s="11" t="s">
        <v>435</v>
      </c>
      <c r="J334" s="11" t="s">
        <v>923</v>
      </c>
      <c r="K334" s="11"/>
      <c r="L334" s="11">
        <v>1997</v>
      </c>
      <c r="M334" s="11">
        <v>3.3</v>
      </c>
      <c r="N334" s="11"/>
      <c r="O334" s="11"/>
      <c r="P334" s="11"/>
      <c r="Q334" s="11"/>
      <c r="R334" s="11"/>
      <c r="S334" s="11" t="s">
        <v>290</v>
      </c>
      <c r="T334" s="11"/>
      <c r="U334" s="11"/>
      <c r="V334" s="11" t="s">
        <v>0</v>
      </c>
      <c r="W334" s="54">
        <v>1.2409264659999999</v>
      </c>
      <c r="X334" s="11">
        <v>3</v>
      </c>
    </row>
    <row r="335" spans="1:24" ht="28.8" x14ac:dyDescent="0.3">
      <c r="A335" s="10">
        <v>9</v>
      </c>
      <c r="B335" s="11" t="s">
        <v>916</v>
      </c>
      <c r="C335" s="11"/>
      <c r="D335" s="11"/>
      <c r="E335" s="11" t="s">
        <v>917</v>
      </c>
      <c r="F335" s="11"/>
      <c r="G335" s="11" t="s">
        <v>58</v>
      </c>
      <c r="H335" s="11"/>
      <c r="I335" s="11" t="s">
        <v>435</v>
      </c>
      <c r="J335" s="11" t="s">
        <v>924</v>
      </c>
      <c r="K335" s="11"/>
      <c r="L335" s="11">
        <v>1997</v>
      </c>
      <c r="M335" s="11">
        <v>3.3</v>
      </c>
      <c r="N335" s="11"/>
      <c r="O335" s="11"/>
      <c r="P335" s="11"/>
      <c r="Q335" s="11"/>
      <c r="R335" s="11"/>
      <c r="S335" s="11" t="s">
        <v>67</v>
      </c>
      <c r="T335" s="11"/>
      <c r="U335" s="11"/>
      <c r="V335" s="11" t="s">
        <v>0</v>
      </c>
      <c r="W335" s="54">
        <v>2.0141441649999998</v>
      </c>
      <c r="X335" s="11">
        <v>3</v>
      </c>
    </row>
    <row r="336" spans="1:24" ht="28.8" x14ac:dyDescent="0.3">
      <c r="A336" s="10">
        <v>9</v>
      </c>
      <c r="B336" s="11" t="s">
        <v>916</v>
      </c>
      <c r="C336" s="11"/>
      <c r="D336" s="11"/>
      <c r="E336" s="11" t="s">
        <v>917</v>
      </c>
      <c r="F336" s="11"/>
      <c r="G336" s="11" t="s">
        <v>58</v>
      </c>
      <c r="H336" s="11"/>
      <c r="I336" s="11" t="s">
        <v>435</v>
      </c>
      <c r="J336" s="11" t="s">
        <v>925</v>
      </c>
      <c r="K336" s="11"/>
      <c r="L336" s="11">
        <v>1997</v>
      </c>
      <c r="M336" s="11">
        <v>3.3</v>
      </c>
      <c r="N336" s="11"/>
      <c r="O336" s="11"/>
      <c r="P336" s="11"/>
      <c r="Q336" s="11"/>
      <c r="R336" s="11"/>
      <c r="S336" s="11" t="s">
        <v>65</v>
      </c>
      <c r="T336" s="11"/>
      <c r="U336" s="11"/>
      <c r="V336" s="11" t="s">
        <v>0</v>
      </c>
      <c r="W336" s="54">
        <v>1.158898296</v>
      </c>
      <c r="X336" s="11">
        <v>3</v>
      </c>
    </row>
    <row r="337" spans="1:24" ht="28.8" x14ac:dyDescent="0.3">
      <c r="A337" s="10">
        <v>9</v>
      </c>
      <c r="B337" s="11" t="s">
        <v>916</v>
      </c>
      <c r="C337" s="11"/>
      <c r="D337" s="11"/>
      <c r="E337" s="11" t="s">
        <v>917</v>
      </c>
      <c r="F337" s="11"/>
      <c r="G337" s="11" t="s">
        <v>58</v>
      </c>
      <c r="H337" s="11"/>
      <c r="I337" s="11" t="s">
        <v>435</v>
      </c>
      <c r="J337" s="11" t="s">
        <v>926</v>
      </c>
      <c r="K337" s="11"/>
      <c r="L337" s="11">
        <v>1997</v>
      </c>
      <c r="M337" s="11">
        <v>3.3</v>
      </c>
      <c r="N337" s="11"/>
      <c r="O337" s="11"/>
      <c r="P337" s="11"/>
      <c r="Q337" s="11"/>
      <c r="R337" s="11"/>
      <c r="S337" s="11" t="s">
        <v>437</v>
      </c>
      <c r="T337" s="11"/>
      <c r="U337" s="11"/>
      <c r="V337" s="11" t="s">
        <v>0</v>
      </c>
      <c r="W337" s="54">
        <v>7.4651009479999999</v>
      </c>
      <c r="X337" s="11">
        <v>3</v>
      </c>
    </row>
    <row r="338" spans="1:24" ht="28.8" x14ac:dyDescent="0.3">
      <c r="A338" s="10">
        <v>9</v>
      </c>
      <c r="B338" s="11" t="s">
        <v>916</v>
      </c>
      <c r="C338" s="11"/>
      <c r="D338" s="11"/>
      <c r="E338" s="11" t="s">
        <v>917</v>
      </c>
      <c r="F338" s="11"/>
      <c r="G338" s="11" t="s">
        <v>58</v>
      </c>
      <c r="H338" s="11"/>
      <c r="I338" s="11" t="s">
        <v>435</v>
      </c>
      <c r="J338" s="11" t="s">
        <v>922</v>
      </c>
      <c r="K338" s="11"/>
      <c r="L338" s="11">
        <v>1997</v>
      </c>
      <c r="M338" s="11">
        <v>3.2</v>
      </c>
      <c r="N338" s="11"/>
      <c r="O338" s="11"/>
      <c r="P338" s="11"/>
      <c r="Q338" s="11"/>
      <c r="R338" s="11"/>
      <c r="S338" s="11" t="s">
        <v>30</v>
      </c>
      <c r="T338" s="11"/>
      <c r="U338" s="11"/>
      <c r="V338" s="11" t="s">
        <v>0</v>
      </c>
      <c r="W338" s="54">
        <v>4.6007305130000002</v>
      </c>
      <c r="X338" s="11">
        <v>3</v>
      </c>
    </row>
    <row r="339" spans="1:24" ht="28.8" x14ac:dyDescent="0.3">
      <c r="A339" s="10">
        <v>9</v>
      </c>
      <c r="B339" s="11" t="s">
        <v>916</v>
      </c>
      <c r="C339" s="11"/>
      <c r="D339" s="11"/>
      <c r="E339" s="11" t="s">
        <v>917</v>
      </c>
      <c r="F339" s="11"/>
      <c r="G339" s="11" t="s">
        <v>58</v>
      </c>
      <c r="H339" s="11"/>
      <c r="I339" s="11" t="s">
        <v>435</v>
      </c>
      <c r="J339" s="11" t="s">
        <v>922</v>
      </c>
      <c r="K339" s="11"/>
      <c r="L339" s="11">
        <v>1997</v>
      </c>
      <c r="M339" s="11">
        <v>3.2</v>
      </c>
      <c r="N339" s="11"/>
      <c r="O339" s="11"/>
      <c r="P339" s="11"/>
      <c r="Q339" s="11"/>
      <c r="R339" s="11"/>
      <c r="S339" s="11" t="s">
        <v>414</v>
      </c>
      <c r="T339" s="11"/>
      <c r="U339" s="11"/>
      <c r="V339" s="11" t="s">
        <v>0</v>
      </c>
      <c r="W339" s="54">
        <v>8.3901937999999995E-2</v>
      </c>
      <c r="X339" s="11">
        <v>3</v>
      </c>
    </row>
    <row r="340" spans="1:24" ht="28.8" x14ac:dyDescent="0.3">
      <c r="A340" s="10">
        <v>9</v>
      </c>
      <c r="B340" s="11" t="s">
        <v>916</v>
      </c>
      <c r="C340" s="11"/>
      <c r="D340" s="11"/>
      <c r="E340" s="11" t="s">
        <v>917</v>
      </c>
      <c r="F340" s="11"/>
      <c r="G340" s="11" t="s">
        <v>58</v>
      </c>
      <c r="H340" s="11"/>
      <c r="I340" s="11" t="s">
        <v>435</v>
      </c>
      <c r="J340" s="11" t="s">
        <v>922</v>
      </c>
      <c r="K340" s="11"/>
      <c r="L340" s="11">
        <v>1997</v>
      </c>
      <c r="M340" s="11">
        <v>3.2</v>
      </c>
      <c r="N340" s="11"/>
      <c r="O340" s="11"/>
      <c r="P340" s="11"/>
      <c r="Q340" s="11"/>
      <c r="R340" s="11"/>
      <c r="S340" s="11" t="s">
        <v>290</v>
      </c>
      <c r="T340" s="11"/>
      <c r="U340" s="11"/>
      <c r="V340" s="11" t="s">
        <v>0</v>
      </c>
      <c r="W340" s="54">
        <v>0.70348548200000005</v>
      </c>
      <c r="X340" s="11">
        <v>3</v>
      </c>
    </row>
    <row r="341" spans="1:24" ht="28.8" x14ac:dyDescent="0.3">
      <c r="A341" s="10">
        <v>9</v>
      </c>
      <c r="B341" s="11" t="s">
        <v>916</v>
      </c>
      <c r="C341" s="11"/>
      <c r="D341" s="11"/>
      <c r="E341" s="11" t="s">
        <v>917</v>
      </c>
      <c r="F341" s="11"/>
      <c r="G341" s="11" t="s">
        <v>58</v>
      </c>
      <c r="H341" s="11"/>
      <c r="I341" s="11" t="s">
        <v>435</v>
      </c>
      <c r="J341" s="11" t="s">
        <v>922</v>
      </c>
      <c r="K341" s="11"/>
      <c r="L341" s="11">
        <v>1997</v>
      </c>
      <c r="M341" s="11">
        <v>3.2</v>
      </c>
      <c r="N341" s="11"/>
      <c r="O341" s="11"/>
      <c r="P341" s="11"/>
      <c r="Q341" s="11"/>
      <c r="R341" s="11"/>
      <c r="S341" s="11" t="s">
        <v>67</v>
      </c>
      <c r="T341" s="11"/>
      <c r="U341" s="11"/>
      <c r="V341" s="11" t="s">
        <v>0</v>
      </c>
      <c r="W341" s="54">
        <v>137.14739900000001</v>
      </c>
      <c r="X341" s="11">
        <v>3</v>
      </c>
    </row>
    <row r="342" spans="1:24" ht="28.8" x14ac:dyDescent="0.3">
      <c r="A342" s="10">
        <v>9</v>
      </c>
      <c r="B342" s="11" t="s">
        <v>916</v>
      </c>
      <c r="C342" s="11"/>
      <c r="D342" s="11"/>
      <c r="E342" s="11" t="s">
        <v>917</v>
      </c>
      <c r="F342" s="11"/>
      <c r="G342" s="11" t="s">
        <v>58</v>
      </c>
      <c r="H342" s="11"/>
      <c r="I342" s="11" t="s">
        <v>435</v>
      </c>
      <c r="J342" s="11" t="s">
        <v>922</v>
      </c>
      <c r="K342" s="11"/>
      <c r="L342" s="11">
        <v>1997</v>
      </c>
      <c r="M342" s="11">
        <v>3.2</v>
      </c>
      <c r="N342" s="11"/>
      <c r="O342" s="11"/>
      <c r="P342" s="11"/>
      <c r="Q342" s="11"/>
      <c r="R342" s="11"/>
      <c r="S342" s="11" t="s">
        <v>65</v>
      </c>
      <c r="T342" s="11"/>
      <c r="U342" s="11"/>
      <c r="V342" s="11" t="s">
        <v>0</v>
      </c>
      <c r="W342" s="54">
        <v>8.8652724129999996</v>
      </c>
      <c r="X342" s="11">
        <v>3</v>
      </c>
    </row>
    <row r="343" spans="1:24" ht="28.8" x14ac:dyDescent="0.3">
      <c r="A343" s="10">
        <v>9</v>
      </c>
      <c r="B343" s="11" t="s">
        <v>916</v>
      </c>
      <c r="C343" s="11"/>
      <c r="D343" s="11"/>
      <c r="E343" s="11" t="s">
        <v>917</v>
      </c>
      <c r="F343" s="11"/>
      <c r="G343" s="11" t="s">
        <v>58</v>
      </c>
      <c r="H343" s="11"/>
      <c r="I343" s="11" t="s">
        <v>435</v>
      </c>
      <c r="J343" s="11" t="s">
        <v>922</v>
      </c>
      <c r="K343" s="11"/>
      <c r="L343" s="11">
        <v>1997</v>
      </c>
      <c r="M343" s="11">
        <v>3.2</v>
      </c>
      <c r="N343" s="11"/>
      <c r="O343" s="11"/>
      <c r="P343" s="11"/>
      <c r="Q343" s="11"/>
      <c r="R343" s="11"/>
      <c r="S343" s="11" t="s">
        <v>437</v>
      </c>
      <c r="T343" s="11"/>
      <c r="U343" s="11"/>
      <c r="V343" s="11" t="s">
        <v>0</v>
      </c>
      <c r="W343" s="54">
        <v>5.2277361510000002</v>
      </c>
      <c r="X343" s="11">
        <v>3</v>
      </c>
    </row>
    <row r="344" spans="1:24" ht="28.8" x14ac:dyDescent="0.3">
      <c r="A344" s="10">
        <v>9</v>
      </c>
      <c r="B344" s="11" t="s">
        <v>916</v>
      </c>
      <c r="C344" s="11"/>
      <c r="D344" s="11"/>
      <c r="E344" s="11" t="s">
        <v>917</v>
      </c>
      <c r="F344" s="11"/>
      <c r="G344" s="11" t="s">
        <v>58</v>
      </c>
      <c r="H344" s="11"/>
      <c r="I344" s="11" t="s">
        <v>435</v>
      </c>
      <c r="J344" s="11" t="s">
        <v>923</v>
      </c>
      <c r="K344" s="11"/>
      <c r="L344" s="11">
        <v>1997</v>
      </c>
      <c r="M344" s="11">
        <v>3.4</v>
      </c>
      <c r="N344" s="11"/>
      <c r="O344" s="11"/>
      <c r="P344" s="11"/>
      <c r="Q344" s="11"/>
      <c r="R344" s="11"/>
      <c r="S344" s="11" t="s">
        <v>30</v>
      </c>
      <c r="T344" s="11"/>
      <c r="U344" s="11"/>
      <c r="V344" s="11" t="s">
        <v>0</v>
      </c>
      <c r="W344" s="54">
        <v>4.8477763769999997</v>
      </c>
      <c r="X344" s="11">
        <v>3</v>
      </c>
    </row>
    <row r="345" spans="1:24" ht="28.8" x14ac:dyDescent="0.3">
      <c r="A345" s="10">
        <v>9</v>
      </c>
      <c r="B345" s="11" t="s">
        <v>916</v>
      </c>
      <c r="C345" s="11"/>
      <c r="D345" s="11"/>
      <c r="E345" s="11" t="s">
        <v>917</v>
      </c>
      <c r="F345" s="11"/>
      <c r="G345" s="11" t="s">
        <v>58</v>
      </c>
      <c r="H345" s="11"/>
      <c r="I345" s="11" t="s">
        <v>435</v>
      </c>
      <c r="J345" s="11" t="s">
        <v>923</v>
      </c>
      <c r="K345" s="11"/>
      <c r="L345" s="11">
        <v>1997</v>
      </c>
      <c r="M345" s="11">
        <v>3.4</v>
      </c>
      <c r="N345" s="11"/>
      <c r="O345" s="11"/>
      <c r="P345" s="11"/>
      <c r="Q345" s="11"/>
      <c r="R345" s="11"/>
      <c r="S345" s="11" t="s">
        <v>414</v>
      </c>
      <c r="T345" s="11"/>
      <c r="U345" s="11"/>
      <c r="V345" s="11" t="s">
        <v>0</v>
      </c>
      <c r="W345" s="54">
        <v>8.8674676999999993E-2</v>
      </c>
      <c r="X345" s="11">
        <v>3</v>
      </c>
    </row>
    <row r="346" spans="1:24" ht="28.8" x14ac:dyDescent="0.3">
      <c r="A346" s="10">
        <v>9</v>
      </c>
      <c r="B346" s="11" t="s">
        <v>916</v>
      </c>
      <c r="C346" s="11"/>
      <c r="D346" s="11"/>
      <c r="E346" s="11" t="s">
        <v>917</v>
      </c>
      <c r="F346" s="11"/>
      <c r="G346" s="11" t="s">
        <v>58</v>
      </c>
      <c r="H346" s="11"/>
      <c r="I346" s="11" t="s">
        <v>435</v>
      </c>
      <c r="J346" s="11" t="s">
        <v>923</v>
      </c>
      <c r="K346" s="11"/>
      <c r="L346" s="11">
        <v>1997</v>
      </c>
      <c r="M346" s="11">
        <v>3.4</v>
      </c>
      <c r="N346" s="11"/>
      <c r="O346" s="11"/>
      <c r="P346" s="11"/>
      <c r="Q346" s="11"/>
      <c r="R346" s="11"/>
      <c r="S346" s="11" t="s">
        <v>290</v>
      </c>
      <c r="T346" s="11"/>
      <c r="U346" s="11"/>
      <c r="V346" s="11" t="s">
        <v>0</v>
      </c>
      <c r="W346" s="54">
        <v>0.17052822500000001</v>
      </c>
      <c r="X346" s="11">
        <v>3</v>
      </c>
    </row>
    <row r="347" spans="1:24" ht="28.8" x14ac:dyDescent="0.3">
      <c r="A347" s="10">
        <v>9</v>
      </c>
      <c r="B347" s="11" t="s">
        <v>916</v>
      </c>
      <c r="C347" s="11"/>
      <c r="D347" s="11"/>
      <c r="E347" s="11" t="s">
        <v>917</v>
      </c>
      <c r="F347" s="11"/>
      <c r="G347" s="11" t="s">
        <v>58</v>
      </c>
      <c r="H347" s="11"/>
      <c r="I347" s="11" t="s">
        <v>435</v>
      </c>
      <c r="J347" s="11" t="s">
        <v>923</v>
      </c>
      <c r="K347" s="11"/>
      <c r="L347" s="11">
        <v>1997</v>
      </c>
      <c r="M347" s="11">
        <v>3.4</v>
      </c>
      <c r="N347" s="11"/>
      <c r="O347" s="11"/>
      <c r="P347" s="11"/>
      <c r="Q347" s="11"/>
      <c r="R347" s="11"/>
      <c r="S347" s="11" t="s">
        <v>67</v>
      </c>
      <c r="T347" s="11"/>
      <c r="U347" s="11"/>
      <c r="V347" s="11" t="s">
        <v>0</v>
      </c>
      <c r="W347" s="54">
        <v>1.5654491049999999</v>
      </c>
      <c r="X347" s="11">
        <v>3</v>
      </c>
    </row>
    <row r="348" spans="1:24" ht="28.8" x14ac:dyDescent="0.3">
      <c r="A348" s="10">
        <v>9</v>
      </c>
      <c r="B348" s="11" t="s">
        <v>916</v>
      </c>
      <c r="C348" s="11"/>
      <c r="D348" s="11"/>
      <c r="E348" s="11" t="s">
        <v>917</v>
      </c>
      <c r="F348" s="11"/>
      <c r="G348" s="11" t="s">
        <v>58</v>
      </c>
      <c r="H348" s="11"/>
      <c r="I348" s="11" t="s">
        <v>435</v>
      </c>
      <c r="J348" s="11" t="s">
        <v>923</v>
      </c>
      <c r="K348" s="11"/>
      <c r="L348" s="11">
        <v>1997</v>
      </c>
      <c r="M348" s="11">
        <v>3.4</v>
      </c>
      <c r="N348" s="11"/>
      <c r="O348" s="11"/>
      <c r="P348" s="11"/>
      <c r="Q348" s="11"/>
      <c r="R348" s="11"/>
      <c r="S348" s="11" t="s">
        <v>65</v>
      </c>
      <c r="T348" s="11"/>
      <c r="U348" s="11"/>
      <c r="V348" s="11" t="s">
        <v>0</v>
      </c>
      <c r="W348" s="54">
        <v>9.9798915170000004</v>
      </c>
      <c r="X348" s="11">
        <v>3</v>
      </c>
    </row>
    <row r="349" spans="1:24" ht="28.8" x14ac:dyDescent="0.3">
      <c r="A349" s="10">
        <v>9</v>
      </c>
      <c r="B349" s="11" t="s">
        <v>916</v>
      </c>
      <c r="C349" s="11"/>
      <c r="D349" s="11"/>
      <c r="E349" s="11" t="s">
        <v>917</v>
      </c>
      <c r="F349" s="11"/>
      <c r="G349" s="11" t="s">
        <v>58</v>
      </c>
      <c r="H349" s="11"/>
      <c r="I349" s="11" t="s">
        <v>435</v>
      </c>
      <c r="J349" s="11" t="s">
        <v>923</v>
      </c>
      <c r="K349" s="11"/>
      <c r="L349" s="11">
        <v>1997</v>
      </c>
      <c r="M349" s="11">
        <v>3.4</v>
      </c>
      <c r="N349" s="11"/>
      <c r="O349" s="11"/>
      <c r="P349" s="11"/>
      <c r="Q349" s="11"/>
      <c r="R349" s="11"/>
      <c r="S349" s="11" t="s">
        <v>437</v>
      </c>
      <c r="T349" s="11"/>
      <c r="U349" s="11"/>
      <c r="V349" s="11" t="s">
        <v>0</v>
      </c>
      <c r="W349" s="54">
        <v>6.6506007709999997</v>
      </c>
      <c r="X349" s="11">
        <v>3</v>
      </c>
    </row>
    <row r="350" spans="1:24" ht="28.8" x14ac:dyDescent="0.3">
      <c r="A350" s="10">
        <v>9</v>
      </c>
      <c r="B350" s="11" t="s">
        <v>916</v>
      </c>
      <c r="C350" s="11"/>
      <c r="D350" s="11"/>
      <c r="E350" s="11" t="s">
        <v>917</v>
      </c>
      <c r="F350" s="11"/>
      <c r="G350" s="11" t="s">
        <v>58</v>
      </c>
      <c r="H350" s="11"/>
      <c r="I350" s="11" t="s">
        <v>435</v>
      </c>
      <c r="J350" s="11" t="s">
        <v>924</v>
      </c>
      <c r="K350" s="11"/>
      <c r="L350" s="11">
        <v>1997</v>
      </c>
      <c r="M350" s="11">
        <v>3.2</v>
      </c>
      <c r="N350" s="11"/>
      <c r="O350" s="11"/>
      <c r="P350" s="11"/>
      <c r="Q350" s="11"/>
      <c r="R350" s="11"/>
      <c r="S350" s="11" t="s">
        <v>30</v>
      </c>
      <c r="T350" s="11"/>
      <c r="U350" s="11"/>
      <c r="V350" s="11" t="s">
        <v>0</v>
      </c>
      <c r="W350" s="54">
        <v>2.6249296090000001</v>
      </c>
      <c r="X350" s="11">
        <v>3</v>
      </c>
    </row>
    <row r="351" spans="1:24" ht="28.8" x14ac:dyDescent="0.3">
      <c r="A351" s="10">
        <v>9</v>
      </c>
      <c r="B351" s="11" t="s">
        <v>916</v>
      </c>
      <c r="C351" s="11"/>
      <c r="D351" s="11"/>
      <c r="E351" s="11" t="s">
        <v>917</v>
      </c>
      <c r="F351" s="11"/>
      <c r="G351" s="11" t="s">
        <v>58</v>
      </c>
      <c r="H351" s="11"/>
      <c r="I351" s="11" t="s">
        <v>435</v>
      </c>
      <c r="J351" s="11" t="s">
        <v>924</v>
      </c>
      <c r="K351" s="11"/>
      <c r="L351" s="11">
        <v>1997</v>
      </c>
      <c r="M351" s="11">
        <v>3.2</v>
      </c>
      <c r="N351" s="11"/>
      <c r="O351" s="11"/>
      <c r="P351" s="11"/>
      <c r="Q351" s="11"/>
      <c r="R351" s="11"/>
      <c r="S351" s="11" t="s">
        <v>414</v>
      </c>
      <c r="T351" s="11"/>
      <c r="U351" s="11"/>
      <c r="V351" s="11" t="s">
        <v>0</v>
      </c>
      <c r="W351" s="54">
        <v>0.31525904599999999</v>
      </c>
      <c r="X351" s="11">
        <v>3</v>
      </c>
    </row>
    <row r="352" spans="1:24" ht="28.8" x14ac:dyDescent="0.3">
      <c r="A352" s="10">
        <v>9</v>
      </c>
      <c r="B352" s="11" t="s">
        <v>916</v>
      </c>
      <c r="C352" s="11"/>
      <c r="D352" s="11"/>
      <c r="E352" s="11" t="s">
        <v>917</v>
      </c>
      <c r="F352" s="11"/>
      <c r="G352" s="11" t="s">
        <v>58</v>
      </c>
      <c r="H352" s="11"/>
      <c r="I352" s="11" t="s">
        <v>435</v>
      </c>
      <c r="J352" s="11" t="s">
        <v>924</v>
      </c>
      <c r="K352" s="11"/>
      <c r="L352" s="11">
        <v>1997</v>
      </c>
      <c r="M352" s="11">
        <v>3.2</v>
      </c>
      <c r="N352" s="11"/>
      <c r="O352" s="11"/>
      <c r="P352" s="11"/>
      <c r="Q352" s="11"/>
      <c r="R352" s="11"/>
      <c r="S352" s="11" t="s">
        <v>290</v>
      </c>
      <c r="T352" s="11"/>
      <c r="U352" s="11"/>
      <c r="V352" s="11" t="s">
        <v>0</v>
      </c>
      <c r="W352" s="54">
        <v>0.213357132</v>
      </c>
      <c r="X352" s="11">
        <v>3</v>
      </c>
    </row>
    <row r="353" spans="1:24" ht="28.8" x14ac:dyDescent="0.3">
      <c r="A353" s="10">
        <v>9</v>
      </c>
      <c r="B353" s="11" t="s">
        <v>916</v>
      </c>
      <c r="C353" s="11"/>
      <c r="D353" s="11"/>
      <c r="E353" s="11" t="s">
        <v>917</v>
      </c>
      <c r="F353" s="11"/>
      <c r="G353" s="11" t="s">
        <v>58</v>
      </c>
      <c r="H353" s="11"/>
      <c r="I353" s="11" t="s">
        <v>435</v>
      </c>
      <c r="J353" s="11" t="s">
        <v>924</v>
      </c>
      <c r="K353" s="11"/>
      <c r="L353" s="11">
        <v>1997</v>
      </c>
      <c r="M353" s="11">
        <v>3.2</v>
      </c>
      <c r="N353" s="11"/>
      <c r="O353" s="11"/>
      <c r="P353" s="11"/>
      <c r="Q353" s="11"/>
      <c r="R353" s="11"/>
      <c r="S353" s="11" t="s">
        <v>67</v>
      </c>
      <c r="T353" s="11"/>
      <c r="U353" s="11"/>
      <c r="V353" s="11" t="s">
        <v>0</v>
      </c>
      <c r="W353" s="54">
        <v>1.1670953559999999</v>
      </c>
      <c r="X353" s="11">
        <v>3</v>
      </c>
    </row>
    <row r="354" spans="1:24" ht="28.8" x14ac:dyDescent="0.3">
      <c r="A354" s="10">
        <v>9</v>
      </c>
      <c r="B354" s="11" t="s">
        <v>916</v>
      </c>
      <c r="C354" s="11"/>
      <c r="D354" s="11"/>
      <c r="E354" s="11" t="s">
        <v>917</v>
      </c>
      <c r="F354" s="11"/>
      <c r="G354" s="11" t="s">
        <v>58</v>
      </c>
      <c r="H354" s="11"/>
      <c r="I354" s="11" t="s">
        <v>435</v>
      </c>
      <c r="J354" s="11" t="s">
        <v>924</v>
      </c>
      <c r="K354" s="11"/>
      <c r="L354" s="11">
        <v>1997</v>
      </c>
      <c r="M354" s="11">
        <v>3.2</v>
      </c>
      <c r="N354" s="11"/>
      <c r="O354" s="11"/>
      <c r="P354" s="11"/>
      <c r="Q354" s="11"/>
      <c r="R354" s="11"/>
      <c r="S354" s="11" t="s">
        <v>65</v>
      </c>
      <c r="T354" s="11"/>
      <c r="U354" s="11"/>
      <c r="V354" s="11" t="s">
        <v>0</v>
      </c>
      <c r="W354" s="54">
        <v>52.924987999999999</v>
      </c>
      <c r="X354" s="11">
        <v>3</v>
      </c>
    </row>
    <row r="355" spans="1:24" ht="28.8" x14ac:dyDescent="0.3">
      <c r="A355" s="10">
        <v>9</v>
      </c>
      <c r="B355" s="11" t="s">
        <v>916</v>
      </c>
      <c r="C355" s="11"/>
      <c r="D355" s="11"/>
      <c r="E355" s="11" t="s">
        <v>917</v>
      </c>
      <c r="F355" s="11"/>
      <c r="G355" s="11" t="s">
        <v>58</v>
      </c>
      <c r="H355" s="11"/>
      <c r="I355" s="11" t="s">
        <v>435</v>
      </c>
      <c r="J355" s="11" t="s">
        <v>924</v>
      </c>
      <c r="K355" s="11"/>
      <c r="L355" s="11">
        <v>1997</v>
      </c>
      <c r="M355" s="11">
        <v>3.2</v>
      </c>
      <c r="N355" s="11"/>
      <c r="O355" s="11"/>
      <c r="P355" s="11"/>
      <c r="Q355" s="11"/>
      <c r="R355" s="11"/>
      <c r="S355" s="11" t="s">
        <v>437</v>
      </c>
      <c r="T355" s="11"/>
      <c r="U355" s="11"/>
      <c r="V355" s="11" t="s">
        <v>0</v>
      </c>
      <c r="W355" s="54">
        <v>2.8245936710000001</v>
      </c>
      <c r="X355" s="11">
        <v>3</v>
      </c>
    </row>
    <row r="356" spans="1:24" ht="28.8" x14ac:dyDescent="0.3">
      <c r="A356" s="10">
        <v>9</v>
      </c>
      <c r="B356" s="11" t="s">
        <v>916</v>
      </c>
      <c r="C356" s="11"/>
      <c r="D356" s="11"/>
      <c r="E356" s="11" t="s">
        <v>917</v>
      </c>
      <c r="F356" s="11"/>
      <c r="G356" s="11" t="s">
        <v>58</v>
      </c>
      <c r="H356" s="11"/>
      <c r="I356" s="11" t="s">
        <v>435</v>
      </c>
      <c r="J356" s="11" t="s">
        <v>925</v>
      </c>
      <c r="K356" s="11"/>
      <c r="L356" s="11">
        <v>1997</v>
      </c>
      <c r="M356" s="11">
        <v>3.3</v>
      </c>
      <c r="N356" s="11"/>
      <c r="O356" s="11"/>
      <c r="P356" s="11"/>
      <c r="Q356" s="11"/>
      <c r="R356" s="11"/>
      <c r="S356" s="11" t="s">
        <v>30</v>
      </c>
      <c r="T356" s="11"/>
      <c r="U356" s="11"/>
      <c r="V356" s="11" t="s">
        <v>0</v>
      </c>
      <c r="W356" s="54">
        <v>7.244221252</v>
      </c>
      <c r="X356" s="11">
        <v>3</v>
      </c>
    </row>
    <row r="357" spans="1:24" ht="28.8" x14ac:dyDescent="0.3">
      <c r="A357" s="10">
        <v>9</v>
      </c>
      <c r="B357" s="11" t="s">
        <v>916</v>
      </c>
      <c r="C357" s="11"/>
      <c r="D357" s="11"/>
      <c r="E357" s="11" t="s">
        <v>917</v>
      </c>
      <c r="F357" s="11"/>
      <c r="G357" s="11" t="s">
        <v>58</v>
      </c>
      <c r="H357" s="11"/>
      <c r="I357" s="11" t="s">
        <v>435</v>
      </c>
      <c r="J357" s="11" t="s">
        <v>925</v>
      </c>
      <c r="K357" s="11"/>
      <c r="L357" s="11">
        <v>1997</v>
      </c>
      <c r="M357" s="11">
        <v>3.3</v>
      </c>
      <c r="N357" s="11"/>
      <c r="O357" s="11"/>
      <c r="P357" s="11"/>
      <c r="Q357" s="11"/>
      <c r="R357" s="11"/>
      <c r="S357" s="11" t="s">
        <v>414</v>
      </c>
      <c r="T357" s="11"/>
      <c r="U357" s="11"/>
      <c r="V357" s="11" t="s">
        <v>0</v>
      </c>
      <c r="W357" s="54">
        <v>8.5137528000000004E-2</v>
      </c>
      <c r="X357" s="11">
        <v>3</v>
      </c>
    </row>
    <row r="358" spans="1:24" ht="28.8" x14ac:dyDescent="0.3">
      <c r="A358" s="10">
        <v>9</v>
      </c>
      <c r="B358" s="11" t="s">
        <v>916</v>
      </c>
      <c r="C358" s="11"/>
      <c r="D358" s="11"/>
      <c r="E358" s="11" t="s">
        <v>917</v>
      </c>
      <c r="F358" s="11"/>
      <c r="G358" s="11" t="s">
        <v>58</v>
      </c>
      <c r="H358" s="11"/>
      <c r="I358" s="11" t="s">
        <v>435</v>
      </c>
      <c r="J358" s="11" t="s">
        <v>925</v>
      </c>
      <c r="K358" s="11"/>
      <c r="L358" s="11">
        <v>1997</v>
      </c>
      <c r="M358" s="11">
        <v>3.3</v>
      </c>
      <c r="N358" s="11"/>
      <c r="O358" s="11"/>
      <c r="P358" s="11"/>
      <c r="Q358" s="11"/>
      <c r="R358" s="11"/>
      <c r="S358" s="11" t="s">
        <v>290</v>
      </c>
      <c r="T358" s="11"/>
      <c r="U358" s="11"/>
      <c r="V358" s="11" t="s">
        <v>0</v>
      </c>
      <c r="W358" s="54">
        <v>0.43223667900000001</v>
      </c>
      <c r="X358" s="11">
        <v>3</v>
      </c>
    </row>
    <row r="359" spans="1:24" ht="28.8" x14ac:dyDescent="0.3">
      <c r="A359" s="10">
        <v>9</v>
      </c>
      <c r="B359" s="11" t="s">
        <v>916</v>
      </c>
      <c r="C359" s="11"/>
      <c r="D359" s="11"/>
      <c r="E359" s="11" t="s">
        <v>917</v>
      </c>
      <c r="F359" s="11"/>
      <c r="G359" s="11" t="s">
        <v>58</v>
      </c>
      <c r="H359" s="11"/>
      <c r="I359" s="11" t="s">
        <v>435</v>
      </c>
      <c r="J359" s="11" t="s">
        <v>925</v>
      </c>
      <c r="K359" s="11"/>
      <c r="L359" s="11">
        <v>1997</v>
      </c>
      <c r="M359" s="11">
        <v>3.3</v>
      </c>
      <c r="N359" s="11"/>
      <c r="O359" s="11"/>
      <c r="P359" s="11"/>
      <c r="Q359" s="11"/>
      <c r="R359" s="11"/>
      <c r="S359" s="11" t="s">
        <v>67</v>
      </c>
      <c r="T359" s="11"/>
      <c r="U359" s="11"/>
      <c r="V359" s="11" t="s">
        <v>0</v>
      </c>
      <c r="W359" s="54">
        <v>6.2641573270000004</v>
      </c>
      <c r="X359" s="11">
        <v>3</v>
      </c>
    </row>
    <row r="360" spans="1:24" ht="28.8" x14ac:dyDescent="0.3">
      <c r="A360" s="10">
        <v>9</v>
      </c>
      <c r="B360" s="11" t="s">
        <v>916</v>
      </c>
      <c r="C360" s="11"/>
      <c r="D360" s="11"/>
      <c r="E360" s="11" t="s">
        <v>917</v>
      </c>
      <c r="F360" s="11"/>
      <c r="G360" s="11" t="s">
        <v>58</v>
      </c>
      <c r="H360" s="11"/>
      <c r="I360" s="11" t="s">
        <v>435</v>
      </c>
      <c r="J360" s="11" t="s">
        <v>925</v>
      </c>
      <c r="K360" s="11"/>
      <c r="L360" s="11">
        <v>1997</v>
      </c>
      <c r="M360" s="11">
        <v>3.3</v>
      </c>
      <c r="N360" s="11"/>
      <c r="O360" s="11"/>
      <c r="P360" s="11"/>
      <c r="Q360" s="11"/>
      <c r="R360" s="11"/>
      <c r="S360" s="11" t="s">
        <v>65</v>
      </c>
      <c r="T360" s="11"/>
      <c r="U360" s="11"/>
      <c r="V360" s="11" t="s">
        <v>0</v>
      </c>
      <c r="W360" s="54">
        <v>1.5580887969999999</v>
      </c>
      <c r="X360" s="11">
        <v>3</v>
      </c>
    </row>
    <row r="361" spans="1:24" ht="28.8" x14ac:dyDescent="0.3">
      <c r="A361" s="10">
        <v>9</v>
      </c>
      <c r="B361" s="11" t="s">
        <v>916</v>
      </c>
      <c r="C361" s="11"/>
      <c r="D361" s="11"/>
      <c r="E361" s="11" t="s">
        <v>917</v>
      </c>
      <c r="F361" s="11"/>
      <c r="G361" s="11" t="s">
        <v>58</v>
      </c>
      <c r="H361" s="11"/>
      <c r="I361" s="11" t="s">
        <v>435</v>
      </c>
      <c r="J361" s="11" t="s">
        <v>925</v>
      </c>
      <c r="K361" s="11"/>
      <c r="L361" s="11">
        <v>1997</v>
      </c>
      <c r="M361" s="11">
        <v>3.3</v>
      </c>
      <c r="N361" s="11"/>
      <c r="O361" s="11"/>
      <c r="P361" s="11"/>
      <c r="Q361" s="11"/>
      <c r="R361" s="11"/>
      <c r="S361" s="11" t="s">
        <v>437</v>
      </c>
      <c r="T361" s="11"/>
      <c r="U361" s="11"/>
      <c r="V361" s="11" t="s">
        <v>0</v>
      </c>
      <c r="W361" s="54">
        <v>1.7092995950000001</v>
      </c>
      <c r="X361" s="11">
        <v>3</v>
      </c>
    </row>
    <row r="362" spans="1:24" ht="28.8" x14ac:dyDescent="0.3">
      <c r="A362" s="10">
        <v>9</v>
      </c>
      <c r="B362" s="11" t="s">
        <v>916</v>
      </c>
      <c r="C362" s="11"/>
      <c r="D362" s="11"/>
      <c r="E362" s="11" t="s">
        <v>917</v>
      </c>
      <c r="F362" s="11"/>
      <c r="G362" s="11" t="s">
        <v>58</v>
      </c>
      <c r="H362" s="11"/>
      <c r="I362" s="11" t="s">
        <v>435</v>
      </c>
      <c r="J362" s="11" t="s">
        <v>926</v>
      </c>
      <c r="K362" s="13"/>
      <c r="L362" s="11">
        <v>1997</v>
      </c>
      <c r="M362" s="11">
        <v>2.9</v>
      </c>
      <c r="N362" s="11"/>
      <c r="O362" s="11"/>
      <c r="P362" s="11"/>
      <c r="Q362" s="11"/>
      <c r="R362" s="11"/>
      <c r="S362" s="11" t="s">
        <v>30</v>
      </c>
      <c r="T362" s="11"/>
      <c r="U362" s="11"/>
      <c r="V362" s="11" t="s">
        <v>0</v>
      </c>
      <c r="W362" s="54">
        <v>5.8124524480000002</v>
      </c>
      <c r="X362" s="11">
        <v>3</v>
      </c>
    </row>
    <row r="363" spans="1:24" ht="28.8" x14ac:dyDescent="0.3">
      <c r="A363" s="10">
        <v>9</v>
      </c>
      <c r="B363" s="11" t="s">
        <v>916</v>
      </c>
      <c r="C363" s="11"/>
      <c r="D363" s="11"/>
      <c r="E363" s="11" t="s">
        <v>917</v>
      </c>
      <c r="F363" s="11"/>
      <c r="G363" s="11" t="s">
        <v>58</v>
      </c>
      <c r="H363" s="11"/>
      <c r="I363" s="11" t="s">
        <v>435</v>
      </c>
      <c r="J363" s="11" t="s">
        <v>926</v>
      </c>
      <c r="K363" s="11"/>
      <c r="L363" s="11">
        <v>1997</v>
      </c>
      <c r="M363" s="11">
        <v>2.9</v>
      </c>
      <c r="N363" s="11"/>
      <c r="O363" s="11"/>
      <c r="P363" s="11"/>
      <c r="Q363" s="11"/>
      <c r="R363" s="11"/>
      <c r="S363" s="11" t="s">
        <v>414</v>
      </c>
      <c r="T363" s="11"/>
      <c r="U363" s="11"/>
      <c r="V363" s="11" t="s">
        <v>0</v>
      </c>
      <c r="W363" s="54">
        <v>0.227735825</v>
      </c>
      <c r="X363" s="11">
        <v>3</v>
      </c>
    </row>
    <row r="364" spans="1:24" ht="28.8" x14ac:dyDescent="0.3">
      <c r="A364" s="10">
        <v>9</v>
      </c>
      <c r="B364" s="11" t="s">
        <v>916</v>
      </c>
      <c r="C364" s="11"/>
      <c r="D364" s="11"/>
      <c r="E364" s="11" t="s">
        <v>917</v>
      </c>
      <c r="F364" s="11"/>
      <c r="G364" s="11" t="s">
        <v>58</v>
      </c>
      <c r="H364" s="11"/>
      <c r="I364" s="11" t="s">
        <v>435</v>
      </c>
      <c r="J364" s="11" t="s">
        <v>926</v>
      </c>
      <c r="K364" s="11"/>
      <c r="L364" s="11">
        <v>1997</v>
      </c>
      <c r="M364" s="11">
        <v>2.9</v>
      </c>
      <c r="N364" s="11"/>
      <c r="O364" s="11"/>
      <c r="P364" s="11"/>
      <c r="Q364" s="11"/>
      <c r="R364" s="11"/>
      <c r="S364" s="11" t="s">
        <v>290</v>
      </c>
      <c r="T364" s="11"/>
      <c r="U364" s="11"/>
      <c r="V364" s="11" t="s">
        <v>0</v>
      </c>
      <c r="W364" s="54">
        <v>0.20755670100000001</v>
      </c>
      <c r="X364" s="11">
        <v>3</v>
      </c>
    </row>
    <row r="365" spans="1:24" ht="28.8" x14ac:dyDescent="0.3">
      <c r="A365" s="10">
        <v>9</v>
      </c>
      <c r="B365" s="11" t="s">
        <v>916</v>
      </c>
      <c r="C365" s="11"/>
      <c r="D365" s="11"/>
      <c r="E365" s="11" t="s">
        <v>917</v>
      </c>
      <c r="F365" s="11"/>
      <c r="G365" s="11" t="s">
        <v>58</v>
      </c>
      <c r="H365" s="11"/>
      <c r="I365" s="11" t="s">
        <v>435</v>
      </c>
      <c r="J365" s="11" t="s">
        <v>926</v>
      </c>
      <c r="K365" s="11"/>
      <c r="L365" s="11">
        <v>1997</v>
      </c>
      <c r="M365" s="11">
        <v>2.9</v>
      </c>
      <c r="N365" s="11"/>
      <c r="O365" s="11"/>
      <c r="P365" s="11"/>
      <c r="Q365" s="11"/>
      <c r="R365" s="11"/>
      <c r="S365" s="11" t="s">
        <v>67</v>
      </c>
      <c r="T365" s="11"/>
      <c r="U365" s="11"/>
      <c r="V365" s="11" t="s">
        <v>0</v>
      </c>
      <c r="W365" s="54">
        <v>9.6081456190000001</v>
      </c>
      <c r="X365" s="11">
        <v>3</v>
      </c>
    </row>
    <row r="366" spans="1:24" ht="28.8" x14ac:dyDescent="0.3">
      <c r="A366" s="10">
        <v>9</v>
      </c>
      <c r="B366" s="11" t="s">
        <v>916</v>
      </c>
      <c r="C366" s="11"/>
      <c r="D366" s="11"/>
      <c r="E366" s="11" t="s">
        <v>917</v>
      </c>
      <c r="F366" s="11"/>
      <c r="G366" s="11" t="s">
        <v>58</v>
      </c>
      <c r="H366" s="11"/>
      <c r="I366" s="11" t="s">
        <v>435</v>
      </c>
      <c r="J366" s="11" t="s">
        <v>926</v>
      </c>
      <c r="K366" s="11"/>
      <c r="L366" s="11">
        <v>1997</v>
      </c>
      <c r="M366" s="11">
        <v>2.9</v>
      </c>
      <c r="N366" s="11"/>
      <c r="O366" s="11"/>
      <c r="P366" s="11"/>
      <c r="Q366" s="11"/>
      <c r="R366" s="11"/>
      <c r="S366" s="11" t="s">
        <v>65</v>
      </c>
      <c r="T366" s="11"/>
      <c r="U366" s="11"/>
      <c r="V366" s="11" t="s">
        <v>0</v>
      </c>
      <c r="W366" s="54">
        <v>1.2318201929999999</v>
      </c>
      <c r="X366" s="11">
        <v>3</v>
      </c>
    </row>
    <row r="367" spans="1:24" ht="28.8" x14ac:dyDescent="0.3">
      <c r="A367" s="10">
        <v>9</v>
      </c>
      <c r="B367" s="11" t="s">
        <v>916</v>
      </c>
      <c r="C367" s="11"/>
      <c r="D367" s="11"/>
      <c r="E367" s="11" t="s">
        <v>917</v>
      </c>
      <c r="F367" s="11"/>
      <c r="G367" s="11" t="s">
        <v>58</v>
      </c>
      <c r="H367" s="11"/>
      <c r="I367" s="11" t="s">
        <v>435</v>
      </c>
      <c r="J367" s="11" t="s">
        <v>926</v>
      </c>
      <c r="K367" s="11"/>
      <c r="L367" s="11">
        <v>1997</v>
      </c>
      <c r="M367" s="11">
        <v>2.9</v>
      </c>
      <c r="N367" s="11"/>
      <c r="O367" s="11"/>
      <c r="P367" s="11"/>
      <c r="Q367" s="11"/>
      <c r="R367" s="11"/>
      <c r="S367" s="11" t="s">
        <v>437</v>
      </c>
      <c r="T367" s="11"/>
      <c r="U367" s="11"/>
      <c r="V367" s="11" t="s">
        <v>0</v>
      </c>
      <c r="W367" s="54">
        <v>226.58273199999999</v>
      </c>
      <c r="X367" s="11">
        <v>3</v>
      </c>
    </row>
    <row r="368" spans="1:24" ht="28.8" x14ac:dyDescent="0.3">
      <c r="A368" s="10">
        <v>9</v>
      </c>
      <c r="B368" s="11" t="s">
        <v>916</v>
      </c>
      <c r="C368" s="11"/>
      <c r="D368" s="11"/>
      <c r="E368" s="11" t="s">
        <v>917</v>
      </c>
      <c r="F368" s="11"/>
      <c r="G368" s="11" t="s">
        <v>58</v>
      </c>
      <c r="H368" s="11"/>
      <c r="I368" s="11" t="s">
        <v>435</v>
      </c>
      <c r="J368" s="11" t="s">
        <v>927</v>
      </c>
      <c r="K368" s="13"/>
      <c r="L368" s="11">
        <v>1997</v>
      </c>
      <c r="M368" s="11">
        <v>2.6</v>
      </c>
      <c r="N368" s="11"/>
      <c r="O368" s="11"/>
      <c r="P368" s="11"/>
      <c r="Q368" s="11"/>
      <c r="R368" s="11"/>
      <c r="S368" s="11" t="s">
        <v>30</v>
      </c>
      <c r="T368" s="11"/>
      <c r="U368" s="11"/>
      <c r="V368" s="11" t="s">
        <v>0</v>
      </c>
      <c r="W368" s="54">
        <v>1.050097026</v>
      </c>
      <c r="X368" s="11">
        <v>3</v>
      </c>
    </row>
    <row r="369" spans="1:24" ht="28.8" x14ac:dyDescent="0.3">
      <c r="A369" s="10">
        <v>9</v>
      </c>
      <c r="B369" s="11" t="s">
        <v>916</v>
      </c>
      <c r="C369" s="11"/>
      <c r="D369" s="11"/>
      <c r="E369" s="11" t="s">
        <v>917</v>
      </c>
      <c r="F369" s="11"/>
      <c r="G369" s="11" t="s">
        <v>58</v>
      </c>
      <c r="H369" s="11"/>
      <c r="I369" s="11" t="s">
        <v>435</v>
      </c>
      <c r="J369" s="11" t="s">
        <v>927</v>
      </c>
      <c r="K369" s="11"/>
      <c r="L369" s="11">
        <v>1997</v>
      </c>
      <c r="M369" s="11">
        <v>2.6</v>
      </c>
      <c r="N369" s="11"/>
      <c r="O369" s="11"/>
      <c r="P369" s="11"/>
      <c r="Q369" s="11"/>
      <c r="R369" s="11"/>
      <c r="S369" s="11" t="s">
        <v>414</v>
      </c>
      <c r="T369" s="11"/>
      <c r="U369" s="11"/>
      <c r="V369" s="11" t="s">
        <v>0</v>
      </c>
      <c r="W369" s="54">
        <v>6.6624017999999993E-2</v>
      </c>
      <c r="X369" s="11">
        <v>3</v>
      </c>
    </row>
    <row r="370" spans="1:24" ht="28.8" x14ac:dyDescent="0.3">
      <c r="A370" s="10">
        <v>9</v>
      </c>
      <c r="B370" s="11" t="s">
        <v>916</v>
      </c>
      <c r="C370" s="11"/>
      <c r="D370" s="11"/>
      <c r="E370" s="11" t="s">
        <v>917</v>
      </c>
      <c r="F370" s="11"/>
      <c r="G370" s="11" t="s">
        <v>58</v>
      </c>
      <c r="H370" s="11"/>
      <c r="I370" s="11" t="s">
        <v>435</v>
      </c>
      <c r="J370" s="11" t="s">
        <v>927</v>
      </c>
      <c r="K370" s="11"/>
      <c r="L370" s="11">
        <v>1997</v>
      </c>
      <c r="M370" s="11">
        <v>2.6</v>
      </c>
      <c r="N370" s="11"/>
      <c r="O370" s="11"/>
      <c r="P370" s="11"/>
      <c r="Q370" s="11"/>
      <c r="R370" s="11"/>
      <c r="S370" s="11" t="s">
        <v>290</v>
      </c>
      <c r="T370" s="11"/>
      <c r="U370" s="11"/>
      <c r="V370" s="11" t="s">
        <v>0</v>
      </c>
      <c r="W370" s="54">
        <v>0.110185876</v>
      </c>
      <c r="X370" s="11">
        <v>3</v>
      </c>
    </row>
    <row r="371" spans="1:24" ht="28.8" x14ac:dyDescent="0.3">
      <c r="A371" s="10">
        <v>9</v>
      </c>
      <c r="B371" s="11" t="s">
        <v>916</v>
      </c>
      <c r="C371" s="11"/>
      <c r="D371" s="11"/>
      <c r="E371" s="11" t="s">
        <v>917</v>
      </c>
      <c r="F371" s="11"/>
      <c r="G371" s="11" t="s">
        <v>58</v>
      </c>
      <c r="H371" s="11"/>
      <c r="I371" s="11" t="s">
        <v>435</v>
      </c>
      <c r="J371" s="11" t="s">
        <v>927</v>
      </c>
      <c r="K371" s="11"/>
      <c r="L371" s="11">
        <v>1997</v>
      </c>
      <c r="M371" s="11">
        <v>2.6</v>
      </c>
      <c r="N371" s="11"/>
      <c r="O371" s="11"/>
      <c r="P371" s="11"/>
      <c r="Q371" s="11"/>
      <c r="R371" s="11"/>
      <c r="S371" s="11" t="s">
        <v>67</v>
      </c>
      <c r="T371" s="11"/>
      <c r="U371" s="11"/>
      <c r="V371" s="11" t="s">
        <v>0</v>
      </c>
      <c r="W371" s="54">
        <v>851.73682399999996</v>
      </c>
      <c r="X371" s="11">
        <v>3</v>
      </c>
    </row>
    <row r="372" spans="1:24" ht="28.8" x14ac:dyDescent="0.3">
      <c r="A372" s="10">
        <v>9</v>
      </c>
      <c r="B372" s="11" t="s">
        <v>916</v>
      </c>
      <c r="C372" s="11"/>
      <c r="D372" s="11"/>
      <c r="E372" s="11" t="s">
        <v>917</v>
      </c>
      <c r="F372" s="11"/>
      <c r="G372" s="11" t="s">
        <v>58</v>
      </c>
      <c r="H372" s="11"/>
      <c r="I372" s="11" t="s">
        <v>435</v>
      </c>
      <c r="J372" s="11" t="s">
        <v>927</v>
      </c>
      <c r="K372" s="11"/>
      <c r="L372" s="11">
        <v>1997</v>
      </c>
      <c r="M372" s="11">
        <v>2.6</v>
      </c>
      <c r="N372" s="11"/>
      <c r="O372" s="11"/>
      <c r="P372" s="11"/>
      <c r="Q372" s="11"/>
      <c r="R372" s="11"/>
      <c r="S372" s="11" t="s">
        <v>65</v>
      </c>
      <c r="T372" s="11"/>
      <c r="U372" s="11"/>
      <c r="V372" s="11" t="s">
        <v>0</v>
      </c>
      <c r="W372" s="54">
        <v>5.919108402</v>
      </c>
      <c r="X372" s="11">
        <v>3</v>
      </c>
    </row>
    <row r="373" spans="1:24" ht="28.8" x14ac:dyDescent="0.3">
      <c r="A373" s="10">
        <v>9</v>
      </c>
      <c r="B373" s="11" t="s">
        <v>916</v>
      </c>
      <c r="C373" s="11"/>
      <c r="D373" s="11"/>
      <c r="E373" s="11" t="s">
        <v>917</v>
      </c>
      <c r="F373" s="11"/>
      <c r="G373" s="11" t="s">
        <v>58</v>
      </c>
      <c r="H373" s="11"/>
      <c r="I373" s="11" t="s">
        <v>435</v>
      </c>
      <c r="J373" s="11" t="s">
        <v>927</v>
      </c>
      <c r="K373" s="11"/>
      <c r="L373" s="11">
        <v>1997</v>
      </c>
      <c r="M373" s="11">
        <v>2.6</v>
      </c>
      <c r="N373" s="11"/>
      <c r="O373" s="11"/>
      <c r="P373" s="11"/>
      <c r="Q373" s="11"/>
      <c r="R373" s="11"/>
      <c r="S373" s="11" t="s">
        <v>437</v>
      </c>
      <c r="T373" s="11"/>
      <c r="U373" s="11"/>
      <c r="V373" s="11" t="s">
        <v>0</v>
      </c>
      <c r="W373" s="54">
        <v>3.2158901110000002</v>
      </c>
      <c r="X373" s="11">
        <v>3</v>
      </c>
    </row>
    <row r="374" spans="1:24" ht="28.8" x14ac:dyDescent="0.3">
      <c r="A374" s="10">
        <v>9</v>
      </c>
      <c r="B374" s="11" t="s">
        <v>916</v>
      </c>
      <c r="C374" s="11"/>
      <c r="D374" s="11"/>
      <c r="E374" s="11" t="s">
        <v>917</v>
      </c>
      <c r="F374" s="11"/>
      <c r="G374" s="11" t="s">
        <v>58</v>
      </c>
      <c r="H374" s="11"/>
      <c r="I374" s="11" t="s">
        <v>435</v>
      </c>
      <c r="J374" s="11" t="s">
        <v>928</v>
      </c>
      <c r="K374" s="13"/>
      <c r="L374" s="11">
        <v>1997</v>
      </c>
      <c r="M374" s="11">
        <v>3.1</v>
      </c>
      <c r="N374" s="11"/>
      <c r="O374" s="11"/>
      <c r="P374" s="11"/>
      <c r="Q374" s="11"/>
      <c r="R374" s="11"/>
      <c r="S374" s="11" t="s">
        <v>30</v>
      </c>
      <c r="T374" s="11"/>
      <c r="U374" s="11"/>
      <c r="V374" s="11" t="s">
        <v>0</v>
      </c>
      <c r="W374" s="54">
        <v>6.1800401980000004</v>
      </c>
      <c r="X374" s="11">
        <v>3</v>
      </c>
    </row>
    <row r="375" spans="1:24" ht="28.8" x14ac:dyDescent="0.3">
      <c r="A375" s="10">
        <v>9</v>
      </c>
      <c r="B375" s="11" t="s">
        <v>916</v>
      </c>
      <c r="C375" s="11"/>
      <c r="D375" s="11"/>
      <c r="E375" s="11" t="s">
        <v>917</v>
      </c>
      <c r="F375" s="11"/>
      <c r="G375" s="11" t="s">
        <v>58</v>
      </c>
      <c r="H375" s="11"/>
      <c r="I375" s="11" t="s">
        <v>435</v>
      </c>
      <c r="J375" s="11" t="s">
        <v>928</v>
      </c>
      <c r="K375" s="11"/>
      <c r="L375" s="11">
        <v>1997</v>
      </c>
      <c r="M375" s="11">
        <v>3.1</v>
      </c>
      <c r="N375" s="11"/>
      <c r="O375" s="11"/>
      <c r="P375" s="11"/>
      <c r="Q375" s="11"/>
      <c r="R375" s="11"/>
      <c r="S375" s="11" t="s">
        <v>414</v>
      </c>
      <c r="T375" s="11"/>
      <c r="U375" s="11"/>
      <c r="V375" s="11" t="s">
        <v>0</v>
      </c>
      <c r="W375" s="54">
        <v>0.266526296</v>
      </c>
      <c r="X375" s="11">
        <v>3</v>
      </c>
    </row>
    <row r="376" spans="1:24" ht="28.8" x14ac:dyDescent="0.3">
      <c r="A376" s="10">
        <v>9</v>
      </c>
      <c r="B376" s="11" t="s">
        <v>916</v>
      </c>
      <c r="C376" s="11"/>
      <c r="D376" s="11"/>
      <c r="E376" s="11" t="s">
        <v>917</v>
      </c>
      <c r="F376" s="11"/>
      <c r="G376" s="11" t="s">
        <v>58</v>
      </c>
      <c r="H376" s="11"/>
      <c r="I376" s="11" t="s">
        <v>435</v>
      </c>
      <c r="J376" s="11" t="s">
        <v>928</v>
      </c>
      <c r="K376" s="11"/>
      <c r="L376" s="11">
        <v>1997</v>
      </c>
      <c r="M376" s="11">
        <v>3.1</v>
      </c>
      <c r="N376" s="11"/>
      <c r="O376" s="11"/>
      <c r="P376" s="11"/>
      <c r="Q376" s="11"/>
      <c r="R376" s="11"/>
      <c r="S376" s="11" t="s">
        <v>290</v>
      </c>
      <c r="T376" s="11"/>
      <c r="U376" s="11"/>
      <c r="V376" s="11" t="s">
        <v>0</v>
      </c>
      <c r="W376" s="54">
        <v>0.52998907200000001</v>
      </c>
      <c r="X376" s="11">
        <v>3</v>
      </c>
    </row>
    <row r="377" spans="1:24" ht="28.8" x14ac:dyDescent="0.3">
      <c r="A377" s="10">
        <v>9</v>
      </c>
      <c r="B377" s="11" t="s">
        <v>916</v>
      </c>
      <c r="C377" s="11"/>
      <c r="D377" s="11"/>
      <c r="E377" s="11" t="s">
        <v>917</v>
      </c>
      <c r="F377" s="11"/>
      <c r="G377" s="11" t="s">
        <v>58</v>
      </c>
      <c r="H377" s="11"/>
      <c r="I377" s="11" t="s">
        <v>435</v>
      </c>
      <c r="J377" s="11" t="s">
        <v>928</v>
      </c>
      <c r="K377" s="11"/>
      <c r="L377" s="11">
        <v>1997</v>
      </c>
      <c r="M377" s="11">
        <v>3.1</v>
      </c>
      <c r="N377" s="11"/>
      <c r="O377" s="11"/>
      <c r="P377" s="11"/>
      <c r="Q377" s="11"/>
      <c r="R377" s="11"/>
      <c r="S377" s="11" t="s">
        <v>67</v>
      </c>
      <c r="T377" s="11"/>
      <c r="U377" s="11"/>
      <c r="V377" s="11" t="s">
        <v>0</v>
      </c>
      <c r="W377" s="54">
        <v>6.0657708780000004</v>
      </c>
      <c r="X377" s="11">
        <v>3</v>
      </c>
    </row>
    <row r="378" spans="1:24" ht="28.8" x14ac:dyDescent="0.3">
      <c r="A378" s="10">
        <v>9</v>
      </c>
      <c r="B378" s="11" t="s">
        <v>916</v>
      </c>
      <c r="C378" s="11"/>
      <c r="D378" s="11"/>
      <c r="E378" s="11" t="s">
        <v>917</v>
      </c>
      <c r="F378" s="11"/>
      <c r="G378" s="11" t="s">
        <v>58</v>
      </c>
      <c r="H378" s="11"/>
      <c r="I378" s="11" t="s">
        <v>435</v>
      </c>
      <c r="J378" s="11" t="s">
        <v>928</v>
      </c>
      <c r="K378" s="11"/>
      <c r="L378" s="11">
        <v>1997</v>
      </c>
      <c r="M378" s="11">
        <v>3.1</v>
      </c>
      <c r="N378" s="11"/>
      <c r="O378" s="11"/>
      <c r="P378" s="11"/>
      <c r="Q378" s="11"/>
      <c r="R378" s="11"/>
      <c r="S378" s="11" t="s">
        <v>65</v>
      </c>
      <c r="T378" s="11"/>
      <c r="U378" s="11"/>
      <c r="V378" s="11" t="s">
        <v>0</v>
      </c>
      <c r="W378" s="54">
        <v>1.2202707340000001</v>
      </c>
      <c r="X378" s="11">
        <v>3</v>
      </c>
    </row>
    <row r="379" spans="1:24" ht="28.8" x14ac:dyDescent="0.3">
      <c r="A379" s="10">
        <v>9</v>
      </c>
      <c r="B379" s="11" t="s">
        <v>916</v>
      </c>
      <c r="C379" s="11"/>
      <c r="D379" s="11"/>
      <c r="E379" s="11" t="s">
        <v>917</v>
      </c>
      <c r="F379" s="11"/>
      <c r="G379" s="11" t="s">
        <v>58</v>
      </c>
      <c r="H379" s="11"/>
      <c r="I379" s="11" t="s">
        <v>435</v>
      </c>
      <c r="J379" s="11" t="s">
        <v>928</v>
      </c>
      <c r="K379" s="11"/>
      <c r="L379" s="11">
        <v>1997</v>
      </c>
      <c r="M379" s="11">
        <v>3.1</v>
      </c>
      <c r="N379" s="11"/>
      <c r="O379" s="11"/>
      <c r="P379" s="11"/>
      <c r="Q379" s="11"/>
      <c r="R379" s="11"/>
      <c r="S379" s="11" t="s">
        <v>437</v>
      </c>
      <c r="T379" s="11"/>
      <c r="U379" s="11"/>
      <c r="V379" s="11" t="s">
        <v>0</v>
      </c>
      <c r="W379" s="54">
        <v>2.7663591429999999</v>
      </c>
      <c r="X379" s="11">
        <v>3</v>
      </c>
    </row>
    <row r="380" spans="1:24" ht="28.8" x14ac:dyDescent="0.3">
      <c r="A380" s="10">
        <v>9</v>
      </c>
      <c r="B380" s="11" t="s">
        <v>916</v>
      </c>
      <c r="C380" s="11"/>
      <c r="D380" s="11"/>
      <c r="E380" s="11" t="s">
        <v>917</v>
      </c>
      <c r="F380" s="11"/>
      <c r="G380" s="11" t="s">
        <v>58</v>
      </c>
      <c r="H380" s="11"/>
      <c r="I380" s="11" t="s">
        <v>435</v>
      </c>
      <c r="J380" s="11" t="s">
        <v>929</v>
      </c>
      <c r="K380" s="13"/>
      <c r="L380" s="11">
        <v>1997</v>
      </c>
      <c r="M380" s="11">
        <v>3.2</v>
      </c>
      <c r="N380" s="11"/>
      <c r="O380" s="11"/>
      <c r="P380" s="11"/>
      <c r="Q380" s="11"/>
      <c r="R380" s="11"/>
      <c r="S380" s="11" t="s">
        <v>30</v>
      </c>
      <c r="T380" s="11"/>
      <c r="U380" s="11"/>
      <c r="V380" s="11" t="s">
        <v>0</v>
      </c>
      <c r="W380" s="54">
        <v>5.861229324</v>
      </c>
      <c r="X380" s="11">
        <v>3</v>
      </c>
    </row>
    <row r="381" spans="1:24" ht="28.8" x14ac:dyDescent="0.3">
      <c r="A381" s="10">
        <v>9</v>
      </c>
      <c r="B381" s="11" t="s">
        <v>916</v>
      </c>
      <c r="C381" s="11"/>
      <c r="D381" s="11"/>
      <c r="E381" s="11" t="s">
        <v>917</v>
      </c>
      <c r="F381" s="11"/>
      <c r="G381" s="11" t="s">
        <v>58</v>
      </c>
      <c r="H381" s="11"/>
      <c r="I381" s="11" t="s">
        <v>435</v>
      </c>
      <c r="J381" s="11" t="s">
        <v>929</v>
      </c>
      <c r="K381" s="11"/>
      <c r="L381" s="11">
        <v>1997</v>
      </c>
      <c r="M381" s="11">
        <v>3.2</v>
      </c>
      <c r="N381" s="11"/>
      <c r="O381" s="11"/>
      <c r="P381" s="11"/>
      <c r="Q381" s="11"/>
      <c r="R381" s="11"/>
      <c r="S381" s="11" t="s">
        <v>414</v>
      </c>
      <c r="T381" s="11"/>
      <c r="U381" s="11"/>
      <c r="V381" s="11" t="s">
        <v>0</v>
      </c>
      <c r="W381" s="54">
        <v>8.3488721000000002E-2</v>
      </c>
      <c r="X381" s="11">
        <v>3</v>
      </c>
    </row>
    <row r="382" spans="1:24" ht="28.8" x14ac:dyDescent="0.3">
      <c r="A382" s="10">
        <v>9</v>
      </c>
      <c r="B382" s="11" t="s">
        <v>916</v>
      </c>
      <c r="C382" s="11"/>
      <c r="D382" s="11"/>
      <c r="E382" s="11" t="s">
        <v>917</v>
      </c>
      <c r="F382" s="11"/>
      <c r="G382" s="11" t="s">
        <v>58</v>
      </c>
      <c r="H382" s="11"/>
      <c r="I382" s="11" t="s">
        <v>435</v>
      </c>
      <c r="J382" s="11" t="s">
        <v>929</v>
      </c>
      <c r="K382" s="11"/>
      <c r="L382" s="11">
        <v>1997</v>
      </c>
      <c r="M382" s="11">
        <v>3.2</v>
      </c>
      <c r="N382" s="11"/>
      <c r="O382" s="11"/>
      <c r="P382" s="11"/>
      <c r="Q382" s="11"/>
      <c r="R382" s="11"/>
      <c r="S382" s="11" t="s">
        <v>290</v>
      </c>
      <c r="T382" s="11"/>
      <c r="U382" s="11"/>
      <c r="V382" s="11" t="s">
        <v>0</v>
      </c>
      <c r="W382" s="54">
        <v>0.46561017500000002</v>
      </c>
      <c r="X382" s="11">
        <v>3</v>
      </c>
    </row>
    <row r="383" spans="1:24" ht="28.8" x14ac:dyDescent="0.3">
      <c r="A383" s="10">
        <v>9</v>
      </c>
      <c r="B383" s="11" t="s">
        <v>916</v>
      </c>
      <c r="C383" s="11"/>
      <c r="D383" s="11"/>
      <c r="E383" s="11" t="s">
        <v>917</v>
      </c>
      <c r="F383" s="11"/>
      <c r="G383" s="11" t="s">
        <v>58</v>
      </c>
      <c r="H383" s="11"/>
      <c r="I383" s="11" t="s">
        <v>435</v>
      </c>
      <c r="J383" s="11" t="s">
        <v>929</v>
      </c>
      <c r="K383" s="11"/>
      <c r="L383" s="11">
        <v>1997</v>
      </c>
      <c r="M383" s="11">
        <v>3.2</v>
      </c>
      <c r="N383" s="11"/>
      <c r="O383" s="11"/>
      <c r="P383" s="11"/>
      <c r="Q383" s="11"/>
      <c r="R383" s="11"/>
      <c r="S383" s="11" t="s">
        <v>67</v>
      </c>
      <c r="T383" s="11"/>
      <c r="U383" s="11"/>
      <c r="V383" s="11" t="s">
        <v>0</v>
      </c>
      <c r="W383" s="54">
        <v>4.7235349449999999</v>
      </c>
      <c r="X383" s="11">
        <v>3</v>
      </c>
    </row>
    <row r="384" spans="1:24" ht="28.8" x14ac:dyDescent="0.3">
      <c r="A384" s="10">
        <v>9</v>
      </c>
      <c r="B384" s="11" t="s">
        <v>916</v>
      </c>
      <c r="C384" s="11"/>
      <c r="D384" s="11"/>
      <c r="E384" s="11" t="s">
        <v>917</v>
      </c>
      <c r="F384" s="11"/>
      <c r="G384" s="11" t="s">
        <v>58</v>
      </c>
      <c r="H384" s="11"/>
      <c r="I384" s="11" t="s">
        <v>435</v>
      </c>
      <c r="J384" s="11" t="s">
        <v>929</v>
      </c>
      <c r="K384" s="11"/>
      <c r="L384" s="11">
        <v>1997</v>
      </c>
      <c r="M384" s="11">
        <v>3.2</v>
      </c>
      <c r="N384" s="11"/>
      <c r="O384" s="11"/>
      <c r="P384" s="11"/>
      <c r="Q384" s="11"/>
      <c r="R384" s="11"/>
      <c r="S384" s="11" t="s">
        <v>65</v>
      </c>
      <c r="T384" s="11"/>
      <c r="U384" s="11"/>
      <c r="V384" s="11" t="s">
        <v>0</v>
      </c>
      <c r="W384" s="54">
        <v>1.3107022749999999</v>
      </c>
      <c r="X384" s="11">
        <v>3</v>
      </c>
    </row>
    <row r="385" spans="1:24" ht="28.8" x14ac:dyDescent="0.3">
      <c r="A385" s="10">
        <v>9</v>
      </c>
      <c r="B385" s="11" t="s">
        <v>916</v>
      </c>
      <c r="C385" s="11"/>
      <c r="D385" s="11"/>
      <c r="E385" s="11" t="s">
        <v>917</v>
      </c>
      <c r="F385" s="11"/>
      <c r="G385" s="11" t="s">
        <v>58</v>
      </c>
      <c r="H385" s="11"/>
      <c r="I385" s="11" t="s">
        <v>435</v>
      </c>
      <c r="J385" s="11" t="s">
        <v>929</v>
      </c>
      <c r="K385" s="11"/>
      <c r="L385" s="11">
        <v>1997</v>
      </c>
      <c r="M385" s="11">
        <v>3.2</v>
      </c>
      <c r="N385" s="11"/>
      <c r="O385" s="11"/>
      <c r="P385" s="11"/>
      <c r="Q385" s="11"/>
      <c r="R385" s="11"/>
      <c r="S385" s="11" t="s">
        <v>437</v>
      </c>
      <c r="T385" s="11"/>
      <c r="U385" s="11"/>
      <c r="V385" s="11" t="s">
        <v>0</v>
      </c>
      <c r="W385" s="54">
        <v>2.517506048</v>
      </c>
      <c r="X385" s="11">
        <v>3</v>
      </c>
    </row>
    <row r="386" spans="1:24" ht="28.8" x14ac:dyDescent="0.3">
      <c r="A386" s="10">
        <v>9</v>
      </c>
      <c r="B386" s="11" t="s">
        <v>916</v>
      </c>
      <c r="C386" s="11"/>
      <c r="D386" s="11"/>
      <c r="E386" s="11" t="s">
        <v>917</v>
      </c>
      <c r="F386" s="11"/>
      <c r="G386" s="11" t="s">
        <v>58</v>
      </c>
      <c r="H386" s="11"/>
      <c r="I386" s="11" t="s">
        <v>435</v>
      </c>
      <c r="J386" s="11" t="s">
        <v>930</v>
      </c>
      <c r="K386" s="13"/>
      <c r="L386" s="11">
        <v>1997</v>
      </c>
      <c r="M386" s="11">
        <v>3.3</v>
      </c>
      <c r="N386" s="11"/>
      <c r="O386" s="11"/>
      <c r="P386" s="11"/>
      <c r="Q386" s="11"/>
      <c r="R386" s="11"/>
      <c r="S386" s="11" t="s">
        <v>30</v>
      </c>
      <c r="T386" s="11"/>
      <c r="U386" s="11"/>
      <c r="V386" s="11" t="s">
        <v>0</v>
      </c>
      <c r="W386" s="54">
        <v>5.0680086610000004</v>
      </c>
      <c r="X386" s="11">
        <v>3</v>
      </c>
    </row>
    <row r="387" spans="1:24" ht="28.8" x14ac:dyDescent="0.3">
      <c r="A387" s="10">
        <v>9</v>
      </c>
      <c r="B387" s="11" t="s">
        <v>916</v>
      </c>
      <c r="C387" s="11"/>
      <c r="D387" s="11"/>
      <c r="E387" s="11" t="s">
        <v>917</v>
      </c>
      <c r="F387" s="11"/>
      <c r="G387" s="11" t="s">
        <v>58</v>
      </c>
      <c r="H387" s="11"/>
      <c r="I387" s="11" t="s">
        <v>435</v>
      </c>
      <c r="J387" s="11" t="s">
        <v>930</v>
      </c>
      <c r="K387" s="11"/>
      <c r="L387" s="11">
        <v>1997</v>
      </c>
      <c r="M387" s="11">
        <v>3.3</v>
      </c>
      <c r="N387" s="11"/>
      <c r="O387" s="11"/>
      <c r="P387" s="11"/>
      <c r="Q387" s="11"/>
      <c r="R387" s="11"/>
      <c r="S387" s="11" t="s">
        <v>414</v>
      </c>
      <c r="T387" s="11"/>
      <c r="U387" s="11"/>
      <c r="V387" s="11" t="s">
        <v>0</v>
      </c>
      <c r="W387" s="54">
        <v>8.5993750999999993E-2</v>
      </c>
      <c r="X387" s="11">
        <v>3</v>
      </c>
    </row>
    <row r="388" spans="1:24" ht="28.8" x14ac:dyDescent="0.3">
      <c r="A388" s="10">
        <v>9</v>
      </c>
      <c r="B388" s="11" t="s">
        <v>916</v>
      </c>
      <c r="C388" s="11"/>
      <c r="D388" s="11"/>
      <c r="E388" s="11" t="s">
        <v>917</v>
      </c>
      <c r="F388" s="11"/>
      <c r="G388" s="11" t="s">
        <v>58</v>
      </c>
      <c r="H388" s="11"/>
      <c r="I388" s="11" t="s">
        <v>435</v>
      </c>
      <c r="J388" s="11" t="s">
        <v>930</v>
      </c>
      <c r="K388" s="11"/>
      <c r="L388" s="11">
        <v>1997</v>
      </c>
      <c r="M388" s="11">
        <v>3.3</v>
      </c>
      <c r="N388" s="11"/>
      <c r="O388" s="11"/>
      <c r="P388" s="11"/>
      <c r="Q388" s="11"/>
      <c r="R388" s="11"/>
      <c r="S388" s="11" t="s">
        <v>290</v>
      </c>
      <c r="T388" s="11"/>
      <c r="U388" s="11"/>
      <c r="V388" s="11" t="s">
        <v>0</v>
      </c>
      <c r="W388" s="54">
        <v>0.496117796</v>
      </c>
      <c r="X388" s="11">
        <v>3</v>
      </c>
    </row>
    <row r="389" spans="1:24" ht="28.8" x14ac:dyDescent="0.3">
      <c r="A389" s="10">
        <v>9</v>
      </c>
      <c r="B389" s="11" t="s">
        <v>916</v>
      </c>
      <c r="C389" s="11"/>
      <c r="D389" s="11"/>
      <c r="E389" s="11" t="s">
        <v>917</v>
      </c>
      <c r="F389" s="11"/>
      <c r="G389" s="11" t="s">
        <v>58</v>
      </c>
      <c r="H389" s="11"/>
      <c r="I389" s="11" t="s">
        <v>435</v>
      </c>
      <c r="J389" s="11" t="s">
        <v>930</v>
      </c>
      <c r="K389" s="11"/>
      <c r="L389" s="11">
        <v>1997</v>
      </c>
      <c r="M389" s="11">
        <v>3.3</v>
      </c>
      <c r="N389" s="11"/>
      <c r="O389" s="11"/>
      <c r="P389" s="11"/>
      <c r="Q389" s="11"/>
      <c r="R389" s="11"/>
      <c r="S389" s="11" t="s">
        <v>67</v>
      </c>
      <c r="T389" s="11"/>
      <c r="U389" s="11"/>
      <c r="V389" s="11" t="s">
        <v>0</v>
      </c>
      <c r="W389" s="54">
        <v>8.8275893219999997</v>
      </c>
      <c r="X389" s="11">
        <v>3</v>
      </c>
    </row>
    <row r="390" spans="1:24" ht="28.8" x14ac:dyDescent="0.3">
      <c r="A390" s="10">
        <v>9</v>
      </c>
      <c r="B390" s="11" t="s">
        <v>916</v>
      </c>
      <c r="C390" s="11"/>
      <c r="D390" s="11"/>
      <c r="E390" s="11" t="s">
        <v>917</v>
      </c>
      <c r="F390" s="11"/>
      <c r="G390" s="11" t="s">
        <v>58</v>
      </c>
      <c r="H390" s="11"/>
      <c r="I390" s="11" t="s">
        <v>435</v>
      </c>
      <c r="J390" s="11" t="s">
        <v>930</v>
      </c>
      <c r="K390" s="11"/>
      <c r="L390" s="11">
        <v>1997</v>
      </c>
      <c r="M390" s="11">
        <v>3.3</v>
      </c>
      <c r="N390" s="11"/>
      <c r="O390" s="11"/>
      <c r="P390" s="11"/>
      <c r="Q390" s="11"/>
      <c r="R390" s="11"/>
      <c r="S390" s="11" t="s">
        <v>65</v>
      </c>
      <c r="T390" s="11"/>
      <c r="U390" s="11"/>
      <c r="V390" s="11" t="s">
        <v>0</v>
      </c>
      <c r="W390" s="54">
        <v>1.122119232</v>
      </c>
      <c r="X390" s="11">
        <v>3</v>
      </c>
    </row>
    <row r="391" spans="1:24" ht="28.8" x14ac:dyDescent="0.3">
      <c r="A391" s="10">
        <v>9</v>
      </c>
      <c r="B391" s="11" t="s">
        <v>916</v>
      </c>
      <c r="C391" s="11"/>
      <c r="D391" s="11"/>
      <c r="E391" s="11" t="s">
        <v>917</v>
      </c>
      <c r="F391" s="11"/>
      <c r="G391" s="11" t="s">
        <v>58</v>
      </c>
      <c r="H391" s="11"/>
      <c r="I391" s="11" t="s">
        <v>435</v>
      </c>
      <c r="J391" s="11" t="s">
        <v>930</v>
      </c>
      <c r="K391" s="11"/>
      <c r="L391" s="11">
        <v>1997</v>
      </c>
      <c r="M391" s="11">
        <v>3.3</v>
      </c>
      <c r="N391" s="11"/>
      <c r="O391" s="11"/>
      <c r="P391" s="11"/>
      <c r="Q391" s="11"/>
      <c r="R391" s="11"/>
      <c r="S391" s="11" t="s">
        <v>437</v>
      </c>
      <c r="T391" s="11"/>
      <c r="U391" s="11"/>
      <c r="V391" s="11" t="s">
        <v>0</v>
      </c>
      <c r="W391" s="54">
        <v>2.5632752810000001</v>
      </c>
      <c r="X391" s="11">
        <v>3</v>
      </c>
    </row>
  </sheetData>
  <hyperlinks>
    <hyperlink ref="D314" r:id="rId1" xr:uid="{FA022CF7-A71D-4D4F-B915-D93BD54D40A0}"/>
  </hyperlinks>
  <pageMargins left="0.7" right="0.7" top="0.75" bottom="0.75" header="0.3" footer="0.3"/>
  <pageSetup paperSize="9" orientation="portrait" horizontalDpi="0"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AB96"/>
  <sheetViews>
    <sheetView zoomScaleNormal="100" workbookViewId="0">
      <selection activeCell="A96" sqref="A96"/>
    </sheetView>
  </sheetViews>
  <sheetFormatPr defaultColWidth="9.21875" defaultRowHeight="14.4" x14ac:dyDescent="0.3"/>
  <cols>
    <col min="1" max="1" width="4.44140625" style="12" customWidth="1"/>
    <col min="2" max="2" width="14.77734375" style="11" customWidth="1"/>
    <col min="3" max="3" width="36" style="12" customWidth="1"/>
    <col min="4" max="4" width="19.77734375" style="12" customWidth="1"/>
    <col min="5" max="5" width="19.44140625" style="12" customWidth="1"/>
    <col min="6" max="6" width="15" style="12" customWidth="1"/>
    <col min="7" max="7" width="9.21875" style="12"/>
    <col min="8" max="8" width="37" style="12" customWidth="1"/>
    <col min="9" max="9" width="19" style="12" customWidth="1"/>
    <col min="10" max="10" width="16" style="12" customWidth="1"/>
    <col min="11" max="13" width="22.44140625" style="12" customWidth="1"/>
    <col min="14" max="14" width="23" style="12" customWidth="1"/>
    <col min="15" max="15" width="13.21875" style="12" customWidth="1"/>
    <col min="16" max="16" width="13.44140625" style="12" customWidth="1"/>
    <col min="17" max="17" width="12.21875" style="12" customWidth="1"/>
    <col min="18" max="18" width="13.21875" style="12" customWidth="1"/>
    <col min="19" max="19" width="12.77734375" style="12" customWidth="1"/>
    <col min="20" max="20" width="9.21875" style="12"/>
    <col min="21" max="21" width="10.77734375" style="12" bestFit="1" customWidth="1"/>
    <col min="22" max="22" width="9.21875" style="12"/>
    <col min="23" max="23" width="9.21875" style="34"/>
    <col min="24" max="24" width="10.21875" style="12" customWidth="1"/>
    <col min="25" max="25" width="9.21875" style="12"/>
    <col min="26" max="26" width="9.21875" style="34"/>
    <col min="27" max="27" width="12" style="11" customWidth="1"/>
    <col min="28" max="28" width="10.21875" style="11" customWidth="1"/>
    <col min="29" max="16384" width="9.21875" style="12"/>
  </cols>
  <sheetData>
    <row r="1" spans="1:28"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415</v>
      </c>
      <c r="R1" s="56" t="s">
        <v>416</v>
      </c>
      <c r="S1" s="56" t="s">
        <v>193</v>
      </c>
      <c r="T1" s="56" t="s">
        <v>421</v>
      </c>
      <c r="U1" s="56" t="s">
        <v>521</v>
      </c>
      <c r="V1" s="56" t="s">
        <v>192</v>
      </c>
      <c r="W1" s="56" t="s">
        <v>386</v>
      </c>
      <c r="X1" s="56" t="s">
        <v>418</v>
      </c>
      <c r="Y1" s="56" t="s">
        <v>242</v>
      </c>
      <c r="Z1" s="56" t="s">
        <v>191</v>
      </c>
      <c r="AA1" s="56" t="s">
        <v>190</v>
      </c>
      <c r="AB1" s="56" t="s">
        <v>190</v>
      </c>
    </row>
    <row r="2" spans="1:28" ht="40.049999999999997" customHeight="1" x14ac:dyDescent="0.3">
      <c r="A2" s="11">
        <v>1</v>
      </c>
      <c r="B2" s="11" t="s">
        <v>683</v>
      </c>
      <c r="C2" s="11" t="s">
        <v>544</v>
      </c>
      <c r="D2" s="11"/>
      <c r="E2" s="11" t="s">
        <v>548</v>
      </c>
      <c r="F2" s="11"/>
      <c r="G2" s="11" t="s">
        <v>58</v>
      </c>
      <c r="H2" s="11" t="s">
        <v>547</v>
      </c>
      <c r="I2" s="11" t="s">
        <v>391</v>
      </c>
      <c r="J2" s="11" t="s">
        <v>545</v>
      </c>
      <c r="K2" s="11" t="s">
        <v>546</v>
      </c>
      <c r="L2" s="11"/>
      <c r="M2" s="11">
        <v>1</v>
      </c>
      <c r="N2" s="11">
        <v>1</v>
      </c>
      <c r="O2" s="11">
        <v>4</v>
      </c>
      <c r="P2" s="11"/>
      <c r="Q2" s="11">
        <v>98.04</v>
      </c>
      <c r="R2" s="54">
        <f>Q2/O2</f>
        <v>24.51</v>
      </c>
      <c r="S2" s="11" t="s">
        <v>65</v>
      </c>
      <c r="T2" s="11"/>
      <c r="U2" s="54">
        <v>107038.8</v>
      </c>
      <c r="V2" s="11" t="s">
        <v>244</v>
      </c>
      <c r="W2" s="54">
        <f>U2/Q2</f>
        <v>1091.7870257037944</v>
      </c>
      <c r="X2" s="11">
        <v>1</v>
      </c>
      <c r="Y2" s="54">
        <f>U2/O2</f>
        <v>26759.7</v>
      </c>
      <c r="Z2" s="53">
        <v>100</v>
      </c>
    </row>
    <row r="3" spans="1:28" ht="40.049999999999997" customHeight="1" x14ac:dyDescent="0.3">
      <c r="A3" s="11">
        <v>1</v>
      </c>
      <c r="B3" s="11" t="s">
        <v>682</v>
      </c>
      <c r="C3" s="11"/>
      <c r="D3" s="11"/>
      <c r="E3" s="11" t="s">
        <v>548</v>
      </c>
      <c r="F3" s="11"/>
      <c r="G3" s="11" t="s">
        <v>58</v>
      </c>
      <c r="H3" s="11"/>
      <c r="I3" s="11" t="s">
        <v>391</v>
      </c>
      <c r="J3" s="11" t="s">
        <v>545</v>
      </c>
      <c r="K3" s="11" t="s">
        <v>546</v>
      </c>
      <c r="L3" s="11"/>
      <c r="M3" s="11">
        <v>1</v>
      </c>
      <c r="N3" s="11">
        <v>1</v>
      </c>
      <c r="O3" s="11">
        <v>4</v>
      </c>
      <c r="P3" s="11"/>
      <c r="Q3" s="11">
        <v>98.04</v>
      </c>
      <c r="R3" s="54">
        <f t="shared" ref="R3:R46" si="0">Q3/O3</f>
        <v>24.51</v>
      </c>
      <c r="S3" s="11" t="s">
        <v>67</v>
      </c>
      <c r="T3" s="11"/>
      <c r="U3" s="54">
        <v>4050.8</v>
      </c>
      <c r="V3" s="11" t="s">
        <v>244</v>
      </c>
      <c r="W3" s="54">
        <f t="shared" ref="W3:W46" si="1">U3/Q3</f>
        <v>41.31782945736434</v>
      </c>
      <c r="X3" s="11">
        <v>1</v>
      </c>
      <c r="Y3" s="54">
        <f t="shared" ref="Y3:Y46" si="2">U3/O3</f>
        <v>1012.7</v>
      </c>
      <c r="Z3" s="53">
        <v>100</v>
      </c>
    </row>
    <row r="4" spans="1:28" ht="40.049999999999997" customHeight="1" x14ac:dyDescent="0.3">
      <c r="A4" s="11">
        <v>1</v>
      </c>
      <c r="B4" s="11" t="s">
        <v>682</v>
      </c>
      <c r="C4" s="11"/>
      <c r="D4" s="11"/>
      <c r="E4" s="11" t="s">
        <v>548</v>
      </c>
      <c r="F4" s="11"/>
      <c r="G4" s="11" t="s">
        <v>58</v>
      </c>
      <c r="H4" s="11"/>
      <c r="I4" s="11" t="s">
        <v>391</v>
      </c>
      <c r="J4" s="11" t="s">
        <v>545</v>
      </c>
      <c r="K4" s="11" t="s">
        <v>546</v>
      </c>
      <c r="L4" s="64"/>
      <c r="M4" s="11">
        <v>1</v>
      </c>
      <c r="N4" s="11">
        <v>1</v>
      </c>
      <c r="O4" s="11">
        <v>4</v>
      </c>
      <c r="P4" s="11"/>
      <c r="Q4" s="11">
        <v>98.04</v>
      </c>
      <c r="R4" s="54">
        <f t="shared" si="0"/>
        <v>24.51</v>
      </c>
      <c r="S4" s="11" t="s">
        <v>437</v>
      </c>
      <c r="T4" s="11"/>
      <c r="U4" s="54">
        <v>277</v>
      </c>
      <c r="V4" s="11" t="s">
        <v>244</v>
      </c>
      <c r="W4" s="54">
        <f t="shared" si="1"/>
        <v>2.8253773969808238</v>
      </c>
      <c r="X4" s="11">
        <v>1</v>
      </c>
      <c r="Y4" s="54">
        <f t="shared" si="2"/>
        <v>69.25</v>
      </c>
      <c r="Z4" s="53">
        <v>100</v>
      </c>
    </row>
    <row r="5" spans="1:28" ht="40.049999999999997" customHeight="1" x14ac:dyDescent="0.3">
      <c r="A5" s="11">
        <v>1</v>
      </c>
      <c r="B5" s="11" t="s">
        <v>682</v>
      </c>
      <c r="C5" s="11"/>
      <c r="D5" s="11"/>
      <c r="E5" s="11" t="s">
        <v>548</v>
      </c>
      <c r="F5" s="11"/>
      <c r="G5" s="11" t="s">
        <v>58</v>
      </c>
      <c r="H5" s="11"/>
      <c r="I5" s="11" t="s">
        <v>391</v>
      </c>
      <c r="J5" s="11" t="s">
        <v>550</v>
      </c>
      <c r="K5" s="11" t="s">
        <v>549</v>
      </c>
      <c r="L5" s="11"/>
      <c r="M5" s="11">
        <v>1</v>
      </c>
      <c r="N5" s="11">
        <v>1</v>
      </c>
      <c r="O5" s="11">
        <v>4</v>
      </c>
      <c r="P5" s="11"/>
      <c r="Q5" s="11">
        <v>98.04</v>
      </c>
      <c r="R5" s="54">
        <f t="shared" si="0"/>
        <v>24.51</v>
      </c>
      <c r="S5" s="11" t="s">
        <v>65</v>
      </c>
      <c r="T5" s="11"/>
      <c r="U5" s="54">
        <v>101069.4</v>
      </c>
      <c r="V5" s="11" t="s">
        <v>244</v>
      </c>
      <c r="W5" s="54">
        <f t="shared" si="1"/>
        <v>1030.8996328029375</v>
      </c>
      <c r="X5" s="11">
        <v>1</v>
      </c>
      <c r="Y5" s="54">
        <f t="shared" si="2"/>
        <v>25267.35</v>
      </c>
      <c r="Z5" s="53">
        <v>100</v>
      </c>
    </row>
    <row r="6" spans="1:28" ht="40.049999999999997" customHeight="1" x14ac:dyDescent="0.3">
      <c r="A6" s="11">
        <v>1</v>
      </c>
      <c r="B6" s="11" t="s">
        <v>682</v>
      </c>
      <c r="C6" s="11"/>
      <c r="D6" s="11"/>
      <c r="E6" s="11" t="s">
        <v>548</v>
      </c>
      <c r="F6" s="11"/>
      <c r="G6" s="11" t="s">
        <v>58</v>
      </c>
      <c r="H6" s="11"/>
      <c r="I6" s="11" t="s">
        <v>391</v>
      </c>
      <c r="J6" s="11" t="s">
        <v>550</v>
      </c>
      <c r="K6" s="11" t="s">
        <v>549</v>
      </c>
      <c r="L6" s="11"/>
      <c r="M6" s="11">
        <v>1</v>
      </c>
      <c r="N6" s="11">
        <v>1</v>
      </c>
      <c r="O6" s="11">
        <v>4</v>
      </c>
      <c r="P6" s="11"/>
      <c r="Q6" s="11">
        <v>98.04</v>
      </c>
      <c r="R6" s="54">
        <f t="shared" si="0"/>
        <v>24.51</v>
      </c>
      <c r="S6" s="11" t="s">
        <v>67</v>
      </c>
      <c r="T6" s="11"/>
      <c r="U6" s="54">
        <v>4103.3999999999996</v>
      </c>
      <c r="V6" s="11" t="s">
        <v>244</v>
      </c>
      <c r="W6" s="54">
        <f t="shared" si="1"/>
        <v>41.854345165238669</v>
      </c>
      <c r="X6" s="11">
        <v>1</v>
      </c>
      <c r="Y6" s="54">
        <f t="shared" si="2"/>
        <v>1025.8499999999999</v>
      </c>
      <c r="Z6" s="53">
        <v>100</v>
      </c>
    </row>
    <row r="7" spans="1:28" ht="40.049999999999997" customHeight="1" x14ac:dyDescent="0.3">
      <c r="A7" s="11">
        <v>1</v>
      </c>
      <c r="B7" s="11" t="s">
        <v>682</v>
      </c>
      <c r="C7" s="11"/>
      <c r="D7" s="11"/>
      <c r="E7" s="11" t="s">
        <v>548</v>
      </c>
      <c r="F7" s="11"/>
      <c r="G7" s="11" t="s">
        <v>58</v>
      </c>
      <c r="H7" s="11"/>
      <c r="I7" s="11" t="s">
        <v>391</v>
      </c>
      <c r="J7" s="11" t="s">
        <v>550</v>
      </c>
      <c r="K7" s="11" t="s">
        <v>549</v>
      </c>
      <c r="L7" s="11"/>
      <c r="M7" s="11">
        <v>1</v>
      </c>
      <c r="N7" s="11">
        <v>1</v>
      </c>
      <c r="O7" s="11">
        <v>4</v>
      </c>
      <c r="P7" s="11"/>
      <c r="Q7" s="11">
        <v>98.04</v>
      </c>
      <c r="R7" s="54">
        <f t="shared" si="0"/>
        <v>24.51</v>
      </c>
      <c r="S7" s="11" t="s">
        <v>437</v>
      </c>
      <c r="T7" s="11"/>
      <c r="U7" s="54">
        <v>854.5</v>
      </c>
      <c r="V7" s="11" t="s">
        <v>244</v>
      </c>
      <c r="W7" s="54">
        <f t="shared" si="1"/>
        <v>8.7158302733578132</v>
      </c>
      <c r="X7" s="11">
        <v>1</v>
      </c>
      <c r="Y7" s="54">
        <f t="shared" si="2"/>
        <v>213.625</v>
      </c>
      <c r="Z7" s="53">
        <v>100</v>
      </c>
    </row>
    <row r="8" spans="1:28" ht="40.049999999999997" customHeight="1" x14ac:dyDescent="0.3">
      <c r="A8" s="11">
        <v>1</v>
      </c>
      <c r="B8" s="11" t="s">
        <v>682</v>
      </c>
      <c r="C8" s="11"/>
      <c r="D8" s="11"/>
      <c r="E8" s="11" t="s">
        <v>548</v>
      </c>
      <c r="F8" s="11"/>
      <c r="G8" s="11" t="s">
        <v>58</v>
      </c>
      <c r="H8" s="11"/>
      <c r="I8" s="11" t="s">
        <v>391</v>
      </c>
      <c r="J8" s="11" t="s">
        <v>552</v>
      </c>
      <c r="K8" s="11" t="s">
        <v>551</v>
      </c>
      <c r="L8" s="11"/>
      <c r="M8" s="11">
        <v>1</v>
      </c>
      <c r="N8" s="11">
        <v>1</v>
      </c>
      <c r="O8" s="11">
        <v>4</v>
      </c>
      <c r="P8" s="11"/>
      <c r="Q8" s="11">
        <v>98.04</v>
      </c>
      <c r="R8" s="54">
        <f t="shared" si="0"/>
        <v>24.51</v>
      </c>
      <c r="S8" s="11" t="s">
        <v>65</v>
      </c>
      <c r="T8" s="11"/>
      <c r="U8" s="54">
        <v>60165.5</v>
      </c>
      <c r="V8" s="11" t="s">
        <v>244</v>
      </c>
      <c r="W8" s="54">
        <f t="shared" si="1"/>
        <v>613.68319053447567</v>
      </c>
      <c r="X8" s="11">
        <v>1</v>
      </c>
      <c r="Y8" s="54">
        <f t="shared" si="2"/>
        <v>15041.375</v>
      </c>
      <c r="Z8" s="53">
        <v>100</v>
      </c>
    </row>
    <row r="9" spans="1:28" ht="40.049999999999997" customHeight="1" x14ac:dyDescent="0.3">
      <c r="A9" s="11">
        <v>1</v>
      </c>
      <c r="B9" s="11" t="s">
        <v>682</v>
      </c>
      <c r="C9" s="11"/>
      <c r="D9" s="11"/>
      <c r="E9" s="11" t="s">
        <v>548</v>
      </c>
      <c r="F9" s="11"/>
      <c r="G9" s="11" t="s">
        <v>58</v>
      </c>
      <c r="H9" s="11"/>
      <c r="I9" s="11" t="s">
        <v>391</v>
      </c>
      <c r="J9" s="11" t="s">
        <v>552</v>
      </c>
      <c r="K9" s="11" t="s">
        <v>551</v>
      </c>
      <c r="L9" s="11"/>
      <c r="M9" s="11">
        <v>1</v>
      </c>
      <c r="N9" s="11">
        <v>1</v>
      </c>
      <c r="O9" s="11">
        <v>4</v>
      </c>
      <c r="P9" s="11"/>
      <c r="Q9" s="11">
        <v>98.04</v>
      </c>
      <c r="R9" s="54">
        <f t="shared" si="0"/>
        <v>24.51</v>
      </c>
      <c r="S9" s="11" t="s">
        <v>67</v>
      </c>
      <c r="T9" s="11"/>
      <c r="U9" s="54">
        <v>13629.5</v>
      </c>
      <c r="V9" s="11" t="s">
        <v>244</v>
      </c>
      <c r="W9" s="54">
        <f t="shared" si="1"/>
        <v>139.01978784169725</v>
      </c>
      <c r="X9" s="11">
        <v>1</v>
      </c>
      <c r="Y9" s="54">
        <f t="shared" si="2"/>
        <v>3407.375</v>
      </c>
      <c r="Z9" s="53">
        <v>100</v>
      </c>
    </row>
    <row r="10" spans="1:28" ht="40.049999999999997" customHeight="1" x14ac:dyDescent="0.3">
      <c r="A10" s="11">
        <v>1</v>
      </c>
      <c r="B10" s="11" t="s">
        <v>682</v>
      </c>
      <c r="C10" s="11"/>
      <c r="D10" s="11"/>
      <c r="E10" s="11" t="s">
        <v>548</v>
      </c>
      <c r="F10" s="11"/>
      <c r="G10" s="11" t="s">
        <v>58</v>
      </c>
      <c r="H10" s="11"/>
      <c r="I10" s="11" t="s">
        <v>391</v>
      </c>
      <c r="J10" s="11" t="s">
        <v>552</v>
      </c>
      <c r="K10" s="11" t="s">
        <v>551</v>
      </c>
      <c r="L10" s="11"/>
      <c r="M10" s="11">
        <v>1</v>
      </c>
      <c r="N10" s="11">
        <v>1</v>
      </c>
      <c r="O10" s="11">
        <v>4</v>
      </c>
      <c r="P10" s="11"/>
      <c r="Q10" s="11">
        <v>98.04</v>
      </c>
      <c r="R10" s="54">
        <f t="shared" si="0"/>
        <v>24.51</v>
      </c>
      <c r="S10" s="11" t="s">
        <v>437</v>
      </c>
      <c r="T10" s="11"/>
      <c r="U10" s="54">
        <v>277</v>
      </c>
      <c r="V10" s="11" t="s">
        <v>244</v>
      </c>
      <c r="W10" s="54">
        <f t="shared" si="1"/>
        <v>2.8253773969808238</v>
      </c>
      <c r="X10" s="11">
        <v>1</v>
      </c>
      <c r="Y10" s="54">
        <f t="shared" si="2"/>
        <v>69.25</v>
      </c>
      <c r="Z10" s="53">
        <v>100</v>
      </c>
    </row>
    <row r="11" spans="1:28" ht="40.049999999999997" customHeight="1" x14ac:dyDescent="0.3">
      <c r="A11" s="11">
        <v>1</v>
      </c>
      <c r="B11" s="11" t="s">
        <v>682</v>
      </c>
      <c r="C11" s="11"/>
      <c r="D11" s="11"/>
      <c r="E11" s="11" t="s">
        <v>548</v>
      </c>
      <c r="F11" s="11"/>
      <c r="G11" s="11" t="s">
        <v>58</v>
      </c>
      <c r="H11" s="11"/>
      <c r="I11" s="11" t="s">
        <v>391</v>
      </c>
      <c r="J11" s="11" t="s">
        <v>554</v>
      </c>
      <c r="K11" s="11" t="s">
        <v>553</v>
      </c>
      <c r="L11" s="11"/>
      <c r="M11" s="11">
        <v>1</v>
      </c>
      <c r="N11" s="11">
        <v>1</v>
      </c>
      <c r="O11" s="11">
        <v>4</v>
      </c>
      <c r="P11" s="11"/>
      <c r="Q11" s="11">
        <v>98.04</v>
      </c>
      <c r="R11" s="54">
        <f t="shared" si="0"/>
        <v>24.51</v>
      </c>
      <c r="S11" s="11" t="s">
        <v>65</v>
      </c>
      <c r="T11" s="11"/>
      <c r="U11" s="54">
        <v>54034.6</v>
      </c>
      <c r="V11" s="11" t="s">
        <v>244</v>
      </c>
      <c r="W11" s="54">
        <f t="shared" si="1"/>
        <v>551.14851081191341</v>
      </c>
      <c r="X11" s="11">
        <v>1</v>
      </c>
      <c r="Y11" s="54">
        <f t="shared" si="2"/>
        <v>13508.65</v>
      </c>
      <c r="Z11" s="53">
        <v>100</v>
      </c>
    </row>
    <row r="12" spans="1:28" ht="40.049999999999997" customHeight="1" x14ac:dyDescent="0.3">
      <c r="A12" s="11">
        <v>1</v>
      </c>
      <c r="B12" s="11" t="s">
        <v>682</v>
      </c>
      <c r="C12" s="11"/>
      <c r="D12" s="11"/>
      <c r="E12" s="11" t="s">
        <v>548</v>
      </c>
      <c r="F12" s="11"/>
      <c r="G12" s="11" t="s">
        <v>58</v>
      </c>
      <c r="H12" s="11"/>
      <c r="I12" s="11" t="s">
        <v>391</v>
      </c>
      <c r="J12" s="11" t="s">
        <v>554</v>
      </c>
      <c r="K12" s="11" t="s">
        <v>553</v>
      </c>
      <c r="L12" s="11"/>
      <c r="M12" s="11">
        <v>1</v>
      </c>
      <c r="N12" s="11">
        <v>1</v>
      </c>
      <c r="O12" s="11">
        <v>4</v>
      </c>
      <c r="P12" s="11"/>
      <c r="Q12" s="11">
        <v>98.04</v>
      </c>
      <c r="R12" s="54">
        <f t="shared" si="0"/>
        <v>24.51</v>
      </c>
      <c r="S12" s="11" t="s">
        <v>67</v>
      </c>
      <c r="T12" s="11"/>
      <c r="U12" s="54">
        <v>18738.3</v>
      </c>
      <c r="V12" s="11" t="s">
        <v>244</v>
      </c>
      <c r="W12" s="54">
        <f t="shared" si="1"/>
        <v>191.12913096695223</v>
      </c>
      <c r="X12" s="11">
        <v>1</v>
      </c>
      <c r="Y12" s="54">
        <f>U12/O12</f>
        <v>4684.5749999999998</v>
      </c>
      <c r="Z12" s="53">
        <v>100</v>
      </c>
    </row>
    <row r="13" spans="1:28" ht="40.049999999999997" customHeight="1" x14ac:dyDescent="0.3">
      <c r="A13" s="11">
        <v>1</v>
      </c>
      <c r="B13" s="11" t="s">
        <v>682</v>
      </c>
      <c r="C13" s="11"/>
      <c r="D13" s="11"/>
      <c r="E13" s="11" t="s">
        <v>548</v>
      </c>
      <c r="F13" s="11"/>
      <c r="G13" s="11" t="s">
        <v>58</v>
      </c>
      <c r="H13" s="11"/>
      <c r="I13" s="11" t="s">
        <v>391</v>
      </c>
      <c r="J13" s="11" t="s">
        <v>554</v>
      </c>
      <c r="K13" s="11" t="s">
        <v>553</v>
      </c>
      <c r="L13" s="11"/>
      <c r="M13" s="11">
        <v>1</v>
      </c>
      <c r="N13" s="11">
        <v>1</v>
      </c>
      <c r="O13" s="11">
        <v>4</v>
      </c>
      <c r="P13" s="11"/>
      <c r="Q13" s="11">
        <v>98.04</v>
      </c>
      <c r="R13" s="54">
        <f t="shared" si="0"/>
        <v>24.51</v>
      </c>
      <c r="S13" s="11" t="s">
        <v>437</v>
      </c>
      <c r="T13" s="11"/>
      <c r="U13" s="54">
        <v>11745.8</v>
      </c>
      <c r="V13" s="11" t="s">
        <v>244</v>
      </c>
      <c r="W13" s="54">
        <f t="shared" si="1"/>
        <v>119.80620155038758</v>
      </c>
      <c r="X13" s="11">
        <v>1</v>
      </c>
      <c r="Y13" s="54">
        <f t="shared" si="2"/>
        <v>2936.45</v>
      </c>
      <c r="Z13" s="53">
        <v>100</v>
      </c>
      <c r="AA13" s="11" t="s">
        <v>629</v>
      </c>
    </row>
    <row r="14" spans="1:28" ht="40.049999999999997" customHeight="1" x14ac:dyDescent="0.3">
      <c r="A14" s="10">
        <v>2</v>
      </c>
      <c r="B14" s="11" t="s">
        <v>673</v>
      </c>
      <c r="C14" s="8" t="s">
        <v>750</v>
      </c>
      <c r="D14" s="11"/>
      <c r="E14" s="11" t="s">
        <v>296</v>
      </c>
      <c r="F14" s="11"/>
      <c r="G14" s="11" t="s">
        <v>58</v>
      </c>
      <c r="H14" s="10"/>
      <c r="I14" s="10" t="s">
        <v>391</v>
      </c>
      <c r="J14" s="11" t="s">
        <v>328</v>
      </c>
      <c r="K14" s="11" t="s">
        <v>119</v>
      </c>
      <c r="L14" s="11" t="s">
        <v>116</v>
      </c>
      <c r="M14" s="11">
        <v>2</v>
      </c>
      <c r="N14" s="11" t="s">
        <v>156</v>
      </c>
      <c r="O14" s="11">
        <v>3.7</v>
      </c>
      <c r="P14" s="11">
        <f t="shared" ref="P14:P32" si="3">(10*9)*M14</f>
        <v>180</v>
      </c>
      <c r="Q14" s="10">
        <f>((10-2*0.5)*(9-2*0.5))*M14</f>
        <v>144</v>
      </c>
      <c r="R14" s="54">
        <f t="shared" si="0"/>
        <v>38.918918918918919</v>
      </c>
      <c r="S14" s="11" t="s">
        <v>67</v>
      </c>
      <c r="T14" s="36"/>
      <c r="U14" s="60">
        <f>400+1750+250+2500+2484+1250+1242</f>
        <v>9876</v>
      </c>
      <c r="V14" s="10" t="s">
        <v>244</v>
      </c>
      <c r="W14" s="54">
        <f t="shared" si="1"/>
        <v>68.583333333333329</v>
      </c>
      <c r="X14" s="11">
        <v>1</v>
      </c>
      <c r="Y14" s="60">
        <f t="shared" si="2"/>
        <v>2669.1891891891892</v>
      </c>
      <c r="Z14" s="54" t="s">
        <v>66</v>
      </c>
      <c r="AA14" s="36" t="s">
        <v>630</v>
      </c>
    </row>
    <row r="15" spans="1:28" ht="40.049999999999997" customHeight="1" x14ac:dyDescent="0.3">
      <c r="A15" s="10">
        <v>2</v>
      </c>
      <c r="B15" s="11" t="s">
        <v>672</v>
      </c>
      <c r="C15" s="13"/>
      <c r="D15" s="13"/>
      <c r="E15" s="11" t="s">
        <v>541</v>
      </c>
      <c r="F15" s="10"/>
      <c r="G15" s="11" t="s">
        <v>58</v>
      </c>
      <c r="H15" s="10"/>
      <c r="I15" s="10" t="s">
        <v>391</v>
      </c>
      <c r="J15" s="11" t="s">
        <v>329</v>
      </c>
      <c r="K15" s="11" t="s">
        <v>155</v>
      </c>
      <c r="L15" s="11" t="s">
        <v>140</v>
      </c>
      <c r="M15" s="11">
        <v>2</v>
      </c>
      <c r="N15" s="11" t="s">
        <v>154</v>
      </c>
      <c r="O15" s="11">
        <v>3.7</v>
      </c>
      <c r="P15" s="11">
        <f t="shared" si="3"/>
        <v>180</v>
      </c>
      <c r="Q15" s="10">
        <f>((10-2*0.5)*(9-2*0.5))*M15</f>
        <v>144</v>
      </c>
      <c r="R15" s="54">
        <f t="shared" si="0"/>
        <v>38.918918918918919</v>
      </c>
      <c r="S15" s="11" t="s">
        <v>67</v>
      </c>
      <c r="T15" s="36"/>
      <c r="U15" s="60">
        <f>400+1750+250+2700+2500+2484+1250+1242</f>
        <v>12576</v>
      </c>
      <c r="V15" s="10" t="s">
        <v>244</v>
      </c>
      <c r="W15" s="54">
        <f t="shared" si="1"/>
        <v>87.333333333333329</v>
      </c>
      <c r="X15" s="11">
        <v>1</v>
      </c>
      <c r="Y15" s="60">
        <f t="shared" si="2"/>
        <v>3398.9189189189187</v>
      </c>
      <c r="Z15" s="54" t="s">
        <v>66</v>
      </c>
      <c r="AA15" s="36" t="s">
        <v>630</v>
      </c>
    </row>
    <row r="16" spans="1:28" ht="40.049999999999997" customHeight="1" x14ac:dyDescent="0.3">
      <c r="A16" s="10">
        <v>2</v>
      </c>
      <c r="B16" s="11" t="s">
        <v>672</v>
      </c>
      <c r="C16" s="13"/>
      <c r="D16" s="13"/>
      <c r="E16" s="11" t="s">
        <v>541</v>
      </c>
      <c r="F16" s="10"/>
      <c r="G16" s="11" t="s">
        <v>58</v>
      </c>
      <c r="H16" s="10"/>
      <c r="I16" s="10" t="s">
        <v>391</v>
      </c>
      <c r="J16" s="11" t="s">
        <v>330</v>
      </c>
      <c r="K16" s="11" t="s">
        <v>153</v>
      </c>
      <c r="L16" s="11" t="s">
        <v>140</v>
      </c>
      <c r="M16" s="11">
        <v>1</v>
      </c>
      <c r="N16" s="11" t="s">
        <v>152</v>
      </c>
      <c r="O16" s="11">
        <v>3.7</v>
      </c>
      <c r="P16" s="11">
        <f t="shared" si="3"/>
        <v>90</v>
      </c>
      <c r="Q16" s="60">
        <f>((10-2*0.32)*(9-2*0.32))*M16</f>
        <v>78.249599999999987</v>
      </c>
      <c r="R16" s="54">
        <f t="shared" si="0"/>
        <v>21.148540540540537</v>
      </c>
      <c r="S16" s="11" t="s">
        <v>67</v>
      </c>
      <c r="T16" s="36"/>
      <c r="U16" s="60">
        <f>3200+1600+400+1750+250+2700+2500+2484+1250+1242</f>
        <v>17376</v>
      </c>
      <c r="V16" s="10" t="s">
        <v>244</v>
      </c>
      <c r="W16" s="54">
        <f t="shared" si="1"/>
        <v>222.05864311127473</v>
      </c>
      <c r="X16" s="11">
        <v>1</v>
      </c>
      <c r="Y16" s="60">
        <f t="shared" si="2"/>
        <v>4696.2162162162158</v>
      </c>
      <c r="Z16" s="54" t="s">
        <v>66</v>
      </c>
      <c r="AA16" s="36" t="s">
        <v>630</v>
      </c>
    </row>
    <row r="17" spans="1:27" ht="40.049999999999997" customHeight="1" x14ac:dyDescent="0.3">
      <c r="A17" s="10">
        <v>2</v>
      </c>
      <c r="B17" s="11" t="s">
        <v>672</v>
      </c>
      <c r="C17" s="13"/>
      <c r="D17" s="13"/>
      <c r="E17" s="11" t="s">
        <v>541</v>
      </c>
      <c r="F17" s="10"/>
      <c r="G17" s="11" t="s">
        <v>58</v>
      </c>
      <c r="H17" s="10"/>
      <c r="I17" s="10" t="s">
        <v>391</v>
      </c>
      <c r="J17" s="11" t="s">
        <v>331</v>
      </c>
      <c r="K17" s="11" t="s">
        <v>151</v>
      </c>
      <c r="L17" s="11" t="s">
        <v>111</v>
      </c>
      <c r="M17" s="11">
        <v>1</v>
      </c>
      <c r="N17" s="11" t="s">
        <v>150</v>
      </c>
      <c r="O17" s="11">
        <v>3.8</v>
      </c>
      <c r="P17" s="11">
        <f t="shared" si="3"/>
        <v>90</v>
      </c>
      <c r="Q17" s="60">
        <f>((10-2*0.3)*(9-2*0.3))*M17</f>
        <v>78.960000000000008</v>
      </c>
      <c r="R17" s="54">
        <f t="shared" si="0"/>
        <v>20.778947368421054</v>
      </c>
      <c r="S17" s="11" t="s">
        <v>65</v>
      </c>
      <c r="T17" s="36"/>
      <c r="U17" s="60">
        <f>17280+38400+34560+21600+30000</f>
        <v>141840</v>
      </c>
      <c r="V17" s="10" t="s">
        <v>244</v>
      </c>
      <c r="W17" s="54">
        <f t="shared" si="1"/>
        <v>1796.352583586626</v>
      </c>
      <c r="X17" s="11">
        <v>1</v>
      </c>
      <c r="Y17" s="60">
        <f t="shared" si="2"/>
        <v>37326.315789473687</v>
      </c>
      <c r="Z17" s="54" t="s">
        <v>72</v>
      </c>
      <c r="AA17" s="36" t="s">
        <v>630</v>
      </c>
    </row>
    <row r="18" spans="1:27" ht="40.049999999999997" customHeight="1" x14ac:dyDescent="0.3">
      <c r="A18" s="10">
        <v>2</v>
      </c>
      <c r="B18" s="11" t="s">
        <v>672</v>
      </c>
      <c r="C18" s="13"/>
      <c r="D18" s="13"/>
      <c r="E18" s="11" t="s">
        <v>541</v>
      </c>
      <c r="F18" s="10"/>
      <c r="G18" s="11" t="s">
        <v>58</v>
      </c>
      <c r="H18" s="10"/>
      <c r="I18" s="10" t="s">
        <v>391</v>
      </c>
      <c r="J18" s="11" t="s">
        <v>331</v>
      </c>
      <c r="K18" s="11" t="s">
        <v>151</v>
      </c>
      <c r="L18" s="11" t="s">
        <v>111</v>
      </c>
      <c r="M18" s="11">
        <v>1</v>
      </c>
      <c r="N18" s="11" t="s">
        <v>150</v>
      </c>
      <c r="O18" s="11">
        <v>3.8</v>
      </c>
      <c r="P18" s="11">
        <f t="shared" si="3"/>
        <v>90</v>
      </c>
      <c r="Q18" s="60">
        <f>((10-2*0.3)*(9-2*0.3))*M18</f>
        <v>78.960000000000008</v>
      </c>
      <c r="R18" s="54">
        <f t="shared" si="0"/>
        <v>20.778947368421054</v>
      </c>
      <c r="S18" s="11" t="s">
        <v>67</v>
      </c>
      <c r="T18" s="36"/>
      <c r="U18" s="60">
        <f>400+1750+250</f>
        <v>2400</v>
      </c>
      <c r="V18" s="10" t="s">
        <v>244</v>
      </c>
      <c r="W18" s="54">
        <f t="shared" si="1"/>
        <v>30.3951367781155</v>
      </c>
      <c r="X18" s="11">
        <v>1</v>
      </c>
      <c r="Y18" s="60">
        <f t="shared" si="2"/>
        <v>631.57894736842104</v>
      </c>
      <c r="Z18" s="54" t="s">
        <v>72</v>
      </c>
      <c r="AA18" s="36" t="s">
        <v>630</v>
      </c>
    </row>
    <row r="19" spans="1:27" ht="40.049999999999997" customHeight="1" x14ac:dyDescent="0.3">
      <c r="A19" s="10">
        <v>2</v>
      </c>
      <c r="B19" s="11" t="s">
        <v>672</v>
      </c>
      <c r="C19" s="13"/>
      <c r="D19" s="13"/>
      <c r="E19" s="11" t="s">
        <v>541</v>
      </c>
      <c r="F19" s="10"/>
      <c r="G19" s="11" t="s">
        <v>58</v>
      </c>
      <c r="H19" s="10"/>
      <c r="I19" s="10" t="s">
        <v>391</v>
      </c>
      <c r="J19" s="11" t="s">
        <v>332</v>
      </c>
      <c r="K19" s="11" t="s">
        <v>110</v>
      </c>
      <c r="L19" s="11" t="s">
        <v>93</v>
      </c>
      <c r="M19" s="11">
        <v>1</v>
      </c>
      <c r="N19" s="11" t="s">
        <v>149</v>
      </c>
      <c r="O19" s="11">
        <v>3.7</v>
      </c>
      <c r="P19" s="11">
        <f t="shared" si="3"/>
        <v>90</v>
      </c>
      <c r="Q19" s="60">
        <f>((10-2*0.35)*(9-2*0.35))*M19</f>
        <v>77.190000000000012</v>
      </c>
      <c r="R19" s="54">
        <f t="shared" si="0"/>
        <v>20.862162162162164</v>
      </c>
      <c r="S19" s="11" t="s">
        <v>65</v>
      </c>
      <c r="T19" s="36"/>
      <c r="U19" s="60">
        <f>69120+38400+34560+21600+30000</f>
        <v>193680</v>
      </c>
      <c r="V19" s="10" t="s">
        <v>244</v>
      </c>
      <c r="W19" s="54">
        <f t="shared" si="1"/>
        <v>2509.1333074232411</v>
      </c>
      <c r="X19" s="11">
        <v>1</v>
      </c>
      <c r="Y19" s="60">
        <f t="shared" si="2"/>
        <v>52345.945945945947</v>
      </c>
      <c r="Z19" s="54" t="s">
        <v>66</v>
      </c>
      <c r="AA19" s="36" t="s">
        <v>630</v>
      </c>
    </row>
    <row r="20" spans="1:27" ht="40.049999999999997" customHeight="1" x14ac:dyDescent="0.3">
      <c r="A20" s="10">
        <v>2</v>
      </c>
      <c r="B20" s="11" t="s">
        <v>672</v>
      </c>
      <c r="C20" s="13"/>
      <c r="D20" s="13"/>
      <c r="E20" s="11" t="s">
        <v>541</v>
      </c>
      <c r="F20" s="10"/>
      <c r="G20" s="11" t="s">
        <v>58</v>
      </c>
      <c r="H20" s="10"/>
      <c r="I20" s="10" t="s">
        <v>391</v>
      </c>
      <c r="J20" s="11" t="s">
        <v>332</v>
      </c>
      <c r="K20" s="11" t="s">
        <v>110</v>
      </c>
      <c r="L20" s="11" t="s">
        <v>93</v>
      </c>
      <c r="M20" s="11">
        <v>1</v>
      </c>
      <c r="N20" s="11" t="s">
        <v>149</v>
      </c>
      <c r="O20" s="11">
        <v>3.7</v>
      </c>
      <c r="P20" s="11">
        <f t="shared" si="3"/>
        <v>90</v>
      </c>
      <c r="Q20" s="60">
        <f>((10-2*0.35)*(9-2*0.35))*M20</f>
        <v>77.190000000000012</v>
      </c>
      <c r="R20" s="54">
        <f t="shared" si="0"/>
        <v>20.862162162162164</v>
      </c>
      <c r="S20" s="11" t="s">
        <v>67</v>
      </c>
      <c r="T20" s="36"/>
      <c r="U20" s="60">
        <f>400+1750+250</f>
        <v>2400</v>
      </c>
      <c r="V20" s="10" t="s">
        <v>244</v>
      </c>
      <c r="W20" s="54">
        <f t="shared" si="1"/>
        <v>31.092110376991833</v>
      </c>
      <c r="X20" s="11">
        <v>1</v>
      </c>
      <c r="Y20" s="60">
        <f t="shared" si="2"/>
        <v>648.64864864864865</v>
      </c>
      <c r="Z20" s="54" t="s">
        <v>66</v>
      </c>
      <c r="AA20" s="36" t="s">
        <v>630</v>
      </c>
    </row>
    <row r="21" spans="1:27" ht="40.049999999999997" customHeight="1" x14ac:dyDescent="0.3">
      <c r="A21" s="10">
        <v>2</v>
      </c>
      <c r="B21" s="11" t="s">
        <v>672</v>
      </c>
      <c r="C21" s="13"/>
      <c r="D21" s="13"/>
      <c r="E21" s="11" t="s">
        <v>541</v>
      </c>
      <c r="F21" s="10"/>
      <c r="G21" s="11" t="s">
        <v>58</v>
      </c>
      <c r="H21" s="10"/>
      <c r="I21" s="10" t="s">
        <v>391</v>
      </c>
      <c r="J21" s="11" t="s">
        <v>333</v>
      </c>
      <c r="K21" s="11" t="s">
        <v>110</v>
      </c>
      <c r="L21" s="11" t="s">
        <v>83</v>
      </c>
      <c r="M21" s="11">
        <v>1</v>
      </c>
      <c r="N21" s="11" t="s">
        <v>148</v>
      </c>
      <c r="O21" s="11">
        <v>3.7</v>
      </c>
      <c r="P21" s="11">
        <f t="shared" si="3"/>
        <v>90</v>
      </c>
      <c r="Q21" s="60">
        <f t="shared" ref="Q21:Q24" si="4">((10-2*0.25)*(9-2*0.25))*M21</f>
        <v>80.75</v>
      </c>
      <c r="R21" s="54">
        <f t="shared" si="0"/>
        <v>21.824324324324323</v>
      </c>
      <c r="S21" s="11" t="s">
        <v>65</v>
      </c>
      <c r="T21" s="36"/>
      <c r="U21" s="60">
        <f>69120+38400+34560+21600+30000</f>
        <v>193680</v>
      </c>
      <c r="V21" s="10" t="s">
        <v>244</v>
      </c>
      <c r="W21" s="54">
        <f t="shared" si="1"/>
        <v>2398.5139318885449</v>
      </c>
      <c r="X21" s="11">
        <v>1</v>
      </c>
      <c r="Y21" s="60">
        <f t="shared" si="2"/>
        <v>52345.945945945947</v>
      </c>
      <c r="Z21" s="54" t="s">
        <v>66</v>
      </c>
      <c r="AA21" s="36" t="s">
        <v>630</v>
      </c>
    </row>
    <row r="22" spans="1:27" ht="40.049999999999997" customHeight="1" x14ac:dyDescent="0.3">
      <c r="A22" s="10">
        <v>2</v>
      </c>
      <c r="B22" s="11" t="s">
        <v>672</v>
      </c>
      <c r="C22" s="13"/>
      <c r="D22" s="13"/>
      <c r="E22" s="11" t="s">
        <v>541</v>
      </c>
      <c r="F22" s="10"/>
      <c r="G22" s="11" t="s">
        <v>58</v>
      </c>
      <c r="H22" s="10"/>
      <c r="I22" s="10" t="s">
        <v>391</v>
      </c>
      <c r="J22" s="11" t="s">
        <v>333</v>
      </c>
      <c r="K22" s="11" t="s">
        <v>110</v>
      </c>
      <c r="L22" s="11" t="s">
        <v>83</v>
      </c>
      <c r="M22" s="11">
        <v>1</v>
      </c>
      <c r="N22" s="11" t="s">
        <v>148</v>
      </c>
      <c r="O22" s="11">
        <v>3.7</v>
      </c>
      <c r="P22" s="11">
        <f t="shared" si="3"/>
        <v>90</v>
      </c>
      <c r="Q22" s="60">
        <f t="shared" si="4"/>
        <v>80.75</v>
      </c>
      <c r="R22" s="54">
        <f t="shared" si="0"/>
        <v>21.824324324324323</v>
      </c>
      <c r="S22" s="11" t="s">
        <v>67</v>
      </c>
      <c r="T22" s="36"/>
      <c r="U22" s="60">
        <f>400+1750</f>
        <v>2150</v>
      </c>
      <c r="V22" s="10" t="s">
        <v>244</v>
      </c>
      <c r="W22" s="54">
        <f t="shared" si="1"/>
        <v>26.625386996904023</v>
      </c>
      <c r="X22" s="11">
        <v>1</v>
      </c>
      <c r="Y22" s="60">
        <f t="shared" si="2"/>
        <v>581.08108108108104</v>
      </c>
      <c r="Z22" s="54" t="s">
        <v>66</v>
      </c>
      <c r="AA22" s="36" t="s">
        <v>630</v>
      </c>
    </row>
    <row r="23" spans="1:27" ht="40.049999999999997" customHeight="1" x14ac:dyDescent="0.3">
      <c r="A23" s="10">
        <v>2</v>
      </c>
      <c r="B23" s="11" t="s">
        <v>672</v>
      </c>
      <c r="C23" s="13"/>
      <c r="D23" s="13"/>
      <c r="E23" s="11" t="s">
        <v>541</v>
      </c>
      <c r="F23" s="10"/>
      <c r="G23" s="11" t="s">
        <v>58</v>
      </c>
      <c r="H23" s="10"/>
      <c r="I23" s="10" t="s">
        <v>391</v>
      </c>
      <c r="J23" s="11" t="s">
        <v>334</v>
      </c>
      <c r="K23" s="11" t="s">
        <v>108</v>
      </c>
      <c r="L23" s="11" t="s">
        <v>68</v>
      </c>
      <c r="M23" s="11">
        <v>1</v>
      </c>
      <c r="N23" s="11" t="s">
        <v>147</v>
      </c>
      <c r="O23" s="11">
        <v>3.7</v>
      </c>
      <c r="P23" s="11">
        <f t="shared" si="3"/>
        <v>90</v>
      </c>
      <c r="Q23" s="60">
        <f t="shared" si="4"/>
        <v>80.75</v>
      </c>
      <c r="R23" s="54">
        <f t="shared" si="0"/>
        <v>21.824324324324323</v>
      </c>
      <c r="S23" s="11" t="s">
        <v>65</v>
      </c>
      <c r="T23" s="36"/>
      <c r="U23" s="60">
        <f>69120+38400+34560+21600+30000</f>
        <v>193680</v>
      </c>
      <c r="V23" s="10" t="s">
        <v>244</v>
      </c>
      <c r="W23" s="54">
        <f t="shared" si="1"/>
        <v>2398.5139318885449</v>
      </c>
      <c r="X23" s="11">
        <v>1</v>
      </c>
      <c r="Y23" s="60">
        <f t="shared" si="2"/>
        <v>52345.945945945947</v>
      </c>
      <c r="Z23" s="54" t="s">
        <v>66</v>
      </c>
      <c r="AA23" s="36" t="s">
        <v>630</v>
      </c>
    </row>
    <row r="24" spans="1:27" ht="40.049999999999997" customHeight="1" x14ac:dyDescent="0.3">
      <c r="A24" s="10">
        <v>2</v>
      </c>
      <c r="B24" s="11" t="s">
        <v>672</v>
      </c>
      <c r="C24" s="13"/>
      <c r="D24" s="13"/>
      <c r="E24" s="11" t="s">
        <v>541</v>
      </c>
      <c r="F24" s="10"/>
      <c r="G24" s="11" t="s">
        <v>58</v>
      </c>
      <c r="H24" s="10"/>
      <c r="I24" s="10" t="s">
        <v>391</v>
      </c>
      <c r="J24" s="11" t="s">
        <v>334</v>
      </c>
      <c r="K24" s="11" t="s">
        <v>108</v>
      </c>
      <c r="L24" s="11" t="s">
        <v>68</v>
      </c>
      <c r="M24" s="11">
        <v>1</v>
      </c>
      <c r="N24" s="11" t="s">
        <v>147</v>
      </c>
      <c r="O24" s="11">
        <v>3.7</v>
      </c>
      <c r="P24" s="11">
        <f t="shared" si="3"/>
        <v>90</v>
      </c>
      <c r="Q24" s="60">
        <f t="shared" si="4"/>
        <v>80.75</v>
      </c>
      <c r="R24" s="54">
        <f t="shared" si="0"/>
        <v>21.824324324324323</v>
      </c>
      <c r="S24" s="11" t="s">
        <v>67</v>
      </c>
      <c r="T24" s="36"/>
      <c r="U24" s="60">
        <f>400+1750+250</f>
        <v>2400</v>
      </c>
      <c r="V24" s="10" t="s">
        <v>244</v>
      </c>
      <c r="W24" s="54">
        <f t="shared" si="1"/>
        <v>29.721362229102166</v>
      </c>
      <c r="X24" s="11">
        <v>1</v>
      </c>
      <c r="Y24" s="60">
        <f t="shared" si="2"/>
        <v>648.64864864864865</v>
      </c>
      <c r="Z24" s="54" t="s">
        <v>66</v>
      </c>
      <c r="AA24" s="36" t="s">
        <v>630</v>
      </c>
    </row>
    <row r="25" spans="1:27" ht="40.049999999999997" customHeight="1" x14ac:dyDescent="0.3">
      <c r="A25" s="10">
        <v>2</v>
      </c>
      <c r="B25" s="11" t="s">
        <v>672</v>
      </c>
      <c r="C25" s="13"/>
      <c r="D25" s="13"/>
      <c r="E25" s="11" t="s">
        <v>541</v>
      </c>
      <c r="F25" s="10"/>
      <c r="G25" s="11" t="s">
        <v>58</v>
      </c>
      <c r="H25" s="10"/>
      <c r="I25" s="10" t="s">
        <v>391</v>
      </c>
      <c r="J25" s="11" t="s">
        <v>335</v>
      </c>
      <c r="K25" s="11" t="s">
        <v>146</v>
      </c>
      <c r="L25" s="11" t="s">
        <v>87</v>
      </c>
      <c r="M25" s="11">
        <v>1</v>
      </c>
      <c r="N25" s="11" t="s">
        <v>145</v>
      </c>
      <c r="O25" s="11">
        <v>3.7</v>
      </c>
      <c r="P25" s="11">
        <f t="shared" si="3"/>
        <v>90</v>
      </c>
      <c r="Q25" s="60">
        <f t="shared" ref="Q25:Q28" si="5">((10-2*0.2)*(9-2*0.2))*M25</f>
        <v>82.559999999999988</v>
      </c>
      <c r="R25" s="54">
        <f t="shared" si="0"/>
        <v>22.313513513513509</v>
      </c>
      <c r="S25" s="11" t="s">
        <v>65</v>
      </c>
      <c r="T25" s="36"/>
      <c r="U25" s="60">
        <f>69120+38400+34560+21600+30000</f>
        <v>193680</v>
      </c>
      <c r="V25" s="10" t="s">
        <v>244</v>
      </c>
      <c r="W25" s="54">
        <f t="shared" si="1"/>
        <v>2345.9302325581398</v>
      </c>
      <c r="X25" s="11">
        <v>1</v>
      </c>
      <c r="Y25" s="60">
        <f t="shared" si="2"/>
        <v>52345.945945945947</v>
      </c>
      <c r="Z25" s="54" t="s">
        <v>66</v>
      </c>
      <c r="AA25" s="36" t="s">
        <v>630</v>
      </c>
    </row>
    <row r="26" spans="1:27" ht="40.049999999999997" customHeight="1" x14ac:dyDescent="0.3">
      <c r="A26" s="10">
        <v>2</v>
      </c>
      <c r="B26" s="11" t="s">
        <v>672</v>
      </c>
      <c r="C26" s="13"/>
      <c r="D26" s="13"/>
      <c r="E26" s="11" t="s">
        <v>541</v>
      </c>
      <c r="F26" s="10"/>
      <c r="G26" s="11" t="s">
        <v>58</v>
      </c>
      <c r="H26" s="10"/>
      <c r="I26" s="10" t="s">
        <v>391</v>
      </c>
      <c r="J26" s="11" t="s">
        <v>335</v>
      </c>
      <c r="K26" s="11" t="s">
        <v>146</v>
      </c>
      <c r="L26" s="11" t="s">
        <v>87</v>
      </c>
      <c r="M26" s="11">
        <v>1</v>
      </c>
      <c r="N26" s="11" t="s">
        <v>145</v>
      </c>
      <c r="O26" s="11">
        <v>3.7</v>
      </c>
      <c r="P26" s="11">
        <f t="shared" si="3"/>
        <v>90</v>
      </c>
      <c r="Q26" s="60">
        <f t="shared" si="5"/>
        <v>82.559999999999988</v>
      </c>
      <c r="R26" s="54">
        <f t="shared" si="0"/>
        <v>22.313513513513509</v>
      </c>
      <c r="S26" s="11" t="s">
        <v>67</v>
      </c>
      <c r="T26" s="36"/>
      <c r="U26" s="60">
        <f>400+1750+250</f>
        <v>2400</v>
      </c>
      <c r="V26" s="10" t="s">
        <v>244</v>
      </c>
      <c r="W26" s="54">
        <f t="shared" si="1"/>
        <v>29.069767441860471</v>
      </c>
      <c r="X26" s="11">
        <v>1</v>
      </c>
      <c r="Y26" s="60">
        <f t="shared" si="2"/>
        <v>648.64864864864865</v>
      </c>
      <c r="Z26" s="54" t="s">
        <v>66</v>
      </c>
      <c r="AA26" s="36" t="s">
        <v>630</v>
      </c>
    </row>
    <row r="27" spans="1:27" ht="40.049999999999997" customHeight="1" x14ac:dyDescent="0.3">
      <c r="A27" s="10">
        <v>2</v>
      </c>
      <c r="B27" s="11" t="s">
        <v>672</v>
      </c>
      <c r="C27" s="13"/>
      <c r="D27" s="13"/>
      <c r="E27" s="11" t="s">
        <v>541</v>
      </c>
      <c r="F27" s="10"/>
      <c r="G27" s="11" t="s">
        <v>58</v>
      </c>
      <c r="H27" s="10"/>
      <c r="I27" s="10" t="s">
        <v>391</v>
      </c>
      <c r="J27" s="11" t="s">
        <v>336</v>
      </c>
      <c r="K27" s="11" t="s">
        <v>144</v>
      </c>
      <c r="L27" s="11" t="s">
        <v>68</v>
      </c>
      <c r="M27" s="11">
        <v>1</v>
      </c>
      <c r="N27" s="11" t="s">
        <v>299</v>
      </c>
      <c r="O27" s="11">
        <v>3.7</v>
      </c>
      <c r="P27" s="11">
        <f t="shared" si="3"/>
        <v>90</v>
      </c>
      <c r="Q27" s="60">
        <f t="shared" si="5"/>
        <v>82.559999999999988</v>
      </c>
      <c r="R27" s="54">
        <f t="shared" si="0"/>
        <v>22.313513513513509</v>
      </c>
      <c r="S27" s="11" t="s">
        <v>65</v>
      </c>
      <c r="T27" s="36"/>
      <c r="U27" s="60">
        <f>69120+38400+34560+21600+30000</f>
        <v>193680</v>
      </c>
      <c r="V27" s="10" t="s">
        <v>244</v>
      </c>
      <c r="W27" s="54">
        <f t="shared" si="1"/>
        <v>2345.9302325581398</v>
      </c>
      <c r="X27" s="11">
        <v>1</v>
      </c>
      <c r="Y27" s="60">
        <f t="shared" si="2"/>
        <v>52345.945945945947</v>
      </c>
      <c r="Z27" s="54" t="s">
        <v>66</v>
      </c>
      <c r="AA27" s="36" t="s">
        <v>630</v>
      </c>
    </row>
    <row r="28" spans="1:27" ht="40.049999999999997" customHeight="1" x14ac:dyDescent="0.3">
      <c r="A28" s="10">
        <v>2</v>
      </c>
      <c r="B28" s="11" t="s">
        <v>672</v>
      </c>
      <c r="C28" s="13"/>
      <c r="D28" s="13"/>
      <c r="E28" s="11" t="s">
        <v>541</v>
      </c>
      <c r="F28" s="10"/>
      <c r="G28" s="11" t="s">
        <v>58</v>
      </c>
      <c r="H28" s="10"/>
      <c r="I28" s="10" t="s">
        <v>391</v>
      </c>
      <c r="J28" s="11" t="s">
        <v>336</v>
      </c>
      <c r="K28" s="11" t="s">
        <v>144</v>
      </c>
      <c r="L28" s="11" t="s">
        <v>68</v>
      </c>
      <c r="M28" s="11">
        <v>1</v>
      </c>
      <c r="N28" s="11" t="s">
        <v>299</v>
      </c>
      <c r="O28" s="11">
        <v>3.7</v>
      </c>
      <c r="P28" s="11">
        <f t="shared" si="3"/>
        <v>90</v>
      </c>
      <c r="Q28" s="60">
        <f t="shared" si="5"/>
        <v>82.559999999999988</v>
      </c>
      <c r="R28" s="54">
        <f t="shared" si="0"/>
        <v>22.313513513513509</v>
      </c>
      <c r="S28" s="11" t="s">
        <v>67</v>
      </c>
      <c r="T28" s="36"/>
      <c r="U28" s="60">
        <f>400+1750+250</f>
        <v>2400</v>
      </c>
      <c r="V28" s="10" t="s">
        <v>244</v>
      </c>
      <c r="W28" s="54">
        <f t="shared" si="1"/>
        <v>29.069767441860471</v>
      </c>
      <c r="X28" s="11">
        <v>1</v>
      </c>
      <c r="Y28" s="60">
        <f t="shared" si="2"/>
        <v>648.64864864864865</v>
      </c>
      <c r="Z28" s="54" t="s">
        <v>66</v>
      </c>
      <c r="AA28" s="36" t="s">
        <v>630</v>
      </c>
    </row>
    <row r="29" spans="1:27" ht="40.049999999999997" customHeight="1" x14ac:dyDescent="0.3">
      <c r="A29" s="10">
        <v>2</v>
      </c>
      <c r="B29" s="11" t="s">
        <v>672</v>
      </c>
      <c r="C29" s="13"/>
      <c r="D29" s="13"/>
      <c r="E29" s="11" t="s">
        <v>541</v>
      </c>
      <c r="F29" s="10"/>
      <c r="G29" s="11" t="s">
        <v>58</v>
      </c>
      <c r="H29" s="10"/>
      <c r="I29" s="10" t="s">
        <v>391</v>
      </c>
      <c r="J29" s="11" t="s">
        <v>337</v>
      </c>
      <c r="K29" s="11" t="s">
        <v>107</v>
      </c>
      <c r="L29" s="11" t="s">
        <v>83</v>
      </c>
      <c r="M29" s="11">
        <v>1</v>
      </c>
      <c r="N29" s="11" t="s">
        <v>133</v>
      </c>
      <c r="O29" s="11">
        <v>3.6</v>
      </c>
      <c r="P29" s="11">
        <f t="shared" si="3"/>
        <v>90</v>
      </c>
      <c r="Q29" s="60">
        <f t="shared" ref="Q29:Q32" si="6">((10-2*0.16)*(9-2*0.16))*M29</f>
        <v>84.02239999999999</v>
      </c>
      <c r="R29" s="54">
        <f t="shared" si="0"/>
        <v>23.339555555555553</v>
      </c>
      <c r="S29" s="11" t="s">
        <v>65</v>
      </c>
      <c r="T29" s="36"/>
      <c r="U29" s="60">
        <f>38400+34560+21600+30000</f>
        <v>124560</v>
      </c>
      <c r="V29" s="10" t="s">
        <v>244</v>
      </c>
      <c r="W29" s="54">
        <f t="shared" si="1"/>
        <v>1482.4618197052216</v>
      </c>
      <c r="X29" s="11">
        <v>1</v>
      </c>
      <c r="Y29" s="60">
        <f t="shared" si="2"/>
        <v>34600</v>
      </c>
      <c r="Z29" s="54" t="s">
        <v>72</v>
      </c>
      <c r="AA29" s="36" t="s">
        <v>630</v>
      </c>
    </row>
    <row r="30" spans="1:27" ht="40.049999999999997" customHeight="1" x14ac:dyDescent="0.3">
      <c r="A30" s="10">
        <v>2</v>
      </c>
      <c r="B30" s="11" t="s">
        <v>672</v>
      </c>
      <c r="C30" s="13"/>
      <c r="D30" s="13"/>
      <c r="E30" s="11" t="s">
        <v>541</v>
      </c>
      <c r="F30" s="10"/>
      <c r="G30" s="11" t="s">
        <v>58</v>
      </c>
      <c r="H30" s="10"/>
      <c r="I30" s="10" t="s">
        <v>391</v>
      </c>
      <c r="J30" s="11" t="s">
        <v>337</v>
      </c>
      <c r="K30" s="11" t="s">
        <v>107</v>
      </c>
      <c r="L30" s="11" t="s">
        <v>83</v>
      </c>
      <c r="M30" s="11">
        <v>1</v>
      </c>
      <c r="N30" s="11" t="s">
        <v>133</v>
      </c>
      <c r="O30" s="11">
        <v>3.6</v>
      </c>
      <c r="P30" s="11">
        <f t="shared" si="3"/>
        <v>90</v>
      </c>
      <c r="Q30" s="60">
        <f t="shared" si="6"/>
        <v>84.02239999999999</v>
      </c>
      <c r="R30" s="54">
        <f t="shared" si="0"/>
        <v>23.339555555555553</v>
      </c>
      <c r="S30" s="11" t="s">
        <v>67</v>
      </c>
      <c r="T30" s="36"/>
      <c r="U30" s="60">
        <f>3200+1600+400+1750+250+2700+2500+2484</f>
        <v>14884</v>
      </c>
      <c r="V30" s="10" t="s">
        <v>244</v>
      </c>
      <c r="W30" s="54">
        <f t="shared" si="1"/>
        <v>177.1432379936779</v>
      </c>
      <c r="X30" s="11">
        <v>1</v>
      </c>
      <c r="Y30" s="60">
        <f t="shared" si="2"/>
        <v>4134.4444444444443</v>
      </c>
      <c r="Z30" s="54" t="s">
        <v>72</v>
      </c>
      <c r="AA30" s="36" t="s">
        <v>630</v>
      </c>
    </row>
    <row r="31" spans="1:27" ht="40.049999999999997" customHeight="1" x14ac:dyDescent="0.3">
      <c r="A31" s="10">
        <v>2</v>
      </c>
      <c r="B31" s="11" t="s">
        <v>672</v>
      </c>
      <c r="C31" s="13"/>
      <c r="D31" s="13"/>
      <c r="E31" s="11" t="s">
        <v>541</v>
      </c>
      <c r="F31" s="10"/>
      <c r="G31" s="11" t="s">
        <v>58</v>
      </c>
      <c r="H31" s="10"/>
      <c r="I31" s="10" t="s">
        <v>391</v>
      </c>
      <c r="J31" s="11" t="s">
        <v>338</v>
      </c>
      <c r="K31" s="11" t="s">
        <v>105</v>
      </c>
      <c r="L31" s="11" t="s">
        <v>68</v>
      </c>
      <c r="M31" s="11">
        <v>1</v>
      </c>
      <c r="N31" s="11" t="s">
        <v>143</v>
      </c>
      <c r="O31" s="11">
        <v>3.7</v>
      </c>
      <c r="P31" s="11">
        <f t="shared" si="3"/>
        <v>90</v>
      </c>
      <c r="Q31" s="60">
        <f t="shared" si="6"/>
        <v>84.02239999999999</v>
      </c>
      <c r="R31" s="54">
        <f t="shared" si="0"/>
        <v>22.708756756756753</v>
      </c>
      <c r="S31" s="11" t="s">
        <v>65</v>
      </c>
      <c r="T31" s="36"/>
      <c r="U31" s="60">
        <f>38400+34560+21600+30000</f>
        <v>124560</v>
      </c>
      <c r="V31" s="10" t="s">
        <v>244</v>
      </c>
      <c r="W31" s="54">
        <f t="shared" si="1"/>
        <v>1482.4618197052216</v>
      </c>
      <c r="X31" s="11">
        <v>1</v>
      </c>
      <c r="Y31" s="60">
        <f t="shared" si="2"/>
        <v>33664.864864864867</v>
      </c>
      <c r="Z31" s="54" t="s">
        <v>66</v>
      </c>
      <c r="AA31" s="36" t="s">
        <v>630</v>
      </c>
    </row>
    <row r="32" spans="1:27" ht="40.049999999999997" customHeight="1" x14ac:dyDescent="0.3">
      <c r="A32" s="10">
        <v>2</v>
      </c>
      <c r="B32" s="11" t="s">
        <v>672</v>
      </c>
      <c r="C32" s="13"/>
      <c r="D32" s="13"/>
      <c r="E32" s="11" t="s">
        <v>541</v>
      </c>
      <c r="F32" s="10"/>
      <c r="G32" s="11" t="s">
        <v>58</v>
      </c>
      <c r="H32" s="10"/>
      <c r="I32" s="10" t="s">
        <v>391</v>
      </c>
      <c r="J32" s="11" t="s">
        <v>338</v>
      </c>
      <c r="K32" s="11" t="s">
        <v>105</v>
      </c>
      <c r="L32" s="11" t="s">
        <v>68</v>
      </c>
      <c r="M32" s="11">
        <v>1</v>
      </c>
      <c r="N32" s="11" t="s">
        <v>143</v>
      </c>
      <c r="O32" s="11">
        <v>3.7</v>
      </c>
      <c r="P32" s="11">
        <f t="shared" si="3"/>
        <v>90</v>
      </c>
      <c r="Q32" s="60">
        <f t="shared" si="6"/>
        <v>84.02239999999999</v>
      </c>
      <c r="R32" s="54">
        <f t="shared" si="0"/>
        <v>22.708756756756753</v>
      </c>
      <c r="S32" s="11" t="s">
        <v>67</v>
      </c>
      <c r="T32" s="36"/>
      <c r="U32" s="60">
        <f>3200+1600+400+1750+250+2700+2500+2484</f>
        <v>14884</v>
      </c>
      <c r="V32" s="10" t="s">
        <v>244</v>
      </c>
      <c r="W32" s="54">
        <f t="shared" si="1"/>
        <v>177.1432379936779</v>
      </c>
      <c r="X32" s="11">
        <v>1</v>
      </c>
      <c r="Y32" s="60">
        <f t="shared" si="2"/>
        <v>4022.7027027027025</v>
      </c>
      <c r="Z32" s="54" t="s">
        <v>66</v>
      </c>
      <c r="AA32" s="36" t="s">
        <v>630</v>
      </c>
    </row>
    <row r="33" spans="1:27" ht="40.049999999999997" customHeight="1" x14ac:dyDescent="0.3">
      <c r="A33" s="10">
        <v>2</v>
      </c>
      <c r="B33" s="11" t="s">
        <v>672</v>
      </c>
      <c r="C33" s="13"/>
      <c r="D33" s="13"/>
      <c r="E33" s="11" t="s">
        <v>541</v>
      </c>
      <c r="F33" s="10"/>
      <c r="G33" s="11" t="s">
        <v>58</v>
      </c>
      <c r="H33" s="10"/>
      <c r="I33" s="4" t="s">
        <v>435</v>
      </c>
      <c r="J33" s="11" t="s">
        <v>339</v>
      </c>
      <c r="K33" s="11" t="s">
        <v>103</v>
      </c>
      <c r="L33" s="11" t="s">
        <v>116</v>
      </c>
      <c r="M33" s="11">
        <v>4</v>
      </c>
      <c r="N33" s="11" t="s">
        <v>142</v>
      </c>
      <c r="O33" s="11">
        <v>39.9</v>
      </c>
      <c r="P33" s="11">
        <f t="shared" ref="P33:P51" si="7">(32*12)*M33</f>
        <v>1536</v>
      </c>
      <c r="Q33" s="63">
        <f>((32-2*0.5)*(12-2*0.5))*M33</f>
        <v>1364</v>
      </c>
      <c r="R33" s="54">
        <f t="shared" si="0"/>
        <v>34.185463659147871</v>
      </c>
      <c r="S33" s="11" t="s">
        <v>67</v>
      </c>
      <c r="T33" s="36"/>
      <c r="U33" s="60">
        <f>7000+1250+22800+22000+20976+2500+5244</f>
        <v>81770</v>
      </c>
      <c r="V33" s="10" t="s">
        <v>244</v>
      </c>
      <c r="W33" s="54">
        <f t="shared" si="1"/>
        <v>59.948680351906155</v>
      </c>
      <c r="X33" s="11">
        <v>3</v>
      </c>
      <c r="Y33" s="60">
        <f t="shared" si="2"/>
        <v>2049.3734335839599</v>
      </c>
      <c r="Z33" s="54" t="s">
        <v>66</v>
      </c>
      <c r="AA33" s="36" t="s">
        <v>630</v>
      </c>
    </row>
    <row r="34" spans="1:27" ht="40.049999999999997" customHeight="1" x14ac:dyDescent="0.3">
      <c r="A34" s="10">
        <v>2</v>
      </c>
      <c r="B34" s="11" t="s">
        <v>672</v>
      </c>
      <c r="C34" s="13"/>
      <c r="D34" s="13"/>
      <c r="E34" s="11" t="s">
        <v>541</v>
      </c>
      <c r="F34" s="10"/>
      <c r="G34" s="11" t="s">
        <v>58</v>
      </c>
      <c r="H34" s="10"/>
      <c r="I34" s="4" t="s">
        <v>435</v>
      </c>
      <c r="J34" s="11" t="s">
        <v>340</v>
      </c>
      <c r="K34" s="11" t="s">
        <v>141</v>
      </c>
      <c r="L34" s="11" t="s">
        <v>140</v>
      </c>
      <c r="M34" s="11">
        <v>4</v>
      </c>
      <c r="N34" s="11" t="s">
        <v>139</v>
      </c>
      <c r="O34" s="11">
        <v>39.4</v>
      </c>
      <c r="P34" s="11">
        <f t="shared" si="7"/>
        <v>1536</v>
      </c>
      <c r="Q34" s="63">
        <f>((32-2*0.5)*(12-2*0.5))*M34</f>
        <v>1364</v>
      </c>
      <c r="R34" s="54">
        <f t="shared" si="0"/>
        <v>34.619289340101524</v>
      </c>
      <c r="S34" s="11" t="s">
        <v>67</v>
      </c>
      <c r="T34" s="36"/>
      <c r="U34" s="60">
        <f>5600+7000+1250+22800+22000+20976+2500+5244</f>
        <v>87370</v>
      </c>
      <c r="V34" s="10" t="s">
        <v>244</v>
      </c>
      <c r="W34" s="54">
        <f t="shared" si="1"/>
        <v>64.054252199413483</v>
      </c>
      <c r="X34" s="11">
        <v>3</v>
      </c>
      <c r="Y34" s="60">
        <f t="shared" si="2"/>
        <v>2217.5126903553301</v>
      </c>
      <c r="Z34" s="54" t="s">
        <v>66</v>
      </c>
      <c r="AA34" s="36" t="s">
        <v>630</v>
      </c>
    </row>
    <row r="35" spans="1:27" ht="40.049999999999997" customHeight="1" x14ac:dyDescent="0.3">
      <c r="A35" s="10">
        <v>2</v>
      </c>
      <c r="B35" s="11" t="s">
        <v>672</v>
      </c>
      <c r="C35" s="13"/>
      <c r="D35" s="13"/>
      <c r="E35" s="11" t="s">
        <v>541</v>
      </c>
      <c r="F35" s="10"/>
      <c r="G35" s="11" t="s">
        <v>58</v>
      </c>
      <c r="H35" s="10"/>
      <c r="I35" s="4" t="s">
        <v>435</v>
      </c>
      <c r="J35" s="11" t="s">
        <v>341</v>
      </c>
      <c r="K35" s="11" t="s">
        <v>138</v>
      </c>
      <c r="L35" s="11" t="s">
        <v>93</v>
      </c>
      <c r="M35" s="11">
        <v>4</v>
      </c>
      <c r="N35" s="11" t="s">
        <v>137</v>
      </c>
      <c r="O35" s="11">
        <v>39.9</v>
      </c>
      <c r="P35" s="11">
        <f t="shared" si="7"/>
        <v>1536</v>
      </c>
      <c r="Q35" s="63">
        <f>((32-2*0.35)*(12-2*0.35))*M35</f>
        <v>1414.7600000000002</v>
      </c>
      <c r="R35" s="54">
        <f t="shared" si="0"/>
        <v>35.457644110275695</v>
      </c>
      <c r="S35" s="11" t="s">
        <v>65</v>
      </c>
      <c r="T35" s="36"/>
      <c r="U35" s="60">
        <f>437760+259200+145920+91200+108000</f>
        <v>1042080</v>
      </c>
      <c r="V35" s="10" t="s">
        <v>244</v>
      </c>
      <c r="W35" s="54">
        <f t="shared" si="1"/>
        <v>736.57722864655477</v>
      </c>
      <c r="X35" s="11">
        <v>3</v>
      </c>
      <c r="Y35" s="60">
        <f t="shared" si="2"/>
        <v>26117.293233082706</v>
      </c>
      <c r="Z35" s="54" t="s">
        <v>72</v>
      </c>
      <c r="AA35" s="36" t="s">
        <v>630</v>
      </c>
    </row>
    <row r="36" spans="1:27" ht="40.049999999999997" customHeight="1" x14ac:dyDescent="0.3">
      <c r="A36" s="10">
        <v>2</v>
      </c>
      <c r="B36" s="11" t="s">
        <v>672</v>
      </c>
      <c r="C36" s="13"/>
      <c r="D36" s="13"/>
      <c r="E36" s="11" t="s">
        <v>541</v>
      </c>
      <c r="F36" s="10"/>
      <c r="G36" s="11" t="s">
        <v>58</v>
      </c>
      <c r="H36" s="10"/>
      <c r="I36" s="4" t="s">
        <v>435</v>
      </c>
      <c r="J36" s="11" t="s">
        <v>341</v>
      </c>
      <c r="K36" s="11" t="s">
        <v>138</v>
      </c>
      <c r="L36" s="11" t="s">
        <v>93</v>
      </c>
      <c r="M36" s="11">
        <v>4</v>
      </c>
      <c r="N36" s="11" t="s">
        <v>137</v>
      </c>
      <c r="O36" s="11">
        <v>39.9</v>
      </c>
      <c r="P36" s="11">
        <f t="shared" si="7"/>
        <v>1536</v>
      </c>
      <c r="Q36" s="63">
        <f>((32-2*0.35)*(12-2*0.35))*M36</f>
        <v>1414.7600000000002</v>
      </c>
      <c r="R36" s="54">
        <f t="shared" si="0"/>
        <v>35.457644110275695</v>
      </c>
      <c r="S36" s="11" t="s">
        <v>67</v>
      </c>
      <c r="T36" s="36"/>
      <c r="U36" s="60">
        <f>5600+7000+1250</f>
        <v>13850</v>
      </c>
      <c r="V36" s="10" t="s">
        <v>244</v>
      </c>
      <c r="W36" s="54">
        <f t="shared" si="1"/>
        <v>9.7896463004325813</v>
      </c>
      <c r="X36" s="11">
        <v>3</v>
      </c>
      <c r="Y36" s="60">
        <f t="shared" si="2"/>
        <v>347.11779448621553</v>
      </c>
      <c r="Z36" s="54" t="s">
        <v>72</v>
      </c>
      <c r="AA36" s="36" t="s">
        <v>630</v>
      </c>
    </row>
    <row r="37" spans="1:27" ht="40.049999999999997" customHeight="1" x14ac:dyDescent="0.3">
      <c r="A37" s="10">
        <v>2</v>
      </c>
      <c r="B37" s="11" t="s">
        <v>672</v>
      </c>
      <c r="C37" s="13"/>
      <c r="D37" s="13"/>
      <c r="E37" s="11" t="s">
        <v>541</v>
      </c>
      <c r="F37" s="10"/>
      <c r="G37" s="11" t="s">
        <v>58</v>
      </c>
      <c r="H37" s="10"/>
      <c r="I37" s="4" t="s">
        <v>435</v>
      </c>
      <c r="J37" s="11" t="s">
        <v>342</v>
      </c>
      <c r="K37" s="11" t="s">
        <v>94</v>
      </c>
      <c r="L37" s="11" t="s">
        <v>136</v>
      </c>
      <c r="M37" s="11">
        <v>4</v>
      </c>
      <c r="N37" s="11" t="s">
        <v>133</v>
      </c>
      <c r="O37" s="11">
        <v>39.700000000000003</v>
      </c>
      <c r="P37" s="11">
        <f t="shared" si="7"/>
        <v>1536</v>
      </c>
      <c r="Q37" s="63">
        <f>((32-2*0.3)*(12-2*0.3))*M37</f>
        <v>1431.84</v>
      </c>
      <c r="R37" s="54">
        <f t="shared" si="0"/>
        <v>36.066498740554152</v>
      </c>
      <c r="S37" s="11" t="s">
        <v>65</v>
      </c>
      <c r="T37" s="36"/>
      <c r="U37" s="60">
        <f>528000+437760+259200+145920+91200+108000</f>
        <v>1570080</v>
      </c>
      <c r="V37" s="10" t="s">
        <v>244</v>
      </c>
      <c r="W37" s="54">
        <f t="shared" si="1"/>
        <v>1096.547100234663</v>
      </c>
      <c r="X37" s="11">
        <v>3</v>
      </c>
      <c r="Y37" s="60">
        <f t="shared" si="2"/>
        <v>39548.614609571785</v>
      </c>
      <c r="Z37" s="54" t="s">
        <v>72</v>
      </c>
      <c r="AA37" s="36" t="s">
        <v>630</v>
      </c>
    </row>
    <row r="38" spans="1:27" ht="40.049999999999997" customHeight="1" x14ac:dyDescent="0.3">
      <c r="A38" s="10">
        <v>2</v>
      </c>
      <c r="B38" s="11" t="s">
        <v>672</v>
      </c>
      <c r="C38" s="13"/>
      <c r="D38" s="13"/>
      <c r="E38" s="11" t="s">
        <v>541</v>
      </c>
      <c r="F38" s="10"/>
      <c r="G38" s="11" t="s">
        <v>58</v>
      </c>
      <c r="H38" s="10"/>
      <c r="I38" s="4" t="s">
        <v>435</v>
      </c>
      <c r="J38" s="11" t="s">
        <v>342</v>
      </c>
      <c r="K38" s="11" t="s">
        <v>94</v>
      </c>
      <c r="L38" s="11" t="s">
        <v>136</v>
      </c>
      <c r="M38" s="11">
        <v>4</v>
      </c>
      <c r="N38" s="11" t="s">
        <v>133</v>
      </c>
      <c r="O38" s="11">
        <v>39.700000000000003</v>
      </c>
      <c r="P38" s="11">
        <f t="shared" si="7"/>
        <v>1536</v>
      </c>
      <c r="Q38" s="63">
        <f>((32-2*0.3)*(12-2*0.3))*M38</f>
        <v>1431.84</v>
      </c>
      <c r="R38" s="54">
        <f t="shared" si="0"/>
        <v>36.066498740554152</v>
      </c>
      <c r="S38" s="11" t="s">
        <v>67</v>
      </c>
      <c r="T38" s="36"/>
      <c r="U38" s="60">
        <f>5600+7000+1250</f>
        <v>13850</v>
      </c>
      <c r="V38" s="10" t="s">
        <v>244</v>
      </c>
      <c r="W38" s="54">
        <f t="shared" si="1"/>
        <v>9.6728684769247959</v>
      </c>
      <c r="X38" s="11">
        <v>3</v>
      </c>
      <c r="Y38" s="60">
        <f t="shared" si="2"/>
        <v>348.86649874055411</v>
      </c>
      <c r="Z38" s="54" t="s">
        <v>72</v>
      </c>
      <c r="AA38" s="36" t="s">
        <v>630</v>
      </c>
    </row>
    <row r="39" spans="1:27" ht="40.049999999999997" customHeight="1" x14ac:dyDescent="0.3">
      <c r="A39" s="10">
        <v>2</v>
      </c>
      <c r="B39" s="11" t="s">
        <v>672</v>
      </c>
      <c r="C39" s="13"/>
      <c r="D39" s="13"/>
      <c r="E39" s="11" t="s">
        <v>541</v>
      </c>
      <c r="F39" s="10"/>
      <c r="G39" s="11" t="s">
        <v>58</v>
      </c>
      <c r="H39" s="10"/>
      <c r="I39" s="4" t="s">
        <v>435</v>
      </c>
      <c r="J39" s="11" t="s">
        <v>343</v>
      </c>
      <c r="K39" s="11" t="s">
        <v>100</v>
      </c>
      <c r="L39" s="11" t="s">
        <v>83</v>
      </c>
      <c r="M39" s="11">
        <v>4</v>
      </c>
      <c r="N39" s="11" t="s">
        <v>135</v>
      </c>
      <c r="O39" s="11">
        <v>39.1</v>
      </c>
      <c r="P39" s="11">
        <f t="shared" si="7"/>
        <v>1536</v>
      </c>
      <c r="Q39" s="63">
        <f t="shared" ref="Q39:Q42" si="8">((32-2*0.25)*(12-2*0.25))*M39</f>
        <v>1449</v>
      </c>
      <c r="R39" s="54">
        <f t="shared" si="0"/>
        <v>37.058823529411761</v>
      </c>
      <c r="S39" s="11" t="s">
        <v>65</v>
      </c>
      <c r="T39" s="36"/>
      <c r="U39" s="60">
        <f>437760+259200+145920+91200+108000</f>
        <v>1042080</v>
      </c>
      <c r="V39" s="10" t="s">
        <v>244</v>
      </c>
      <c r="W39" s="54">
        <f t="shared" si="1"/>
        <v>719.17184265010349</v>
      </c>
      <c r="X39" s="11">
        <v>3</v>
      </c>
      <c r="Y39" s="60">
        <f t="shared" si="2"/>
        <v>26651.662404092072</v>
      </c>
      <c r="Z39" s="54" t="s">
        <v>66</v>
      </c>
      <c r="AA39" s="36" t="s">
        <v>630</v>
      </c>
    </row>
    <row r="40" spans="1:27" ht="40.049999999999997" customHeight="1" x14ac:dyDescent="0.3">
      <c r="A40" s="10">
        <v>2</v>
      </c>
      <c r="B40" s="11" t="s">
        <v>672</v>
      </c>
      <c r="C40" s="13"/>
      <c r="D40" s="13"/>
      <c r="E40" s="11" t="s">
        <v>541</v>
      </c>
      <c r="F40" s="10"/>
      <c r="G40" s="11" t="s">
        <v>58</v>
      </c>
      <c r="H40" s="10"/>
      <c r="I40" s="4" t="s">
        <v>435</v>
      </c>
      <c r="J40" s="11" t="s">
        <v>343</v>
      </c>
      <c r="K40" s="11" t="s">
        <v>100</v>
      </c>
      <c r="L40" s="11" t="s">
        <v>83</v>
      </c>
      <c r="M40" s="11">
        <v>4</v>
      </c>
      <c r="N40" s="11" t="s">
        <v>135</v>
      </c>
      <c r="O40" s="11">
        <v>39.1</v>
      </c>
      <c r="P40" s="11">
        <f t="shared" si="7"/>
        <v>1536</v>
      </c>
      <c r="Q40" s="63">
        <f t="shared" si="8"/>
        <v>1449</v>
      </c>
      <c r="R40" s="54">
        <f t="shared" si="0"/>
        <v>37.058823529411761</v>
      </c>
      <c r="S40" s="11" t="s">
        <v>67</v>
      </c>
      <c r="T40" s="36"/>
      <c r="U40" s="60">
        <f>5600+7000+1250</f>
        <v>13850</v>
      </c>
      <c r="V40" s="10" t="s">
        <v>244</v>
      </c>
      <c r="W40" s="54">
        <f t="shared" si="1"/>
        <v>9.5583160800552101</v>
      </c>
      <c r="X40" s="11">
        <v>3</v>
      </c>
      <c r="Y40" s="60">
        <f t="shared" si="2"/>
        <v>354.21994884910487</v>
      </c>
      <c r="Z40" s="54" t="s">
        <v>66</v>
      </c>
      <c r="AA40" s="36" t="s">
        <v>630</v>
      </c>
    </row>
    <row r="41" spans="1:27" ht="40.049999999999997" customHeight="1" x14ac:dyDescent="0.3">
      <c r="A41" s="10">
        <v>2</v>
      </c>
      <c r="B41" s="11" t="s">
        <v>672</v>
      </c>
      <c r="C41" s="13"/>
      <c r="D41" s="13"/>
      <c r="E41" s="11" t="s">
        <v>541</v>
      </c>
      <c r="F41" s="10"/>
      <c r="G41" s="11" t="s">
        <v>58</v>
      </c>
      <c r="H41" s="10"/>
      <c r="I41" s="4" t="s">
        <v>435</v>
      </c>
      <c r="J41" s="11" t="s">
        <v>344</v>
      </c>
      <c r="K41" s="11" t="s">
        <v>134</v>
      </c>
      <c r="L41" s="11" t="s">
        <v>68</v>
      </c>
      <c r="M41" s="11">
        <v>4</v>
      </c>
      <c r="N41" s="11" t="s">
        <v>127</v>
      </c>
      <c r="O41" s="11">
        <v>39.9</v>
      </c>
      <c r="P41" s="11">
        <f t="shared" si="7"/>
        <v>1536</v>
      </c>
      <c r="Q41" s="63">
        <f t="shared" si="8"/>
        <v>1449</v>
      </c>
      <c r="R41" s="54">
        <f t="shared" si="0"/>
        <v>36.315789473684212</v>
      </c>
      <c r="S41" s="11" t="s">
        <v>65</v>
      </c>
      <c r="T41" s="36"/>
      <c r="U41" s="60">
        <f>437760+259200+145920+91200+108000</f>
        <v>1042080</v>
      </c>
      <c r="V41" s="10" t="s">
        <v>244</v>
      </c>
      <c r="W41" s="54">
        <f t="shared" si="1"/>
        <v>719.17184265010349</v>
      </c>
      <c r="X41" s="11">
        <v>3</v>
      </c>
      <c r="Y41" s="60">
        <f t="shared" si="2"/>
        <v>26117.293233082706</v>
      </c>
      <c r="Z41" s="54" t="s">
        <v>66</v>
      </c>
      <c r="AA41" s="36" t="s">
        <v>630</v>
      </c>
    </row>
    <row r="42" spans="1:27" ht="40.049999999999997" customHeight="1" x14ac:dyDescent="0.3">
      <c r="A42" s="10">
        <v>2</v>
      </c>
      <c r="B42" s="11" t="s">
        <v>672</v>
      </c>
      <c r="C42" s="13"/>
      <c r="D42" s="13"/>
      <c r="E42" s="11" t="s">
        <v>541</v>
      </c>
      <c r="F42" s="10"/>
      <c r="G42" s="11" t="s">
        <v>58</v>
      </c>
      <c r="H42" s="10"/>
      <c r="I42" s="4" t="s">
        <v>435</v>
      </c>
      <c r="J42" s="11" t="s">
        <v>344</v>
      </c>
      <c r="K42" s="11" t="s">
        <v>134</v>
      </c>
      <c r="L42" s="11" t="s">
        <v>68</v>
      </c>
      <c r="M42" s="11">
        <v>4</v>
      </c>
      <c r="N42" s="11" t="s">
        <v>127</v>
      </c>
      <c r="O42" s="11">
        <v>39.9</v>
      </c>
      <c r="P42" s="11">
        <f t="shared" si="7"/>
        <v>1536</v>
      </c>
      <c r="Q42" s="63">
        <f t="shared" si="8"/>
        <v>1449</v>
      </c>
      <c r="R42" s="54">
        <f t="shared" si="0"/>
        <v>36.315789473684212</v>
      </c>
      <c r="S42" s="11" t="s">
        <v>67</v>
      </c>
      <c r="T42" s="36"/>
      <c r="U42" s="60">
        <f>5600+7000+1250</f>
        <v>13850</v>
      </c>
      <c r="V42" s="10" t="s">
        <v>244</v>
      </c>
      <c r="W42" s="54">
        <f t="shared" si="1"/>
        <v>9.5583160800552101</v>
      </c>
      <c r="X42" s="11">
        <v>3</v>
      </c>
      <c r="Y42" s="60">
        <f t="shared" si="2"/>
        <v>347.11779448621553</v>
      </c>
      <c r="Z42" s="54" t="s">
        <v>66</v>
      </c>
      <c r="AA42" s="36" t="s">
        <v>630</v>
      </c>
    </row>
    <row r="43" spans="1:27" ht="40.049999999999997" customHeight="1" x14ac:dyDescent="0.3">
      <c r="A43" s="10">
        <v>2</v>
      </c>
      <c r="B43" s="11" t="s">
        <v>672</v>
      </c>
      <c r="C43" s="13"/>
      <c r="D43" s="13"/>
      <c r="E43" s="11" t="s">
        <v>541</v>
      </c>
      <c r="F43" s="10"/>
      <c r="G43" s="11" t="s">
        <v>58</v>
      </c>
      <c r="H43" s="10"/>
      <c r="I43" s="4" t="s">
        <v>435</v>
      </c>
      <c r="J43" s="11" t="s">
        <v>345</v>
      </c>
      <c r="K43" s="11" t="s">
        <v>84</v>
      </c>
      <c r="L43" s="11" t="s">
        <v>83</v>
      </c>
      <c r="M43" s="11">
        <v>4</v>
      </c>
      <c r="N43" s="11" t="s">
        <v>133</v>
      </c>
      <c r="O43" s="11">
        <v>38.1</v>
      </c>
      <c r="P43" s="11">
        <f t="shared" si="7"/>
        <v>1536</v>
      </c>
      <c r="Q43" s="63">
        <f t="shared" ref="Q43:Q50" si="9">((32-2*0.2)*(12-2*0.2))*M43</f>
        <v>1466.24</v>
      </c>
      <c r="R43" s="54">
        <f t="shared" si="0"/>
        <v>38.483989501312337</v>
      </c>
      <c r="S43" s="11" t="s">
        <v>65</v>
      </c>
      <c r="T43" s="36"/>
      <c r="U43" s="60">
        <f>291840+259200+145920+91200+108000</f>
        <v>896160</v>
      </c>
      <c r="V43" s="10" t="s">
        <v>244</v>
      </c>
      <c r="W43" s="54">
        <f t="shared" si="1"/>
        <v>611.19598428633788</v>
      </c>
      <c r="X43" s="11">
        <v>3</v>
      </c>
      <c r="Y43" s="60">
        <f t="shared" si="2"/>
        <v>23521.259842519685</v>
      </c>
      <c r="Z43" s="54" t="s">
        <v>66</v>
      </c>
      <c r="AA43" s="36" t="s">
        <v>630</v>
      </c>
    </row>
    <row r="44" spans="1:27" ht="40.049999999999997" customHeight="1" x14ac:dyDescent="0.3">
      <c r="A44" s="10">
        <v>2</v>
      </c>
      <c r="B44" s="11" t="s">
        <v>672</v>
      </c>
      <c r="C44" s="13"/>
      <c r="D44" s="13"/>
      <c r="E44" s="11" t="s">
        <v>541</v>
      </c>
      <c r="F44" s="10"/>
      <c r="G44" s="11" t="s">
        <v>58</v>
      </c>
      <c r="H44" s="10"/>
      <c r="I44" s="4" t="s">
        <v>435</v>
      </c>
      <c r="J44" s="11" t="s">
        <v>345</v>
      </c>
      <c r="K44" s="11" t="s">
        <v>84</v>
      </c>
      <c r="L44" s="11" t="s">
        <v>83</v>
      </c>
      <c r="M44" s="11">
        <v>4</v>
      </c>
      <c r="N44" s="11" t="s">
        <v>133</v>
      </c>
      <c r="O44" s="11">
        <v>38.1</v>
      </c>
      <c r="P44" s="11">
        <f t="shared" si="7"/>
        <v>1536</v>
      </c>
      <c r="Q44" s="63">
        <f t="shared" si="9"/>
        <v>1466.24</v>
      </c>
      <c r="R44" s="54">
        <f t="shared" si="0"/>
        <v>38.483989501312337</v>
      </c>
      <c r="S44" s="11" t="s">
        <v>67</v>
      </c>
      <c r="T44" s="36"/>
      <c r="U44" s="60">
        <f>5600+7000+1250</f>
        <v>13850</v>
      </c>
      <c r="V44" s="10" t="s">
        <v>244</v>
      </c>
      <c r="W44" s="54">
        <f t="shared" si="1"/>
        <v>9.4459297250109113</v>
      </c>
      <c r="X44" s="11">
        <v>3</v>
      </c>
      <c r="Y44" s="60">
        <f t="shared" si="2"/>
        <v>363.51706036745406</v>
      </c>
      <c r="Z44" s="54" t="s">
        <v>66</v>
      </c>
      <c r="AA44" s="36" t="s">
        <v>630</v>
      </c>
    </row>
    <row r="45" spans="1:27" ht="40.049999999999997" customHeight="1" x14ac:dyDescent="0.3">
      <c r="A45" s="10">
        <v>2</v>
      </c>
      <c r="B45" s="11" t="s">
        <v>672</v>
      </c>
      <c r="C45" s="13"/>
      <c r="D45" s="13"/>
      <c r="E45" s="11" t="s">
        <v>541</v>
      </c>
      <c r="F45" s="10"/>
      <c r="G45" s="11" t="s">
        <v>58</v>
      </c>
      <c r="H45" s="10"/>
      <c r="I45" s="4" t="s">
        <v>435</v>
      </c>
      <c r="J45" s="11" t="s">
        <v>346</v>
      </c>
      <c r="K45" s="11" t="s">
        <v>132</v>
      </c>
      <c r="L45" s="11" t="s">
        <v>68</v>
      </c>
      <c r="M45" s="11">
        <v>4</v>
      </c>
      <c r="N45" s="11" t="s">
        <v>127</v>
      </c>
      <c r="O45" s="11">
        <v>39.9</v>
      </c>
      <c r="P45" s="11">
        <f t="shared" si="7"/>
        <v>1536</v>
      </c>
      <c r="Q45" s="63">
        <f t="shared" si="9"/>
        <v>1466.24</v>
      </c>
      <c r="R45" s="54">
        <f t="shared" si="0"/>
        <v>36.747869674185466</v>
      </c>
      <c r="S45" s="11" t="s">
        <v>65</v>
      </c>
      <c r="T45" s="36"/>
      <c r="U45" s="60">
        <f>291840+259200+145920+91200+108000</f>
        <v>896160</v>
      </c>
      <c r="V45" s="10" t="s">
        <v>244</v>
      </c>
      <c r="W45" s="54">
        <f t="shared" si="1"/>
        <v>611.19598428633788</v>
      </c>
      <c r="X45" s="11">
        <v>3</v>
      </c>
      <c r="Y45" s="60">
        <f t="shared" si="2"/>
        <v>22460.150375939851</v>
      </c>
      <c r="Z45" s="54" t="s">
        <v>66</v>
      </c>
      <c r="AA45" s="36" t="s">
        <v>630</v>
      </c>
    </row>
    <row r="46" spans="1:27" ht="40.049999999999997" customHeight="1" x14ac:dyDescent="0.3">
      <c r="A46" s="10">
        <v>2</v>
      </c>
      <c r="B46" s="11" t="s">
        <v>672</v>
      </c>
      <c r="C46" s="13"/>
      <c r="D46" s="13"/>
      <c r="E46" s="11" t="s">
        <v>541</v>
      </c>
      <c r="F46" s="10"/>
      <c r="G46" s="11" t="s">
        <v>58</v>
      </c>
      <c r="H46" s="10"/>
      <c r="I46" s="4" t="s">
        <v>435</v>
      </c>
      <c r="J46" s="11" t="s">
        <v>346</v>
      </c>
      <c r="K46" s="11" t="s">
        <v>132</v>
      </c>
      <c r="L46" s="11" t="s">
        <v>68</v>
      </c>
      <c r="M46" s="11">
        <v>4</v>
      </c>
      <c r="N46" s="11" t="s">
        <v>127</v>
      </c>
      <c r="O46" s="11">
        <v>39.9</v>
      </c>
      <c r="P46" s="11">
        <f t="shared" si="7"/>
        <v>1536</v>
      </c>
      <c r="Q46" s="63">
        <f t="shared" si="9"/>
        <v>1466.24</v>
      </c>
      <c r="R46" s="54">
        <f t="shared" si="0"/>
        <v>36.747869674185466</v>
      </c>
      <c r="S46" s="11" t="s">
        <v>67</v>
      </c>
      <c r="T46" s="36"/>
      <c r="U46" s="60">
        <f>5600+7000+1250</f>
        <v>13850</v>
      </c>
      <c r="V46" s="10" t="s">
        <v>244</v>
      </c>
      <c r="W46" s="54">
        <f t="shared" si="1"/>
        <v>9.4459297250109113</v>
      </c>
      <c r="X46" s="11">
        <v>3</v>
      </c>
      <c r="Y46" s="60">
        <f t="shared" si="2"/>
        <v>347.11779448621553</v>
      </c>
      <c r="Z46" s="54" t="s">
        <v>66</v>
      </c>
      <c r="AA46" s="36" t="s">
        <v>630</v>
      </c>
    </row>
    <row r="47" spans="1:27" ht="40.049999999999997" customHeight="1" x14ac:dyDescent="0.3">
      <c r="A47" s="10">
        <v>2</v>
      </c>
      <c r="B47" s="11" t="s">
        <v>672</v>
      </c>
      <c r="C47" s="13"/>
      <c r="D47" s="13"/>
      <c r="E47" s="11" t="s">
        <v>541</v>
      </c>
      <c r="F47" s="10"/>
      <c r="G47" s="11" t="s">
        <v>58</v>
      </c>
      <c r="H47" s="10"/>
      <c r="I47" s="4" t="s">
        <v>435</v>
      </c>
      <c r="J47" s="11" t="s">
        <v>347</v>
      </c>
      <c r="K47" s="11" t="s">
        <v>131</v>
      </c>
      <c r="L47" s="11" t="s">
        <v>130</v>
      </c>
      <c r="M47" s="11">
        <v>4</v>
      </c>
      <c r="N47" s="11" t="s">
        <v>129</v>
      </c>
      <c r="O47" s="11">
        <v>40</v>
      </c>
      <c r="P47" s="11">
        <f t="shared" si="7"/>
        <v>1536</v>
      </c>
      <c r="Q47" s="63">
        <f t="shared" si="9"/>
        <v>1466.24</v>
      </c>
      <c r="R47" s="54">
        <f t="shared" ref="R47:R91" si="10">Q47/O47</f>
        <v>36.655999999999999</v>
      </c>
      <c r="S47" s="11" t="s">
        <v>65</v>
      </c>
      <c r="T47" s="36"/>
      <c r="U47" s="60">
        <f>437760+259200+145920+91200+108000</f>
        <v>1042080</v>
      </c>
      <c r="V47" s="10" t="s">
        <v>244</v>
      </c>
      <c r="W47" s="54">
        <f t="shared" ref="W47:W91" si="11">U47/Q47</f>
        <v>710.71584460934093</v>
      </c>
      <c r="X47" s="11">
        <v>3</v>
      </c>
      <c r="Y47" s="60">
        <f t="shared" ref="Y47:Y91" si="12">U47/O47</f>
        <v>26052</v>
      </c>
      <c r="Z47" s="54" t="s">
        <v>89</v>
      </c>
      <c r="AA47" s="36" t="s">
        <v>630</v>
      </c>
    </row>
    <row r="48" spans="1:27" ht="40.049999999999997" customHeight="1" x14ac:dyDescent="0.3">
      <c r="A48" s="10">
        <v>2</v>
      </c>
      <c r="B48" s="11" t="s">
        <v>672</v>
      </c>
      <c r="C48" s="13"/>
      <c r="D48" s="13"/>
      <c r="E48" s="11" t="s">
        <v>541</v>
      </c>
      <c r="F48" s="10"/>
      <c r="G48" s="11" t="s">
        <v>58</v>
      </c>
      <c r="H48" s="10"/>
      <c r="I48" s="4" t="s">
        <v>435</v>
      </c>
      <c r="J48" s="11" t="s">
        <v>347</v>
      </c>
      <c r="K48" s="11" t="s">
        <v>131</v>
      </c>
      <c r="L48" s="11" t="s">
        <v>130</v>
      </c>
      <c r="M48" s="11">
        <v>4</v>
      </c>
      <c r="N48" s="11" t="s">
        <v>129</v>
      </c>
      <c r="O48" s="11">
        <v>40</v>
      </c>
      <c r="P48" s="11">
        <f t="shared" si="7"/>
        <v>1536</v>
      </c>
      <c r="Q48" s="63">
        <f t="shared" si="9"/>
        <v>1466.24</v>
      </c>
      <c r="R48" s="54">
        <f t="shared" si="10"/>
        <v>36.655999999999999</v>
      </c>
      <c r="S48" s="11" t="s">
        <v>67</v>
      </c>
      <c r="T48" s="36"/>
      <c r="U48" s="60">
        <v>5244</v>
      </c>
      <c r="V48" s="10" t="s">
        <v>244</v>
      </c>
      <c r="W48" s="54">
        <f t="shared" si="11"/>
        <v>3.5764949803579222</v>
      </c>
      <c r="X48" s="11">
        <v>3</v>
      </c>
      <c r="Y48" s="60">
        <f t="shared" si="12"/>
        <v>131.1</v>
      </c>
      <c r="Z48" s="54" t="s">
        <v>89</v>
      </c>
      <c r="AA48" s="36" t="s">
        <v>630</v>
      </c>
    </row>
    <row r="49" spans="1:27" ht="40.049999999999997" customHeight="1" x14ac:dyDescent="0.3">
      <c r="A49" s="10">
        <v>2</v>
      </c>
      <c r="B49" s="11" t="s">
        <v>672</v>
      </c>
      <c r="C49" s="13"/>
      <c r="D49" s="13"/>
      <c r="E49" s="11" t="s">
        <v>541</v>
      </c>
      <c r="F49" s="10"/>
      <c r="G49" s="11" t="s">
        <v>58</v>
      </c>
      <c r="H49" s="10"/>
      <c r="I49" s="4" t="s">
        <v>435</v>
      </c>
      <c r="J49" s="11" t="s">
        <v>348</v>
      </c>
      <c r="K49" s="11" t="s">
        <v>128</v>
      </c>
      <c r="L49" s="11" t="s">
        <v>68</v>
      </c>
      <c r="M49" s="11">
        <v>4</v>
      </c>
      <c r="N49" s="11" t="s">
        <v>127</v>
      </c>
      <c r="O49" s="11">
        <v>39.9</v>
      </c>
      <c r="P49" s="11">
        <f t="shared" si="7"/>
        <v>1536</v>
      </c>
      <c r="Q49" s="63">
        <f t="shared" si="9"/>
        <v>1466.24</v>
      </c>
      <c r="R49" s="54">
        <f t="shared" si="10"/>
        <v>36.747869674185466</v>
      </c>
      <c r="S49" s="11" t="s">
        <v>65</v>
      </c>
      <c r="T49" s="36"/>
      <c r="U49" s="60">
        <f>384000+528000+201600+15200+437760+259200+145920+91200+108000</f>
        <v>2170880</v>
      </c>
      <c r="V49" s="10" t="s">
        <v>244</v>
      </c>
      <c r="W49" s="54">
        <f t="shared" si="11"/>
        <v>1480.5761676123964</v>
      </c>
      <c r="X49" s="11">
        <v>3</v>
      </c>
      <c r="Y49" s="60">
        <f t="shared" si="12"/>
        <v>54408.020050125313</v>
      </c>
      <c r="Z49" s="54" t="s">
        <v>66</v>
      </c>
      <c r="AA49" s="36" t="s">
        <v>630</v>
      </c>
    </row>
    <row r="50" spans="1:27" ht="40.049999999999997" customHeight="1" x14ac:dyDescent="0.3">
      <c r="A50" s="10">
        <v>2</v>
      </c>
      <c r="B50" s="11" t="s">
        <v>672</v>
      </c>
      <c r="C50" s="13"/>
      <c r="D50" s="13"/>
      <c r="E50" s="11" t="s">
        <v>541</v>
      </c>
      <c r="F50" s="10"/>
      <c r="G50" s="11" t="s">
        <v>58</v>
      </c>
      <c r="H50" s="10"/>
      <c r="I50" s="4" t="s">
        <v>435</v>
      </c>
      <c r="J50" s="11" t="s">
        <v>348</v>
      </c>
      <c r="K50" s="11" t="s">
        <v>128</v>
      </c>
      <c r="L50" s="11" t="s">
        <v>68</v>
      </c>
      <c r="M50" s="11">
        <v>4</v>
      </c>
      <c r="N50" s="11" t="s">
        <v>127</v>
      </c>
      <c r="O50" s="11">
        <v>39.9</v>
      </c>
      <c r="P50" s="11">
        <f t="shared" si="7"/>
        <v>1536</v>
      </c>
      <c r="Q50" s="63">
        <f t="shared" si="9"/>
        <v>1466.24</v>
      </c>
      <c r="R50" s="54">
        <f t="shared" si="10"/>
        <v>36.747869674185466</v>
      </c>
      <c r="S50" s="11" t="s">
        <v>67</v>
      </c>
      <c r="T50" s="36"/>
      <c r="U50" s="60">
        <v>5244</v>
      </c>
      <c r="V50" s="10" t="s">
        <v>244</v>
      </c>
      <c r="W50" s="54">
        <f t="shared" si="11"/>
        <v>3.5764949803579222</v>
      </c>
      <c r="X50" s="11">
        <v>3</v>
      </c>
      <c r="Y50" s="60">
        <f t="shared" si="12"/>
        <v>131.42857142857144</v>
      </c>
      <c r="Z50" s="54" t="s">
        <v>66</v>
      </c>
      <c r="AA50" s="36" t="s">
        <v>630</v>
      </c>
    </row>
    <row r="51" spans="1:27" ht="40.049999999999997" customHeight="1" x14ac:dyDescent="0.3">
      <c r="A51" s="10">
        <v>2</v>
      </c>
      <c r="B51" s="11" t="s">
        <v>672</v>
      </c>
      <c r="C51" s="13"/>
      <c r="D51" s="13"/>
      <c r="E51" s="11" t="s">
        <v>541</v>
      </c>
      <c r="F51" s="10"/>
      <c r="G51" s="11" t="s">
        <v>58</v>
      </c>
      <c r="H51" s="10"/>
      <c r="I51" s="4" t="s">
        <v>70</v>
      </c>
      <c r="J51" s="11" t="s">
        <v>349</v>
      </c>
      <c r="K51" s="11" t="s">
        <v>126</v>
      </c>
      <c r="L51" s="11" t="s">
        <v>125</v>
      </c>
      <c r="M51" s="11">
        <v>7</v>
      </c>
      <c r="N51" s="11" t="s">
        <v>124</v>
      </c>
      <c r="O51" s="11">
        <v>70.3</v>
      </c>
      <c r="P51" s="11">
        <f t="shared" si="7"/>
        <v>2688</v>
      </c>
      <c r="Q51" s="63">
        <f>((32-2*0.25)*(12-2*0.25))*M51</f>
        <v>2535.75</v>
      </c>
      <c r="R51" s="54">
        <f t="shared" si="10"/>
        <v>36.070412517780937</v>
      </c>
      <c r="S51" s="11" t="s">
        <v>65</v>
      </c>
      <c r="T51" s="36"/>
      <c r="U51" s="60">
        <f>696000+926400+313920+145920+875520+259200+145920+91200+172800</f>
        <v>3626880</v>
      </c>
      <c r="V51" s="10" t="s">
        <v>244</v>
      </c>
      <c r="W51" s="54">
        <f t="shared" si="11"/>
        <v>1430.2987281869268</v>
      </c>
      <c r="X51" s="11">
        <v>4</v>
      </c>
      <c r="Y51" s="60">
        <f t="shared" si="12"/>
        <v>51591.465149359887</v>
      </c>
      <c r="Z51" s="54" t="s">
        <v>72</v>
      </c>
      <c r="AA51" s="36" t="s">
        <v>630</v>
      </c>
    </row>
    <row r="52" spans="1:27" ht="40.049999999999997" customHeight="1" x14ac:dyDescent="0.3">
      <c r="A52" s="10">
        <v>2</v>
      </c>
      <c r="B52" s="11" t="s">
        <v>672</v>
      </c>
      <c r="C52" s="13"/>
      <c r="D52" s="13"/>
      <c r="E52" s="11" t="s">
        <v>541</v>
      </c>
      <c r="F52" s="10"/>
      <c r="G52" s="11" t="s">
        <v>58</v>
      </c>
      <c r="H52" s="10"/>
      <c r="I52" s="4" t="s">
        <v>70</v>
      </c>
      <c r="J52" s="11" t="s">
        <v>350</v>
      </c>
      <c r="K52" s="11" t="s">
        <v>76</v>
      </c>
      <c r="L52" s="11" t="s">
        <v>78</v>
      </c>
      <c r="M52" s="11">
        <v>10</v>
      </c>
      <c r="N52" s="11" t="s">
        <v>123</v>
      </c>
      <c r="O52" s="11">
        <v>124</v>
      </c>
      <c r="P52" s="11">
        <f t="shared" ref="P52:P56" si="13">(30*15)*M52</f>
        <v>4500</v>
      </c>
      <c r="Q52" s="63">
        <f t="shared" ref="Q52:Q56" si="14">((30-2*0.25)*(15-2*0.25))*M52</f>
        <v>4277.5</v>
      </c>
      <c r="R52" s="54">
        <f t="shared" si="10"/>
        <v>34.49596774193548</v>
      </c>
      <c r="S52" s="11" t="s">
        <v>65</v>
      </c>
      <c r="T52" s="36"/>
      <c r="U52" s="60">
        <f>1200000+864000+388800+172800+1036800+288000+172800+108000+230400</f>
        <v>4461600</v>
      </c>
      <c r="V52" s="10" t="s">
        <v>244</v>
      </c>
      <c r="W52" s="54">
        <f t="shared" si="11"/>
        <v>1043.0391583869082</v>
      </c>
      <c r="X52" s="11">
        <v>4</v>
      </c>
      <c r="Y52" s="60">
        <f t="shared" si="12"/>
        <v>35980.645161290326</v>
      </c>
      <c r="Z52" s="54" t="s">
        <v>72</v>
      </c>
      <c r="AA52" s="36" t="s">
        <v>630</v>
      </c>
    </row>
    <row r="53" spans="1:27" ht="40.049999999999997" customHeight="1" x14ac:dyDescent="0.3">
      <c r="A53" s="10">
        <v>2</v>
      </c>
      <c r="B53" s="11" t="s">
        <v>672</v>
      </c>
      <c r="C53" s="13"/>
      <c r="D53" s="13"/>
      <c r="E53" s="11" t="s">
        <v>541</v>
      </c>
      <c r="F53" s="10"/>
      <c r="G53" s="11" t="s">
        <v>58</v>
      </c>
      <c r="H53" s="10"/>
      <c r="I53" s="4" t="s">
        <v>70</v>
      </c>
      <c r="J53" s="11" t="s">
        <v>351</v>
      </c>
      <c r="K53" s="11" t="s">
        <v>74</v>
      </c>
      <c r="L53" s="11" t="s">
        <v>87</v>
      </c>
      <c r="M53" s="11">
        <v>10</v>
      </c>
      <c r="N53" s="11" t="s">
        <v>122</v>
      </c>
      <c r="O53" s="11">
        <v>124</v>
      </c>
      <c r="P53" s="11">
        <f t="shared" si="13"/>
        <v>4500</v>
      </c>
      <c r="Q53" s="63">
        <f t="shared" si="14"/>
        <v>4277.5</v>
      </c>
      <c r="R53" s="54">
        <f t="shared" si="10"/>
        <v>34.49596774193548</v>
      </c>
      <c r="S53" s="11" t="s">
        <v>65</v>
      </c>
      <c r="T53" s="36"/>
      <c r="U53" s="60">
        <f>172800+1555200+259200+145920+91200+230400</f>
        <v>2454720</v>
      </c>
      <c r="V53" s="10" t="s">
        <v>244</v>
      </c>
      <c r="W53" s="54">
        <f t="shared" si="11"/>
        <v>573.86791350087663</v>
      </c>
      <c r="X53" s="11">
        <v>4</v>
      </c>
      <c r="Y53" s="60">
        <f t="shared" si="12"/>
        <v>19796.129032258064</v>
      </c>
      <c r="Z53" s="54" t="s">
        <v>72</v>
      </c>
      <c r="AA53" s="36" t="s">
        <v>630</v>
      </c>
    </row>
    <row r="54" spans="1:27" ht="40.049999999999997" customHeight="1" x14ac:dyDescent="0.3">
      <c r="A54" s="10">
        <v>2</v>
      </c>
      <c r="B54" s="11" t="s">
        <v>672</v>
      </c>
      <c r="C54" s="13"/>
      <c r="D54" s="13"/>
      <c r="E54" s="11" t="s">
        <v>541</v>
      </c>
      <c r="F54" s="10"/>
      <c r="G54" s="11" t="s">
        <v>58</v>
      </c>
      <c r="H54" s="10"/>
      <c r="I54" s="4" t="s">
        <v>70</v>
      </c>
      <c r="J54" s="11" t="s">
        <v>351</v>
      </c>
      <c r="K54" s="11" t="s">
        <v>74</v>
      </c>
      <c r="L54" s="11" t="s">
        <v>87</v>
      </c>
      <c r="M54" s="11">
        <v>10</v>
      </c>
      <c r="N54" s="11" t="s">
        <v>122</v>
      </c>
      <c r="O54" s="11">
        <v>124</v>
      </c>
      <c r="P54" s="11">
        <f t="shared" si="13"/>
        <v>4500</v>
      </c>
      <c r="Q54" s="63">
        <f t="shared" si="14"/>
        <v>4277.5</v>
      </c>
      <c r="R54" s="54">
        <f t="shared" si="10"/>
        <v>34.49596774193548</v>
      </c>
      <c r="S54" s="11" t="s">
        <v>67</v>
      </c>
      <c r="T54" s="36"/>
      <c r="U54" s="60">
        <v>10800</v>
      </c>
      <c r="V54" s="10" t="s">
        <v>244</v>
      </c>
      <c r="W54" s="54">
        <f t="shared" si="11"/>
        <v>2.5248392752776154</v>
      </c>
      <c r="X54" s="11">
        <v>4</v>
      </c>
      <c r="Y54" s="60">
        <f t="shared" si="12"/>
        <v>87.096774193548384</v>
      </c>
      <c r="Z54" s="54" t="s">
        <v>72</v>
      </c>
      <c r="AA54" s="36" t="s">
        <v>630</v>
      </c>
    </row>
    <row r="55" spans="1:27" ht="40.049999999999997" customHeight="1" x14ac:dyDescent="0.3">
      <c r="A55" s="10">
        <v>2</v>
      </c>
      <c r="B55" s="11" t="s">
        <v>672</v>
      </c>
      <c r="C55" s="13"/>
      <c r="D55" s="13"/>
      <c r="E55" s="11" t="s">
        <v>541</v>
      </c>
      <c r="F55" s="10"/>
      <c r="G55" s="11" t="s">
        <v>58</v>
      </c>
      <c r="H55" s="10"/>
      <c r="I55" s="4" t="s">
        <v>70</v>
      </c>
      <c r="J55" s="11" t="s">
        <v>352</v>
      </c>
      <c r="K55" s="11" t="s">
        <v>121</v>
      </c>
      <c r="L55" s="11" t="s">
        <v>68</v>
      </c>
      <c r="M55" s="11">
        <v>10</v>
      </c>
      <c r="N55" s="11" t="s">
        <v>120</v>
      </c>
      <c r="O55" s="11">
        <v>123.2</v>
      </c>
      <c r="P55" s="11">
        <f t="shared" si="13"/>
        <v>4500</v>
      </c>
      <c r="Q55" s="63">
        <f t="shared" si="14"/>
        <v>4277.5</v>
      </c>
      <c r="R55" s="54">
        <f t="shared" si="10"/>
        <v>34.719967532467528</v>
      </c>
      <c r="S55" s="11" t="s">
        <v>65</v>
      </c>
      <c r="T55" s="36"/>
      <c r="U55" s="60">
        <f>172800+1555200+259200+145920+91200+230400</f>
        <v>2454720</v>
      </c>
      <c r="V55" s="10" t="s">
        <v>244</v>
      </c>
      <c r="W55" s="54">
        <f t="shared" si="11"/>
        <v>573.86791350087663</v>
      </c>
      <c r="X55" s="11">
        <v>4</v>
      </c>
      <c r="Y55" s="60">
        <f t="shared" si="12"/>
        <v>19924.675324675325</v>
      </c>
      <c r="Z55" s="54" t="s">
        <v>66</v>
      </c>
      <c r="AA55" s="36" t="s">
        <v>630</v>
      </c>
    </row>
    <row r="56" spans="1:27" ht="40.049999999999997" customHeight="1" x14ac:dyDescent="0.3">
      <c r="A56" s="10">
        <v>2</v>
      </c>
      <c r="B56" s="11" t="s">
        <v>672</v>
      </c>
      <c r="C56" s="13"/>
      <c r="D56" s="13"/>
      <c r="E56" s="11" t="s">
        <v>541</v>
      </c>
      <c r="F56" s="10"/>
      <c r="G56" s="11" t="s">
        <v>58</v>
      </c>
      <c r="H56" s="10"/>
      <c r="I56" s="4" t="s">
        <v>70</v>
      </c>
      <c r="J56" s="11" t="s">
        <v>352</v>
      </c>
      <c r="K56" s="11" t="s">
        <v>121</v>
      </c>
      <c r="L56" s="11" t="s">
        <v>68</v>
      </c>
      <c r="M56" s="11">
        <v>10</v>
      </c>
      <c r="N56" s="11" t="s">
        <v>120</v>
      </c>
      <c r="O56" s="11">
        <v>123.2</v>
      </c>
      <c r="P56" s="11">
        <f t="shared" si="13"/>
        <v>4500</v>
      </c>
      <c r="Q56" s="63">
        <f t="shared" si="14"/>
        <v>4277.5</v>
      </c>
      <c r="R56" s="54">
        <f t="shared" si="10"/>
        <v>34.719967532467528</v>
      </c>
      <c r="S56" s="11" t="s">
        <v>67</v>
      </c>
      <c r="T56" s="36"/>
      <c r="U56" s="60">
        <v>10800</v>
      </c>
      <c r="V56" s="10" t="s">
        <v>244</v>
      </c>
      <c r="W56" s="54">
        <f t="shared" si="11"/>
        <v>2.5248392752776154</v>
      </c>
      <c r="X56" s="11">
        <v>4</v>
      </c>
      <c r="Y56" s="60">
        <f t="shared" si="12"/>
        <v>87.662337662337663</v>
      </c>
      <c r="Z56" s="54" t="s">
        <v>66</v>
      </c>
      <c r="AA56" s="36" t="s">
        <v>630</v>
      </c>
    </row>
    <row r="57" spans="1:27" ht="40.049999999999997" customHeight="1" x14ac:dyDescent="0.3">
      <c r="A57" s="10">
        <v>2</v>
      </c>
      <c r="B57" s="11" t="s">
        <v>672</v>
      </c>
      <c r="C57" s="13"/>
      <c r="D57" s="13"/>
      <c r="E57" s="11" t="s">
        <v>542</v>
      </c>
      <c r="F57" s="10"/>
      <c r="G57" s="11" t="s">
        <v>58</v>
      </c>
      <c r="H57" s="10"/>
      <c r="I57" s="10" t="s">
        <v>391</v>
      </c>
      <c r="J57" s="11" t="s">
        <v>353</v>
      </c>
      <c r="K57" s="11" t="s">
        <v>119</v>
      </c>
      <c r="L57" s="11" t="s">
        <v>116</v>
      </c>
      <c r="M57" s="11">
        <v>2</v>
      </c>
      <c r="N57" s="11" t="s">
        <v>113</v>
      </c>
      <c r="O57" s="11">
        <v>3.6</v>
      </c>
      <c r="P57" s="11">
        <f t="shared" ref="P57:P72" si="15">(10*9)*M57</f>
        <v>180</v>
      </c>
      <c r="Q57" s="63">
        <f>((10-2*0.5)*(9-2*0.5))*M57</f>
        <v>144</v>
      </c>
      <c r="R57" s="54">
        <f t="shared" si="10"/>
        <v>40</v>
      </c>
      <c r="S57" s="11" t="s">
        <v>67</v>
      </c>
      <c r="T57" s="36"/>
      <c r="U57" s="60">
        <f>400+1750+250+2700+2500+2484+1250+1242</f>
        <v>12576</v>
      </c>
      <c r="V57" s="10" t="s">
        <v>244</v>
      </c>
      <c r="W57" s="54">
        <f t="shared" si="11"/>
        <v>87.333333333333329</v>
      </c>
      <c r="X57" s="11">
        <v>1</v>
      </c>
      <c r="Y57" s="60">
        <f t="shared" si="12"/>
        <v>3493.333333333333</v>
      </c>
      <c r="Z57" s="54" t="s">
        <v>66</v>
      </c>
      <c r="AA57" s="36" t="s">
        <v>630</v>
      </c>
    </row>
    <row r="58" spans="1:27" ht="40.049999999999997" customHeight="1" x14ac:dyDescent="0.3">
      <c r="A58" s="10">
        <v>2</v>
      </c>
      <c r="B58" s="11" t="s">
        <v>672</v>
      </c>
      <c r="C58" s="13"/>
      <c r="D58" s="13"/>
      <c r="E58" s="11" t="s">
        <v>542</v>
      </c>
      <c r="F58" s="10"/>
      <c r="G58" s="11" t="s">
        <v>58</v>
      </c>
      <c r="H58" s="10"/>
      <c r="I58" s="10" t="s">
        <v>391</v>
      </c>
      <c r="J58" s="11" t="s">
        <v>354</v>
      </c>
      <c r="K58" s="11" t="s">
        <v>110</v>
      </c>
      <c r="L58" s="11" t="s">
        <v>93</v>
      </c>
      <c r="M58" s="11">
        <v>1</v>
      </c>
      <c r="N58" s="11" t="s">
        <v>118</v>
      </c>
      <c r="O58" s="11">
        <v>3.6</v>
      </c>
      <c r="P58" s="11">
        <f t="shared" si="15"/>
        <v>90</v>
      </c>
      <c r="Q58" s="63">
        <f>((10-2*0.4)*(9-2*0.4))*M58</f>
        <v>75.439999999999984</v>
      </c>
      <c r="R58" s="54">
        <f t="shared" si="10"/>
        <v>20.955555555555552</v>
      </c>
      <c r="S58" s="11" t="s">
        <v>65</v>
      </c>
      <c r="T58" s="36"/>
      <c r="U58" s="60">
        <f>28800+69120+38400+34560+21600+30000</f>
        <v>222480</v>
      </c>
      <c r="V58" s="10" t="s">
        <v>244</v>
      </c>
      <c r="W58" s="54">
        <f t="shared" si="11"/>
        <v>2949.0986214209975</v>
      </c>
      <c r="X58" s="11">
        <v>1</v>
      </c>
      <c r="Y58" s="60">
        <f t="shared" si="12"/>
        <v>61800</v>
      </c>
      <c r="Z58" s="54" t="s">
        <v>72</v>
      </c>
      <c r="AA58" s="36" t="s">
        <v>630</v>
      </c>
    </row>
    <row r="59" spans="1:27" ht="40.049999999999997" customHeight="1" x14ac:dyDescent="0.3">
      <c r="A59" s="10">
        <v>2</v>
      </c>
      <c r="B59" s="11" t="s">
        <v>672</v>
      </c>
      <c r="C59" s="13"/>
      <c r="D59" s="13"/>
      <c r="E59" s="11" t="s">
        <v>542</v>
      </c>
      <c r="F59" s="10"/>
      <c r="G59" s="11" t="s">
        <v>58</v>
      </c>
      <c r="H59" s="10"/>
      <c r="I59" s="10" t="s">
        <v>391</v>
      </c>
      <c r="J59" s="11" t="s">
        <v>354</v>
      </c>
      <c r="K59" s="11" t="s">
        <v>110</v>
      </c>
      <c r="L59" s="11" t="s">
        <v>93</v>
      </c>
      <c r="M59" s="11">
        <v>1</v>
      </c>
      <c r="N59" s="11" t="s">
        <v>118</v>
      </c>
      <c r="O59" s="11">
        <v>3.6</v>
      </c>
      <c r="P59" s="11">
        <f t="shared" si="15"/>
        <v>90</v>
      </c>
      <c r="Q59" s="63">
        <f>((10-2*0.4)*(9-2*0.4))*M59</f>
        <v>75.439999999999984</v>
      </c>
      <c r="R59" s="54">
        <f t="shared" si="10"/>
        <v>20.955555555555552</v>
      </c>
      <c r="S59" s="11" t="s">
        <v>67</v>
      </c>
      <c r="T59" s="36"/>
      <c r="U59" s="60">
        <f>400+1750+250</f>
        <v>2400</v>
      </c>
      <c r="V59" s="10" t="s">
        <v>244</v>
      </c>
      <c r="W59" s="54">
        <f t="shared" si="11"/>
        <v>31.813361611876996</v>
      </c>
      <c r="X59" s="11">
        <v>1</v>
      </c>
      <c r="Y59" s="60">
        <f t="shared" si="12"/>
        <v>666.66666666666663</v>
      </c>
      <c r="Z59" s="54" t="s">
        <v>72</v>
      </c>
      <c r="AA59" s="36" t="s">
        <v>630</v>
      </c>
    </row>
    <row r="60" spans="1:27" ht="40.049999999999997" customHeight="1" x14ac:dyDescent="0.3">
      <c r="A60" s="10">
        <v>2</v>
      </c>
      <c r="B60" s="11" t="s">
        <v>672</v>
      </c>
      <c r="C60" s="13"/>
      <c r="D60" s="13"/>
      <c r="E60" s="11" t="s">
        <v>542</v>
      </c>
      <c r="F60" s="10"/>
      <c r="G60" s="11" t="s">
        <v>58</v>
      </c>
      <c r="H60" s="10"/>
      <c r="I60" s="10" t="s">
        <v>391</v>
      </c>
      <c r="J60" s="11" t="s">
        <v>355</v>
      </c>
      <c r="K60" s="11" t="s">
        <v>117</v>
      </c>
      <c r="L60" s="11" t="s">
        <v>116</v>
      </c>
      <c r="M60" s="11">
        <v>1</v>
      </c>
      <c r="N60" s="11" t="s">
        <v>115</v>
      </c>
      <c r="O60" s="11">
        <v>3.6</v>
      </c>
      <c r="P60" s="11">
        <f t="shared" si="15"/>
        <v>90</v>
      </c>
      <c r="Q60" s="63">
        <f>((10-2*0.2)*(9-2*0.2))*M60</f>
        <v>82.559999999999988</v>
      </c>
      <c r="R60" s="54">
        <f t="shared" si="10"/>
        <v>22.93333333333333</v>
      </c>
      <c r="S60" s="11" t="s">
        <v>67</v>
      </c>
      <c r="T60" s="36"/>
      <c r="U60" s="60">
        <f>17600+4800+400+1750+250+2700+2500+2484+1250+1242</f>
        <v>34976</v>
      </c>
      <c r="V60" s="10" t="s">
        <v>244</v>
      </c>
      <c r="W60" s="54">
        <f t="shared" si="11"/>
        <v>423.64341085271326</v>
      </c>
      <c r="X60" s="11">
        <v>1</v>
      </c>
      <c r="Y60" s="60">
        <f t="shared" si="12"/>
        <v>9715.5555555555547</v>
      </c>
      <c r="Z60" s="54" t="s">
        <v>72</v>
      </c>
      <c r="AA60" s="36" t="s">
        <v>630</v>
      </c>
    </row>
    <row r="61" spans="1:27" ht="40.049999999999997" customHeight="1" x14ac:dyDescent="0.3">
      <c r="A61" s="10">
        <v>2</v>
      </c>
      <c r="B61" s="11" t="s">
        <v>672</v>
      </c>
      <c r="C61" s="13"/>
      <c r="D61" s="13"/>
      <c r="E61" s="11" t="s">
        <v>542</v>
      </c>
      <c r="F61" s="10"/>
      <c r="G61" s="11" t="s">
        <v>58</v>
      </c>
      <c r="H61" s="10"/>
      <c r="I61" s="10" t="s">
        <v>391</v>
      </c>
      <c r="J61" s="11" t="s">
        <v>356</v>
      </c>
      <c r="K61" s="11" t="s">
        <v>114</v>
      </c>
      <c r="L61" s="11" t="s">
        <v>96</v>
      </c>
      <c r="M61" s="11">
        <v>1</v>
      </c>
      <c r="N61" s="11" t="s">
        <v>113</v>
      </c>
      <c r="O61" s="11">
        <v>3.6</v>
      </c>
      <c r="P61" s="11">
        <f t="shared" si="15"/>
        <v>90</v>
      </c>
      <c r="Q61" s="63">
        <f>((10-2*0.16)*(9-2*0.16))*M61</f>
        <v>84.02239999999999</v>
      </c>
      <c r="R61" s="54">
        <f t="shared" si="10"/>
        <v>23.339555555555553</v>
      </c>
      <c r="S61" s="11" t="s">
        <v>65</v>
      </c>
      <c r="T61" s="36"/>
      <c r="U61" s="60">
        <f>69120+38400+34560+21600+30000</f>
        <v>193680</v>
      </c>
      <c r="V61" s="10" t="s">
        <v>244</v>
      </c>
      <c r="W61" s="54">
        <f t="shared" si="11"/>
        <v>2305.099592489622</v>
      </c>
      <c r="X61" s="11">
        <v>1</v>
      </c>
      <c r="Y61" s="60">
        <f t="shared" si="12"/>
        <v>53800</v>
      </c>
      <c r="Z61" s="54" t="s">
        <v>89</v>
      </c>
      <c r="AA61" s="36" t="s">
        <v>630</v>
      </c>
    </row>
    <row r="62" spans="1:27" ht="40.049999999999997" customHeight="1" x14ac:dyDescent="0.3">
      <c r="A62" s="10">
        <v>2</v>
      </c>
      <c r="B62" s="11" t="s">
        <v>672</v>
      </c>
      <c r="C62" s="13"/>
      <c r="D62" s="13"/>
      <c r="E62" s="11" t="s">
        <v>542</v>
      </c>
      <c r="F62" s="10"/>
      <c r="G62" s="11" t="s">
        <v>58</v>
      </c>
      <c r="H62" s="10"/>
      <c r="I62" s="10" t="s">
        <v>391</v>
      </c>
      <c r="J62" s="11" t="s">
        <v>356</v>
      </c>
      <c r="K62" s="11" t="s">
        <v>114</v>
      </c>
      <c r="L62" s="11" t="s">
        <v>96</v>
      </c>
      <c r="M62" s="11">
        <v>1</v>
      </c>
      <c r="N62" s="11" t="s">
        <v>113</v>
      </c>
      <c r="O62" s="11">
        <v>3.6</v>
      </c>
      <c r="P62" s="11">
        <f t="shared" si="15"/>
        <v>90</v>
      </c>
      <c r="Q62" s="63">
        <f>((10-2*0.16)*(9-2*0.16))*M62</f>
        <v>84.02239999999999</v>
      </c>
      <c r="R62" s="54">
        <f t="shared" si="10"/>
        <v>23.339555555555553</v>
      </c>
      <c r="S62" s="11" t="s">
        <v>67</v>
      </c>
      <c r="T62" s="36"/>
      <c r="U62" s="60">
        <f>4000+400+1750+250</f>
        <v>6400</v>
      </c>
      <c r="V62" s="10" t="s">
        <v>244</v>
      </c>
      <c r="W62" s="54">
        <f t="shared" si="11"/>
        <v>76.17016414670374</v>
      </c>
      <c r="X62" s="11">
        <v>1</v>
      </c>
      <c r="Y62" s="60">
        <f t="shared" si="12"/>
        <v>1777.7777777777778</v>
      </c>
      <c r="Z62" s="54" t="s">
        <v>89</v>
      </c>
      <c r="AA62" s="36" t="s">
        <v>630</v>
      </c>
    </row>
    <row r="63" spans="1:27" ht="40.049999999999997" customHeight="1" x14ac:dyDescent="0.3">
      <c r="A63" s="10">
        <v>2</v>
      </c>
      <c r="B63" s="11" t="s">
        <v>672</v>
      </c>
      <c r="C63" s="13"/>
      <c r="D63" s="13"/>
      <c r="E63" s="11" t="s">
        <v>542</v>
      </c>
      <c r="F63" s="10"/>
      <c r="G63" s="11" t="s">
        <v>58</v>
      </c>
      <c r="H63" s="10"/>
      <c r="I63" s="10" t="s">
        <v>391</v>
      </c>
      <c r="J63" s="11" t="s">
        <v>357</v>
      </c>
      <c r="K63" s="11" t="s">
        <v>112</v>
      </c>
      <c r="L63" s="11" t="s">
        <v>111</v>
      </c>
      <c r="M63" s="11">
        <v>1</v>
      </c>
      <c r="N63" s="11" t="s">
        <v>98</v>
      </c>
      <c r="O63" s="11">
        <v>3.6</v>
      </c>
      <c r="P63" s="11">
        <f t="shared" si="15"/>
        <v>90</v>
      </c>
      <c r="Q63" s="63">
        <f>((10-2*0.3)*(9-2*0.3))*M63</f>
        <v>78.960000000000008</v>
      </c>
      <c r="R63" s="54">
        <f t="shared" si="10"/>
        <v>21.933333333333334</v>
      </c>
      <c r="S63" s="11" t="s">
        <v>65</v>
      </c>
      <c r="T63" s="36"/>
      <c r="U63" s="60">
        <f>39600+10800+8640+17280+38400+34560+21600+30000</f>
        <v>200880</v>
      </c>
      <c r="V63" s="10" t="s">
        <v>244</v>
      </c>
      <c r="W63" s="54">
        <f t="shared" si="11"/>
        <v>2544.0729483282671</v>
      </c>
      <c r="X63" s="11">
        <v>1</v>
      </c>
      <c r="Y63" s="60">
        <f t="shared" si="12"/>
        <v>55800</v>
      </c>
      <c r="Z63" s="54" t="s">
        <v>89</v>
      </c>
      <c r="AA63" s="36" t="s">
        <v>630</v>
      </c>
    </row>
    <row r="64" spans="1:27" ht="40.049999999999997" customHeight="1" x14ac:dyDescent="0.3">
      <c r="A64" s="10">
        <v>2</v>
      </c>
      <c r="B64" s="11" t="s">
        <v>672</v>
      </c>
      <c r="C64" s="13"/>
      <c r="D64" s="13"/>
      <c r="E64" s="11" t="s">
        <v>542</v>
      </c>
      <c r="F64" s="10"/>
      <c r="G64" s="11" t="s">
        <v>58</v>
      </c>
      <c r="H64" s="10"/>
      <c r="I64" s="10" t="s">
        <v>391</v>
      </c>
      <c r="J64" s="11" t="s">
        <v>357</v>
      </c>
      <c r="K64" s="11" t="s">
        <v>112</v>
      </c>
      <c r="L64" s="11" t="s">
        <v>111</v>
      </c>
      <c r="M64" s="11">
        <v>1</v>
      </c>
      <c r="N64" s="11" t="s">
        <v>98</v>
      </c>
      <c r="O64" s="11">
        <v>3.6</v>
      </c>
      <c r="P64" s="11">
        <f t="shared" si="15"/>
        <v>90</v>
      </c>
      <c r="Q64" s="63">
        <f>((10-2*0.3)*(9-2*0.3))*M64</f>
        <v>78.960000000000008</v>
      </c>
      <c r="R64" s="54">
        <f t="shared" si="10"/>
        <v>21.933333333333334</v>
      </c>
      <c r="S64" s="11" t="s">
        <v>67</v>
      </c>
      <c r="T64" s="36"/>
      <c r="U64" s="60">
        <f>400+1750+250</f>
        <v>2400</v>
      </c>
      <c r="V64" s="10" t="s">
        <v>244</v>
      </c>
      <c r="W64" s="54">
        <f t="shared" si="11"/>
        <v>30.3951367781155</v>
      </c>
      <c r="X64" s="11">
        <v>1</v>
      </c>
      <c r="Y64" s="60">
        <f t="shared" si="12"/>
        <v>666.66666666666663</v>
      </c>
      <c r="Z64" s="54" t="s">
        <v>89</v>
      </c>
      <c r="AA64" s="36" t="s">
        <v>630</v>
      </c>
    </row>
    <row r="65" spans="1:27" ht="40.049999999999997" customHeight="1" x14ac:dyDescent="0.3">
      <c r="A65" s="10">
        <v>2</v>
      </c>
      <c r="B65" s="11" t="s">
        <v>672</v>
      </c>
      <c r="C65" s="13"/>
      <c r="D65" s="13"/>
      <c r="E65" s="11" t="s">
        <v>542</v>
      </c>
      <c r="F65" s="10"/>
      <c r="G65" s="11" t="s">
        <v>58</v>
      </c>
      <c r="H65" s="10"/>
      <c r="I65" s="10" t="s">
        <v>391</v>
      </c>
      <c r="J65" s="11" t="s">
        <v>358</v>
      </c>
      <c r="K65" s="11" t="s">
        <v>110</v>
      </c>
      <c r="L65" s="11" t="s">
        <v>83</v>
      </c>
      <c r="M65" s="11">
        <v>1</v>
      </c>
      <c r="N65" s="11" t="s">
        <v>109</v>
      </c>
      <c r="O65" s="11">
        <v>3.6</v>
      </c>
      <c r="P65" s="11">
        <f t="shared" si="15"/>
        <v>90</v>
      </c>
      <c r="Q65" s="63">
        <f t="shared" ref="Q65:Q68" si="16">((10-2*0.25)*(9-2*0.25))*M65</f>
        <v>80.75</v>
      </c>
      <c r="R65" s="54">
        <f t="shared" si="10"/>
        <v>22.430555555555554</v>
      </c>
      <c r="S65" s="11" t="s">
        <v>65</v>
      </c>
      <c r="T65" s="36"/>
      <c r="U65" s="60">
        <f>28800+69120+38400+34560+21600+30000</f>
        <v>222480</v>
      </c>
      <c r="V65" s="10" t="s">
        <v>244</v>
      </c>
      <c r="W65" s="54">
        <f t="shared" si="11"/>
        <v>2755.1702786377709</v>
      </c>
      <c r="X65" s="11">
        <v>1</v>
      </c>
      <c r="Y65" s="60">
        <f t="shared" si="12"/>
        <v>61800</v>
      </c>
      <c r="Z65" s="54" t="s">
        <v>66</v>
      </c>
      <c r="AA65" s="36" t="s">
        <v>630</v>
      </c>
    </row>
    <row r="66" spans="1:27" ht="40.049999999999997" customHeight="1" x14ac:dyDescent="0.3">
      <c r="A66" s="10">
        <v>2</v>
      </c>
      <c r="B66" s="11" t="s">
        <v>672</v>
      </c>
      <c r="C66" s="13"/>
      <c r="D66" s="13"/>
      <c r="E66" s="11" t="s">
        <v>542</v>
      </c>
      <c r="F66" s="10"/>
      <c r="G66" s="11" t="s">
        <v>58</v>
      </c>
      <c r="H66" s="10"/>
      <c r="I66" s="10" t="s">
        <v>391</v>
      </c>
      <c r="J66" s="11" t="s">
        <v>358</v>
      </c>
      <c r="K66" s="11" t="s">
        <v>110</v>
      </c>
      <c r="L66" s="11" t="s">
        <v>83</v>
      </c>
      <c r="M66" s="11">
        <v>1</v>
      </c>
      <c r="N66" s="11" t="s">
        <v>109</v>
      </c>
      <c r="O66" s="11">
        <v>3.6</v>
      </c>
      <c r="P66" s="11">
        <f t="shared" si="15"/>
        <v>90</v>
      </c>
      <c r="Q66" s="63">
        <f t="shared" si="16"/>
        <v>80.75</v>
      </c>
      <c r="R66" s="54">
        <f t="shared" si="10"/>
        <v>22.430555555555554</v>
      </c>
      <c r="S66" s="11" t="s">
        <v>67</v>
      </c>
      <c r="T66" s="36"/>
      <c r="U66" s="60">
        <f>400+1750+250</f>
        <v>2400</v>
      </c>
      <c r="V66" s="10" t="s">
        <v>244</v>
      </c>
      <c r="W66" s="54">
        <f t="shared" si="11"/>
        <v>29.721362229102166</v>
      </c>
      <c r="X66" s="11">
        <v>1</v>
      </c>
      <c r="Y66" s="60">
        <f t="shared" si="12"/>
        <v>666.66666666666663</v>
      </c>
      <c r="Z66" s="54" t="s">
        <v>66</v>
      </c>
      <c r="AA66" s="36" t="s">
        <v>630</v>
      </c>
    </row>
    <row r="67" spans="1:27" ht="40.049999999999997" customHeight="1" x14ac:dyDescent="0.3">
      <c r="A67" s="10">
        <v>2</v>
      </c>
      <c r="B67" s="11" t="s">
        <v>672</v>
      </c>
      <c r="C67" s="13"/>
      <c r="D67" s="13"/>
      <c r="E67" s="11" t="s">
        <v>542</v>
      </c>
      <c r="F67" s="10"/>
      <c r="G67" s="11" t="s">
        <v>58</v>
      </c>
      <c r="H67" s="10"/>
      <c r="I67" s="10" t="s">
        <v>391</v>
      </c>
      <c r="J67" s="11" t="s">
        <v>359</v>
      </c>
      <c r="K67" s="11" t="s">
        <v>108</v>
      </c>
      <c r="L67" s="11" t="s">
        <v>68</v>
      </c>
      <c r="M67" s="11">
        <v>1</v>
      </c>
      <c r="N67" s="11" t="s">
        <v>104</v>
      </c>
      <c r="O67" s="11">
        <v>3.6</v>
      </c>
      <c r="P67" s="11">
        <f t="shared" si="15"/>
        <v>90</v>
      </c>
      <c r="Q67" s="63">
        <f t="shared" si="16"/>
        <v>80.75</v>
      </c>
      <c r="R67" s="54">
        <f t="shared" si="10"/>
        <v>22.430555555555554</v>
      </c>
      <c r="S67" s="11" t="s">
        <v>65</v>
      </c>
      <c r="T67" s="36"/>
      <c r="U67" s="60">
        <f>69120+38400+34560+21600+30000</f>
        <v>193680</v>
      </c>
      <c r="V67" s="10" t="s">
        <v>244</v>
      </c>
      <c r="W67" s="54">
        <f t="shared" si="11"/>
        <v>2398.5139318885449</v>
      </c>
      <c r="X67" s="11">
        <v>1</v>
      </c>
      <c r="Y67" s="60">
        <f t="shared" si="12"/>
        <v>53800</v>
      </c>
      <c r="Z67" s="54" t="s">
        <v>66</v>
      </c>
      <c r="AA67" s="36" t="s">
        <v>630</v>
      </c>
    </row>
    <row r="68" spans="1:27" ht="40.049999999999997" customHeight="1" x14ac:dyDescent="0.3">
      <c r="A68" s="10">
        <v>2</v>
      </c>
      <c r="B68" s="11" t="s">
        <v>672</v>
      </c>
      <c r="C68" s="13"/>
      <c r="D68" s="13"/>
      <c r="E68" s="11" t="s">
        <v>542</v>
      </c>
      <c r="F68" s="10"/>
      <c r="G68" s="11" t="s">
        <v>58</v>
      </c>
      <c r="H68" s="10"/>
      <c r="I68" s="10" t="s">
        <v>391</v>
      </c>
      <c r="J68" s="11" t="s">
        <v>359</v>
      </c>
      <c r="K68" s="11" t="s">
        <v>108</v>
      </c>
      <c r="L68" s="11" t="s">
        <v>68</v>
      </c>
      <c r="M68" s="11">
        <v>1</v>
      </c>
      <c r="N68" s="11" t="s">
        <v>104</v>
      </c>
      <c r="O68" s="11">
        <v>3.6</v>
      </c>
      <c r="P68" s="11">
        <f t="shared" si="15"/>
        <v>90</v>
      </c>
      <c r="Q68" s="63">
        <f t="shared" si="16"/>
        <v>80.75</v>
      </c>
      <c r="R68" s="54">
        <f t="shared" si="10"/>
        <v>22.430555555555554</v>
      </c>
      <c r="S68" s="11" t="s">
        <v>67</v>
      </c>
      <c r="T68" s="36"/>
      <c r="U68" s="60">
        <f>400+1750+250</f>
        <v>2400</v>
      </c>
      <c r="V68" s="10" t="s">
        <v>244</v>
      </c>
      <c r="W68" s="54">
        <f t="shared" si="11"/>
        <v>29.721362229102166</v>
      </c>
      <c r="X68" s="11">
        <v>1</v>
      </c>
      <c r="Y68" s="60">
        <f t="shared" si="12"/>
        <v>666.66666666666663</v>
      </c>
      <c r="Z68" s="54" t="s">
        <v>66</v>
      </c>
      <c r="AA68" s="36" t="s">
        <v>630</v>
      </c>
    </row>
    <row r="69" spans="1:27" ht="40.049999999999997" customHeight="1" x14ac:dyDescent="0.3">
      <c r="A69" s="10">
        <v>2</v>
      </c>
      <c r="B69" s="11" t="s">
        <v>672</v>
      </c>
      <c r="C69" s="13"/>
      <c r="D69" s="13"/>
      <c r="E69" s="11" t="s">
        <v>542</v>
      </c>
      <c r="F69" s="10"/>
      <c r="G69" s="11" t="s">
        <v>58</v>
      </c>
      <c r="H69" s="10"/>
      <c r="I69" s="10" t="s">
        <v>391</v>
      </c>
      <c r="J69" s="11" t="s">
        <v>360</v>
      </c>
      <c r="K69" s="11" t="s">
        <v>107</v>
      </c>
      <c r="L69" s="11" t="s">
        <v>73</v>
      </c>
      <c r="M69" s="11">
        <v>1</v>
      </c>
      <c r="N69" s="11" t="s">
        <v>106</v>
      </c>
      <c r="O69" s="11">
        <v>3.6</v>
      </c>
      <c r="P69" s="11">
        <f t="shared" si="15"/>
        <v>90</v>
      </c>
      <c r="Q69" s="63">
        <f t="shared" ref="Q69:Q72" si="17">((10-2*0.16)*(9-2*0.16))*M69</f>
        <v>84.02239999999999</v>
      </c>
      <c r="R69" s="54">
        <f t="shared" si="10"/>
        <v>23.339555555555553</v>
      </c>
      <c r="S69" s="11" t="s">
        <v>65</v>
      </c>
      <c r="T69" s="36"/>
      <c r="U69" s="60">
        <f>38400+34560+21600+30000</f>
        <v>124560</v>
      </c>
      <c r="V69" s="10" t="s">
        <v>244</v>
      </c>
      <c r="W69" s="54">
        <f t="shared" si="11"/>
        <v>1482.4618197052216</v>
      </c>
      <c r="X69" s="11">
        <v>1</v>
      </c>
      <c r="Y69" s="60">
        <f t="shared" si="12"/>
        <v>34600</v>
      </c>
      <c r="Z69" s="54" t="s">
        <v>66</v>
      </c>
      <c r="AA69" s="36" t="s">
        <v>630</v>
      </c>
    </row>
    <row r="70" spans="1:27" ht="40.049999999999997" customHeight="1" x14ac:dyDescent="0.3">
      <c r="A70" s="10">
        <v>2</v>
      </c>
      <c r="B70" s="11" t="s">
        <v>672</v>
      </c>
      <c r="C70" s="13"/>
      <c r="D70" s="13"/>
      <c r="E70" s="11" t="s">
        <v>542</v>
      </c>
      <c r="F70" s="10"/>
      <c r="G70" s="11" t="s">
        <v>58</v>
      </c>
      <c r="H70" s="10"/>
      <c r="I70" s="10" t="s">
        <v>391</v>
      </c>
      <c r="J70" s="11" t="s">
        <v>360</v>
      </c>
      <c r="K70" s="11" t="s">
        <v>107</v>
      </c>
      <c r="L70" s="11" t="s">
        <v>73</v>
      </c>
      <c r="M70" s="11">
        <v>1</v>
      </c>
      <c r="N70" s="11" t="s">
        <v>106</v>
      </c>
      <c r="O70" s="11">
        <v>3.6</v>
      </c>
      <c r="P70" s="11">
        <f t="shared" si="15"/>
        <v>90</v>
      </c>
      <c r="Q70" s="63">
        <f t="shared" si="17"/>
        <v>84.02239999999999</v>
      </c>
      <c r="R70" s="54">
        <f t="shared" si="10"/>
        <v>23.339555555555553</v>
      </c>
      <c r="S70" s="11" t="s">
        <v>67</v>
      </c>
      <c r="T70" s="36"/>
      <c r="U70" s="60">
        <f>3200+1600+400+1750+250+2700+2500+2484</f>
        <v>14884</v>
      </c>
      <c r="V70" s="10" t="s">
        <v>244</v>
      </c>
      <c r="W70" s="54">
        <f t="shared" si="11"/>
        <v>177.1432379936779</v>
      </c>
      <c r="X70" s="11">
        <v>1</v>
      </c>
      <c r="Y70" s="60">
        <f t="shared" si="12"/>
        <v>4134.4444444444443</v>
      </c>
      <c r="Z70" s="54" t="s">
        <v>66</v>
      </c>
      <c r="AA70" s="36" t="s">
        <v>630</v>
      </c>
    </row>
    <row r="71" spans="1:27" ht="40.049999999999997" customHeight="1" x14ac:dyDescent="0.3">
      <c r="A71" s="10">
        <v>2</v>
      </c>
      <c r="B71" s="11" t="s">
        <v>672</v>
      </c>
      <c r="C71" s="13"/>
      <c r="D71" s="13"/>
      <c r="E71" s="11" t="s">
        <v>542</v>
      </c>
      <c r="F71" s="10"/>
      <c r="G71" s="11" t="s">
        <v>58</v>
      </c>
      <c r="H71" s="10"/>
      <c r="I71" s="10" t="s">
        <v>391</v>
      </c>
      <c r="J71" s="11" t="s">
        <v>361</v>
      </c>
      <c r="K71" s="11" t="s">
        <v>105</v>
      </c>
      <c r="L71" s="11" t="s">
        <v>68</v>
      </c>
      <c r="M71" s="11">
        <v>1</v>
      </c>
      <c r="N71" s="11" t="s">
        <v>104</v>
      </c>
      <c r="O71" s="11">
        <v>3.6</v>
      </c>
      <c r="P71" s="11">
        <f t="shared" si="15"/>
        <v>90</v>
      </c>
      <c r="Q71" s="63">
        <f t="shared" si="17"/>
        <v>84.02239999999999</v>
      </c>
      <c r="R71" s="54">
        <f t="shared" si="10"/>
        <v>23.339555555555553</v>
      </c>
      <c r="S71" s="11" t="s">
        <v>65</v>
      </c>
      <c r="T71" s="36"/>
      <c r="U71" s="60">
        <f>38400+34560+21600+30000</f>
        <v>124560</v>
      </c>
      <c r="V71" s="10" t="s">
        <v>244</v>
      </c>
      <c r="W71" s="54">
        <f t="shared" si="11"/>
        <v>1482.4618197052216</v>
      </c>
      <c r="X71" s="11">
        <v>1</v>
      </c>
      <c r="Y71" s="60">
        <f t="shared" si="12"/>
        <v>34600</v>
      </c>
      <c r="Z71" s="54" t="s">
        <v>66</v>
      </c>
      <c r="AA71" s="36" t="s">
        <v>630</v>
      </c>
    </row>
    <row r="72" spans="1:27" ht="40.049999999999997" customHeight="1" x14ac:dyDescent="0.3">
      <c r="A72" s="10">
        <v>2</v>
      </c>
      <c r="B72" s="11" t="s">
        <v>672</v>
      </c>
      <c r="C72" s="13"/>
      <c r="D72" s="13"/>
      <c r="E72" s="11" t="s">
        <v>542</v>
      </c>
      <c r="F72" s="10"/>
      <c r="G72" s="11" t="s">
        <v>58</v>
      </c>
      <c r="H72" s="10"/>
      <c r="I72" s="10" t="s">
        <v>391</v>
      </c>
      <c r="J72" s="11" t="s">
        <v>361</v>
      </c>
      <c r="K72" s="11" t="s">
        <v>105</v>
      </c>
      <c r="L72" s="11" t="s">
        <v>68</v>
      </c>
      <c r="M72" s="11">
        <v>1</v>
      </c>
      <c r="N72" s="11" t="s">
        <v>104</v>
      </c>
      <c r="O72" s="11">
        <v>3.6</v>
      </c>
      <c r="P72" s="11">
        <f t="shared" si="15"/>
        <v>90</v>
      </c>
      <c r="Q72" s="63">
        <f t="shared" si="17"/>
        <v>84.02239999999999</v>
      </c>
      <c r="R72" s="54">
        <f t="shared" si="10"/>
        <v>23.339555555555553</v>
      </c>
      <c r="S72" s="11" t="s">
        <v>67</v>
      </c>
      <c r="T72" s="36"/>
      <c r="U72" s="60">
        <f>3200+1600+400+1750+250+2700+2500+2484</f>
        <v>14884</v>
      </c>
      <c r="V72" s="10" t="s">
        <v>244</v>
      </c>
      <c r="W72" s="54">
        <f t="shared" si="11"/>
        <v>177.1432379936779</v>
      </c>
      <c r="X72" s="11">
        <v>1</v>
      </c>
      <c r="Y72" s="60">
        <f t="shared" si="12"/>
        <v>4134.4444444444443</v>
      </c>
      <c r="Z72" s="54" t="s">
        <v>66</v>
      </c>
      <c r="AA72" s="36" t="s">
        <v>630</v>
      </c>
    </row>
    <row r="73" spans="1:27" ht="40.049999999999997" customHeight="1" x14ac:dyDescent="0.3">
      <c r="A73" s="10">
        <v>2</v>
      </c>
      <c r="B73" s="11" t="s">
        <v>672</v>
      </c>
      <c r="C73" s="13"/>
      <c r="D73" s="13"/>
      <c r="E73" s="11" t="s">
        <v>542</v>
      </c>
      <c r="F73" s="10"/>
      <c r="G73" s="11" t="s">
        <v>58</v>
      </c>
      <c r="H73" s="10"/>
      <c r="I73" s="4" t="s">
        <v>435</v>
      </c>
      <c r="J73" s="11" t="s">
        <v>362</v>
      </c>
      <c r="K73" s="11" t="s">
        <v>103</v>
      </c>
      <c r="L73" s="11" t="s">
        <v>102</v>
      </c>
      <c r="M73" s="11">
        <v>4</v>
      </c>
      <c r="N73" s="11" t="s">
        <v>101</v>
      </c>
      <c r="O73" s="11">
        <v>38.4</v>
      </c>
      <c r="P73" s="11">
        <f t="shared" ref="P73:P91" si="18">(32*12)*M73</f>
        <v>1536</v>
      </c>
      <c r="Q73" s="63">
        <f>((32-2*0.5)*(12-2*0.5))*M73</f>
        <v>1364</v>
      </c>
      <c r="R73" s="54">
        <f t="shared" si="10"/>
        <v>35.520833333333336</v>
      </c>
      <c r="S73" s="11" t="s">
        <v>67</v>
      </c>
      <c r="T73" s="36"/>
      <c r="U73" s="60">
        <f>7000+1250+22800+22000+20976+2500+5244</f>
        <v>81770</v>
      </c>
      <c r="V73" s="10" t="s">
        <v>244</v>
      </c>
      <c r="W73" s="54">
        <f t="shared" si="11"/>
        <v>59.948680351906155</v>
      </c>
      <c r="X73" s="11">
        <v>3</v>
      </c>
      <c r="Y73" s="60">
        <f t="shared" si="12"/>
        <v>2129.4270833333335</v>
      </c>
      <c r="Z73" s="54" t="s">
        <v>66</v>
      </c>
      <c r="AA73" s="36" t="s">
        <v>630</v>
      </c>
    </row>
    <row r="74" spans="1:27" ht="40.049999999999997" customHeight="1" x14ac:dyDescent="0.3">
      <c r="A74" s="10">
        <v>2</v>
      </c>
      <c r="B74" s="11" t="s">
        <v>672</v>
      </c>
      <c r="C74" s="13"/>
      <c r="D74" s="13"/>
      <c r="E74" s="11" t="s">
        <v>542</v>
      </c>
      <c r="F74" s="10"/>
      <c r="G74" s="11" t="s">
        <v>58</v>
      </c>
      <c r="H74" s="10"/>
      <c r="I74" s="4" t="s">
        <v>435</v>
      </c>
      <c r="J74" s="11" t="s">
        <v>363</v>
      </c>
      <c r="K74" s="11" t="s">
        <v>100</v>
      </c>
      <c r="L74" s="11" t="s">
        <v>99</v>
      </c>
      <c r="M74" s="11">
        <v>4</v>
      </c>
      <c r="N74" s="11" t="s">
        <v>98</v>
      </c>
      <c r="O74" s="11">
        <v>38.4</v>
      </c>
      <c r="P74" s="11">
        <f t="shared" si="18"/>
        <v>1536</v>
      </c>
      <c r="Q74" s="63">
        <f>((32-2*0.3)*(12-2*0.3))*M74</f>
        <v>1431.84</v>
      </c>
      <c r="R74" s="54">
        <f t="shared" si="10"/>
        <v>37.287500000000001</v>
      </c>
      <c r="S74" s="11" t="s">
        <v>71</v>
      </c>
      <c r="T74" s="36"/>
      <c r="U74" s="60">
        <v>22360</v>
      </c>
      <c r="V74" s="10" t="s">
        <v>244</v>
      </c>
      <c r="W74" s="54">
        <f t="shared" si="11"/>
        <v>15.616269974298806</v>
      </c>
      <c r="X74" s="11">
        <v>3</v>
      </c>
      <c r="Y74" s="60">
        <f t="shared" si="12"/>
        <v>582.29166666666674</v>
      </c>
      <c r="Z74" s="54" t="s">
        <v>89</v>
      </c>
      <c r="AA74" s="36" t="s">
        <v>630</v>
      </c>
    </row>
    <row r="75" spans="1:27" ht="40.049999999999997" customHeight="1" x14ac:dyDescent="0.3">
      <c r="A75" s="10">
        <v>2</v>
      </c>
      <c r="B75" s="11" t="s">
        <v>672</v>
      </c>
      <c r="C75" s="13"/>
      <c r="D75" s="13"/>
      <c r="E75" s="11" t="s">
        <v>542</v>
      </c>
      <c r="F75" s="10"/>
      <c r="G75" s="11" t="s">
        <v>58</v>
      </c>
      <c r="H75" s="10"/>
      <c r="I75" s="4" t="s">
        <v>435</v>
      </c>
      <c r="J75" s="11" t="s">
        <v>363</v>
      </c>
      <c r="K75" s="11" t="s">
        <v>100</v>
      </c>
      <c r="L75" s="11" t="s">
        <v>99</v>
      </c>
      <c r="M75" s="11">
        <v>4</v>
      </c>
      <c r="N75" s="11" t="s">
        <v>98</v>
      </c>
      <c r="O75" s="11">
        <v>38.4</v>
      </c>
      <c r="P75" s="11">
        <f t="shared" si="18"/>
        <v>1536</v>
      </c>
      <c r="Q75" s="63">
        <f>((32-2*0.3)*(12-2*0.3))*M75</f>
        <v>1431.84</v>
      </c>
      <c r="R75" s="54">
        <f t="shared" si="10"/>
        <v>37.287500000000001</v>
      </c>
      <c r="S75" s="11" t="s">
        <v>65</v>
      </c>
      <c r="T75" s="36"/>
      <c r="U75" s="60">
        <f>154800+528000+437760+259200+145920+91200+108000</f>
        <v>1724880</v>
      </c>
      <c r="V75" s="10" t="s">
        <v>244</v>
      </c>
      <c r="W75" s="54">
        <f t="shared" si="11"/>
        <v>1204.6597385182702</v>
      </c>
      <c r="X75" s="11">
        <v>3</v>
      </c>
      <c r="Y75" s="60">
        <f t="shared" si="12"/>
        <v>44918.75</v>
      </c>
      <c r="Z75" s="54" t="s">
        <v>89</v>
      </c>
      <c r="AA75" s="36" t="s">
        <v>630</v>
      </c>
    </row>
    <row r="76" spans="1:27" ht="40.049999999999997" customHeight="1" x14ac:dyDescent="0.3">
      <c r="A76" s="10">
        <v>2</v>
      </c>
      <c r="B76" s="11" t="s">
        <v>672</v>
      </c>
      <c r="C76" s="13"/>
      <c r="D76" s="13"/>
      <c r="E76" s="11" t="s">
        <v>542</v>
      </c>
      <c r="F76" s="10"/>
      <c r="G76" s="11" t="s">
        <v>58</v>
      </c>
      <c r="H76" s="10"/>
      <c r="I76" s="4" t="s">
        <v>435</v>
      </c>
      <c r="J76" s="11" t="s">
        <v>363</v>
      </c>
      <c r="K76" s="11" t="s">
        <v>100</v>
      </c>
      <c r="L76" s="11" t="s">
        <v>99</v>
      </c>
      <c r="M76" s="11">
        <v>4</v>
      </c>
      <c r="N76" s="11" t="s">
        <v>98</v>
      </c>
      <c r="O76" s="11">
        <v>38.4</v>
      </c>
      <c r="P76" s="11">
        <f t="shared" si="18"/>
        <v>1536</v>
      </c>
      <c r="Q76" s="63">
        <f>((32-2*0.3)*(12-2*0.3))*M76</f>
        <v>1431.84</v>
      </c>
      <c r="R76" s="54">
        <f t="shared" si="10"/>
        <v>37.287500000000001</v>
      </c>
      <c r="S76" s="11" t="s">
        <v>67</v>
      </c>
      <c r="T76" s="36"/>
      <c r="U76" s="60">
        <f>5600+7000+1250</f>
        <v>13850</v>
      </c>
      <c r="V76" s="10" t="s">
        <v>244</v>
      </c>
      <c r="W76" s="54">
        <f t="shared" si="11"/>
        <v>9.6728684769247959</v>
      </c>
      <c r="X76" s="11">
        <v>3</v>
      </c>
      <c r="Y76" s="60">
        <f t="shared" si="12"/>
        <v>360.67708333333337</v>
      </c>
      <c r="Z76" s="54" t="s">
        <v>89</v>
      </c>
      <c r="AA76" s="36" t="s">
        <v>630</v>
      </c>
    </row>
    <row r="77" spans="1:27" ht="40.049999999999997" customHeight="1" x14ac:dyDescent="0.3">
      <c r="A77" s="10">
        <v>2</v>
      </c>
      <c r="B77" s="11" t="s">
        <v>672</v>
      </c>
      <c r="C77" s="13"/>
      <c r="D77" s="13"/>
      <c r="E77" s="11" t="s">
        <v>542</v>
      </c>
      <c r="F77" s="10"/>
      <c r="G77" s="11" t="s">
        <v>58</v>
      </c>
      <c r="H77" s="10"/>
      <c r="I77" s="4" t="s">
        <v>435</v>
      </c>
      <c r="J77" s="11" t="s">
        <v>364</v>
      </c>
      <c r="K77" s="11" t="s">
        <v>97</v>
      </c>
      <c r="L77" s="11" t="s">
        <v>96</v>
      </c>
      <c r="M77" s="11">
        <v>4</v>
      </c>
      <c r="N77" s="11" t="s">
        <v>95</v>
      </c>
      <c r="O77" s="11">
        <v>38.4</v>
      </c>
      <c r="P77" s="11">
        <f t="shared" si="18"/>
        <v>1536</v>
      </c>
      <c r="Q77" s="63">
        <f>((32-2*0.2)*(12-2*0.2))*M77</f>
        <v>1466.24</v>
      </c>
      <c r="R77" s="54">
        <f t="shared" si="10"/>
        <v>38.183333333333337</v>
      </c>
      <c r="S77" s="11" t="s">
        <v>65</v>
      </c>
      <c r="T77" s="36"/>
      <c r="U77" s="60">
        <f>528000+437760+91200+108000</f>
        <v>1164960</v>
      </c>
      <c r="V77" s="10" t="s">
        <v>244</v>
      </c>
      <c r="W77" s="54">
        <f t="shared" si="11"/>
        <v>794.5220427760803</v>
      </c>
      <c r="X77" s="11">
        <v>3</v>
      </c>
      <c r="Y77" s="60">
        <f t="shared" si="12"/>
        <v>30337.5</v>
      </c>
      <c r="Z77" s="54" t="s">
        <v>72</v>
      </c>
      <c r="AA77" s="36" t="s">
        <v>630</v>
      </c>
    </row>
    <row r="78" spans="1:27" ht="40.049999999999997" customHeight="1" x14ac:dyDescent="0.3">
      <c r="A78" s="10">
        <v>2</v>
      </c>
      <c r="B78" s="11" t="s">
        <v>672</v>
      </c>
      <c r="C78" s="13"/>
      <c r="D78" s="13"/>
      <c r="E78" s="11" t="s">
        <v>542</v>
      </c>
      <c r="F78" s="10"/>
      <c r="G78" s="11" t="s">
        <v>58</v>
      </c>
      <c r="H78" s="10"/>
      <c r="I78" s="4" t="s">
        <v>435</v>
      </c>
      <c r="J78" s="11" t="s">
        <v>364</v>
      </c>
      <c r="K78" s="11" t="s">
        <v>97</v>
      </c>
      <c r="L78" s="11" t="s">
        <v>96</v>
      </c>
      <c r="M78" s="11">
        <v>4</v>
      </c>
      <c r="N78" s="11" t="s">
        <v>95</v>
      </c>
      <c r="O78" s="11">
        <v>38.4</v>
      </c>
      <c r="P78" s="11">
        <f t="shared" si="18"/>
        <v>1536</v>
      </c>
      <c r="Q78" s="63">
        <f>((32-2*0.2)*(12-2*0.2))*M78</f>
        <v>1466.24</v>
      </c>
      <c r="R78" s="54">
        <f t="shared" si="10"/>
        <v>38.183333333333337</v>
      </c>
      <c r="S78" s="11" t="s">
        <v>67</v>
      </c>
      <c r="T78" s="36"/>
      <c r="U78" s="60">
        <f>16000+5600+7000+1250</f>
        <v>29850</v>
      </c>
      <c r="V78" s="10" t="s">
        <v>244</v>
      </c>
      <c r="W78" s="54">
        <f t="shared" si="11"/>
        <v>20.358195111305108</v>
      </c>
      <c r="X78" s="11">
        <v>3</v>
      </c>
      <c r="Y78" s="60">
        <f t="shared" si="12"/>
        <v>777.34375</v>
      </c>
      <c r="Z78" s="54" t="s">
        <v>72</v>
      </c>
      <c r="AA78" s="36" t="s">
        <v>630</v>
      </c>
    </row>
    <row r="79" spans="1:27" ht="40.049999999999997" customHeight="1" x14ac:dyDescent="0.3">
      <c r="A79" s="10">
        <v>2</v>
      </c>
      <c r="B79" s="11" t="s">
        <v>672</v>
      </c>
      <c r="C79" s="13"/>
      <c r="D79" s="13"/>
      <c r="E79" s="11" t="s">
        <v>542</v>
      </c>
      <c r="F79" s="10"/>
      <c r="G79" s="11" t="s">
        <v>58</v>
      </c>
      <c r="H79" s="10"/>
      <c r="I79" s="4" t="s">
        <v>435</v>
      </c>
      <c r="J79" s="11" t="s">
        <v>365</v>
      </c>
      <c r="K79" s="11" t="s">
        <v>94</v>
      </c>
      <c r="L79" s="11" t="s">
        <v>93</v>
      </c>
      <c r="M79" s="11">
        <v>4</v>
      </c>
      <c r="N79" s="11" t="s">
        <v>92</v>
      </c>
      <c r="O79" s="11">
        <v>38.4</v>
      </c>
      <c r="P79" s="11">
        <f t="shared" si="18"/>
        <v>1536</v>
      </c>
      <c r="Q79" s="63">
        <f>((32-2*0.4)*(12-2*0.4))*M79</f>
        <v>1397.76</v>
      </c>
      <c r="R79" s="54">
        <f t="shared" si="10"/>
        <v>36.4</v>
      </c>
      <c r="S79" s="11" t="s">
        <v>65</v>
      </c>
      <c r="T79" s="36"/>
      <c r="U79" s="60">
        <f>528000+437760+259200+145920+91200+108000</f>
        <v>1570080</v>
      </c>
      <c r="V79" s="10" t="s">
        <v>244</v>
      </c>
      <c r="W79" s="54">
        <f t="shared" si="11"/>
        <v>1123.282967032967</v>
      </c>
      <c r="X79" s="11">
        <v>3</v>
      </c>
      <c r="Y79" s="60">
        <f t="shared" si="12"/>
        <v>40887.5</v>
      </c>
      <c r="Z79" s="54" t="s">
        <v>72</v>
      </c>
      <c r="AA79" s="36" t="s">
        <v>630</v>
      </c>
    </row>
    <row r="80" spans="1:27" ht="40.049999999999997" customHeight="1" x14ac:dyDescent="0.3">
      <c r="A80" s="10">
        <v>2</v>
      </c>
      <c r="B80" s="11" t="s">
        <v>672</v>
      </c>
      <c r="C80" s="13"/>
      <c r="D80" s="13"/>
      <c r="E80" s="11" t="s">
        <v>542</v>
      </c>
      <c r="F80" s="10"/>
      <c r="G80" s="11" t="s">
        <v>58</v>
      </c>
      <c r="H80" s="10"/>
      <c r="I80" s="4" t="s">
        <v>435</v>
      </c>
      <c r="J80" s="11" t="s">
        <v>365</v>
      </c>
      <c r="K80" s="11" t="s">
        <v>94</v>
      </c>
      <c r="L80" s="11" t="s">
        <v>93</v>
      </c>
      <c r="M80" s="11">
        <v>4</v>
      </c>
      <c r="N80" s="11" t="s">
        <v>92</v>
      </c>
      <c r="O80" s="11">
        <v>38.4</v>
      </c>
      <c r="P80" s="11">
        <f t="shared" si="18"/>
        <v>1536</v>
      </c>
      <c r="Q80" s="63">
        <f>((32-2*0.4)*(12-2*0.4))*M80</f>
        <v>1397.76</v>
      </c>
      <c r="R80" s="54">
        <f t="shared" si="10"/>
        <v>36.4</v>
      </c>
      <c r="S80" s="11" t="s">
        <v>67</v>
      </c>
      <c r="T80" s="36"/>
      <c r="U80" s="60">
        <f>5600+7000+1250</f>
        <v>13850</v>
      </c>
      <c r="V80" s="10" t="s">
        <v>244</v>
      </c>
      <c r="W80" s="54">
        <f t="shared" si="11"/>
        <v>9.9087110805860803</v>
      </c>
      <c r="X80" s="11">
        <v>3</v>
      </c>
      <c r="Y80" s="60">
        <f t="shared" si="12"/>
        <v>360.67708333333337</v>
      </c>
      <c r="Z80" s="54" t="s">
        <v>72</v>
      </c>
      <c r="AA80" s="36" t="s">
        <v>630</v>
      </c>
    </row>
    <row r="81" spans="1:27" ht="40.049999999999997" customHeight="1" x14ac:dyDescent="0.3">
      <c r="A81" s="10">
        <v>2</v>
      </c>
      <c r="B81" s="11" t="s">
        <v>672</v>
      </c>
      <c r="C81" s="13"/>
      <c r="D81" s="13"/>
      <c r="E81" s="11" t="s">
        <v>542</v>
      </c>
      <c r="F81" s="10"/>
      <c r="G81" s="11" t="s">
        <v>58</v>
      </c>
      <c r="H81" s="10"/>
      <c r="I81" s="4" t="s">
        <v>435</v>
      </c>
      <c r="J81" s="11" t="s">
        <v>366</v>
      </c>
      <c r="K81" s="11" t="s">
        <v>91</v>
      </c>
      <c r="L81" s="11" t="s">
        <v>78</v>
      </c>
      <c r="M81" s="11">
        <v>4</v>
      </c>
      <c r="N81" s="11" t="s">
        <v>90</v>
      </c>
      <c r="O81" s="11">
        <v>38.4</v>
      </c>
      <c r="P81" s="11">
        <f t="shared" si="18"/>
        <v>1536</v>
      </c>
      <c r="Q81" s="63">
        <f>((32-2*0.3)*(12-2*0.3))*M81</f>
        <v>1431.84</v>
      </c>
      <c r="R81" s="54">
        <f t="shared" si="10"/>
        <v>37.287500000000001</v>
      </c>
      <c r="S81" s="11" t="s">
        <v>65</v>
      </c>
      <c r="T81" s="36"/>
      <c r="U81" s="60">
        <f>288000+72000+528000+158400+437760+259200+145920+91200+108000</f>
        <v>2088480</v>
      </c>
      <c r="V81" s="10" t="s">
        <v>244</v>
      </c>
      <c r="W81" s="54">
        <f t="shared" si="11"/>
        <v>1458.5987261146497</v>
      </c>
      <c r="X81" s="11">
        <v>3</v>
      </c>
      <c r="Y81" s="60">
        <f t="shared" si="12"/>
        <v>54387.5</v>
      </c>
      <c r="Z81" s="54" t="s">
        <v>89</v>
      </c>
      <c r="AA81" s="36" t="s">
        <v>630</v>
      </c>
    </row>
    <row r="82" spans="1:27" ht="40.049999999999997" customHeight="1" x14ac:dyDescent="0.3">
      <c r="A82" s="10">
        <v>2</v>
      </c>
      <c r="B82" s="11" t="s">
        <v>672</v>
      </c>
      <c r="C82" s="13"/>
      <c r="D82" s="13"/>
      <c r="E82" s="11" t="s">
        <v>542</v>
      </c>
      <c r="F82" s="10"/>
      <c r="G82" s="11" t="s">
        <v>58</v>
      </c>
      <c r="H82" s="10"/>
      <c r="I82" s="4" t="s">
        <v>435</v>
      </c>
      <c r="J82" s="11" t="s">
        <v>366</v>
      </c>
      <c r="K82" s="11" t="s">
        <v>91</v>
      </c>
      <c r="L82" s="11" t="s">
        <v>78</v>
      </c>
      <c r="M82" s="11">
        <v>4</v>
      </c>
      <c r="N82" s="11" t="s">
        <v>90</v>
      </c>
      <c r="O82" s="11">
        <v>38.4</v>
      </c>
      <c r="P82" s="11">
        <f t="shared" si="18"/>
        <v>1536</v>
      </c>
      <c r="Q82" s="63">
        <f>((32-2*0.3)*(12-2*0.3))*M82</f>
        <v>1431.84</v>
      </c>
      <c r="R82" s="54">
        <f t="shared" si="10"/>
        <v>37.287500000000001</v>
      </c>
      <c r="S82" s="11" t="s">
        <v>67</v>
      </c>
      <c r="T82" s="36"/>
      <c r="U82" s="60">
        <v>5244</v>
      </c>
      <c r="V82" s="10" t="s">
        <v>244</v>
      </c>
      <c r="W82" s="54">
        <f t="shared" si="11"/>
        <v>3.6624203821656054</v>
      </c>
      <c r="X82" s="11">
        <v>3</v>
      </c>
      <c r="Y82" s="60">
        <f t="shared" si="12"/>
        <v>136.5625</v>
      </c>
      <c r="Z82" s="54" t="s">
        <v>66</v>
      </c>
      <c r="AA82" s="36" t="s">
        <v>630</v>
      </c>
    </row>
    <row r="83" spans="1:27" ht="40.049999999999997" customHeight="1" x14ac:dyDescent="0.3">
      <c r="A83" s="10">
        <v>2</v>
      </c>
      <c r="B83" s="11" t="s">
        <v>672</v>
      </c>
      <c r="C83" s="13"/>
      <c r="D83" s="13"/>
      <c r="E83" s="11" t="s">
        <v>542</v>
      </c>
      <c r="F83" s="10"/>
      <c r="G83" s="11" t="s">
        <v>58</v>
      </c>
      <c r="H83" s="10"/>
      <c r="I83" s="4" t="s">
        <v>435</v>
      </c>
      <c r="J83" s="11" t="s">
        <v>367</v>
      </c>
      <c r="K83" s="11" t="s">
        <v>88</v>
      </c>
      <c r="L83" s="11" t="s">
        <v>87</v>
      </c>
      <c r="M83" s="11">
        <v>4</v>
      </c>
      <c r="N83" s="11" t="s">
        <v>86</v>
      </c>
      <c r="O83" s="11">
        <v>38.4</v>
      </c>
      <c r="P83" s="11">
        <f t="shared" si="18"/>
        <v>1536</v>
      </c>
      <c r="Q83" s="63">
        <f>((32-2*0.16)*(12-2*0.16))*M83</f>
        <v>1480.0896</v>
      </c>
      <c r="R83" s="54">
        <f t="shared" si="10"/>
        <v>38.544000000000004</v>
      </c>
      <c r="S83" s="11" t="s">
        <v>65</v>
      </c>
      <c r="T83" s="36"/>
      <c r="U83" s="60">
        <f>91200+108000</f>
        <v>199200</v>
      </c>
      <c r="V83" s="10" t="s">
        <v>244</v>
      </c>
      <c r="W83" s="54">
        <f t="shared" si="11"/>
        <v>134.58644665836445</v>
      </c>
      <c r="X83" s="11">
        <v>3</v>
      </c>
      <c r="Y83" s="60">
        <f t="shared" si="12"/>
        <v>5187.5</v>
      </c>
      <c r="Z83" s="54" t="s">
        <v>66</v>
      </c>
      <c r="AA83" s="36" t="s">
        <v>630</v>
      </c>
    </row>
    <row r="84" spans="1:27" ht="40.049999999999997" customHeight="1" x14ac:dyDescent="0.3">
      <c r="A84" s="10">
        <v>2</v>
      </c>
      <c r="B84" s="11" t="s">
        <v>672</v>
      </c>
      <c r="C84" s="13"/>
      <c r="D84" s="13"/>
      <c r="E84" s="11" t="s">
        <v>542</v>
      </c>
      <c r="F84" s="10"/>
      <c r="G84" s="11" t="s">
        <v>58</v>
      </c>
      <c r="H84" s="10"/>
      <c r="I84" s="4" t="s">
        <v>435</v>
      </c>
      <c r="J84" s="11" t="s">
        <v>367</v>
      </c>
      <c r="K84" s="11" t="s">
        <v>88</v>
      </c>
      <c r="L84" s="11" t="s">
        <v>87</v>
      </c>
      <c r="M84" s="11">
        <v>4</v>
      </c>
      <c r="N84" s="11" t="s">
        <v>86</v>
      </c>
      <c r="O84" s="11">
        <v>38.4</v>
      </c>
      <c r="P84" s="11">
        <f t="shared" si="18"/>
        <v>1536</v>
      </c>
      <c r="Q84" s="63">
        <f>((32-2*0.16)*(12-2*0.16))*M84</f>
        <v>1480.0896</v>
      </c>
      <c r="R84" s="54">
        <f t="shared" si="10"/>
        <v>38.544000000000004</v>
      </c>
      <c r="S84" s="11" t="s">
        <v>67</v>
      </c>
      <c r="T84" s="36"/>
      <c r="U84" s="60">
        <f>8600+16000+17600+5600+7000+1250+11400+11000+10488</f>
        <v>88938</v>
      </c>
      <c r="V84" s="10" t="s">
        <v>244</v>
      </c>
      <c r="W84" s="54">
        <f t="shared" si="11"/>
        <v>60.089605386052305</v>
      </c>
      <c r="X84" s="11">
        <v>3</v>
      </c>
      <c r="Y84" s="60">
        <f t="shared" si="12"/>
        <v>2316.09375</v>
      </c>
      <c r="Z84" s="54" t="s">
        <v>66</v>
      </c>
      <c r="AA84" s="36" t="s">
        <v>630</v>
      </c>
    </row>
    <row r="85" spans="1:27" ht="40.049999999999997" customHeight="1" x14ac:dyDescent="0.3">
      <c r="A85" s="10">
        <v>2</v>
      </c>
      <c r="B85" s="11" t="s">
        <v>672</v>
      </c>
      <c r="C85" s="13"/>
      <c r="D85" s="13"/>
      <c r="E85" s="11" t="s">
        <v>542</v>
      </c>
      <c r="F85" s="10"/>
      <c r="G85" s="11" t="s">
        <v>58</v>
      </c>
      <c r="H85" s="10"/>
      <c r="I85" s="4" t="s">
        <v>435</v>
      </c>
      <c r="J85" s="11" t="s">
        <v>368</v>
      </c>
      <c r="K85" s="11" t="s">
        <v>85</v>
      </c>
      <c r="L85" s="11" t="s">
        <v>68</v>
      </c>
      <c r="M85" s="11">
        <v>4</v>
      </c>
      <c r="N85" s="11" t="s">
        <v>80</v>
      </c>
      <c r="O85" s="11">
        <v>38.4</v>
      </c>
      <c r="P85" s="11">
        <f t="shared" si="18"/>
        <v>1536</v>
      </c>
      <c r="Q85" s="63">
        <f>((32-2*0.16)*(12-2*0.16))*M85</f>
        <v>1480.0896</v>
      </c>
      <c r="R85" s="54">
        <f t="shared" si="10"/>
        <v>38.544000000000004</v>
      </c>
      <c r="S85" s="11" t="s">
        <v>65</v>
      </c>
      <c r="T85" s="36"/>
      <c r="U85" s="60">
        <f>91200+108000</f>
        <v>199200</v>
      </c>
      <c r="V85" s="10" t="s">
        <v>244</v>
      </c>
      <c r="W85" s="54">
        <f t="shared" si="11"/>
        <v>134.58644665836445</v>
      </c>
      <c r="X85" s="11">
        <v>3</v>
      </c>
      <c r="Y85" s="60">
        <f t="shared" si="12"/>
        <v>5187.5</v>
      </c>
      <c r="Z85" s="54" t="s">
        <v>66</v>
      </c>
      <c r="AA85" s="36" t="s">
        <v>630</v>
      </c>
    </row>
    <row r="86" spans="1:27" ht="40.049999999999997" customHeight="1" x14ac:dyDescent="0.3">
      <c r="A86" s="10">
        <v>2</v>
      </c>
      <c r="B86" s="11" t="s">
        <v>672</v>
      </c>
      <c r="C86" s="13"/>
      <c r="D86" s="13"/>
      <c r="E86" s="11" t="s">
        <v>542</v>
      </c>
      <c r="F86" s="10"/>
      <c r="G86" s="11" t="s">
        <v>58</v>
      </c>
      <c r="H86" s="10"/>
      <c r="I86" s="4" t="s">
        <v>435</v>
      </c>
      <c r="J86" s="11" t="s">
        <v>368</v>
      </c>
      <c r="K86" s="11" t="s">
        <v>85</v>
      </c>
      <c r="L86" s="11" t="s">
        <v>68</v>
      </c>
      <c r="M86" s="11">
        <v>4</v>
      </c>
      <c r="N86" s="11" t="s">
        <v>80</v>
      </c>
      <c r="O86" s="11">
        <v>38.4</v>
      </c>
      <c r="P86" s="11">
        <f t="shared" si="18"/>
        <v>1536</v>
      </c>
      <c r="Q86" s="63">
        <f>((32-2*0.16)*(12-2*0.16))*M86</f>
        <v>1480.0896</v>
      </c>
      <c r="R86" s="54">
        <f t="shared" si="10"/>
        <v>38.544000000000004</v>
      </c>
      <c r="S86" s="11" t="s">
        <v>67</v>
      </c>
      <c r="T86" s="36"/>
      <c r="U86" s="60">
        <f>8600+16000+17600+5600+7000+1250+11400+11000+10488</f>
        <v>88938</v>
      </c>
      <c r="V86" s="10" t="s">
        <v>244</v>
      </c>
      <c r="W86" s="54">
        <f t="shared" si="11"/>
        <v>60.089605386052305</v>
      </c>
      <c r="X86" s="11">
        <v>3</v>
      </c>
      <c r="Y86" s="60">
        <f t="shared" si="12"/>
        <v>2316.09375</v>
      </c>
      <c r="Z86" s="54" t="s">
        <v>66</v>
      </c>
      <c r="AA86" s="36" t="s">
        <v>630</v>
      </c>
    </row>
    <row r="87" spans="1:27" ht="40.049999999999997" customHeight="1" x14ac:dyDescent="0.3">
      <c r="A87" s="10">
        <v>2</v>
      </c>
      <c r="B87" s="11" t="s">
        <v>672</v>
      </c>
      <c r="C87" s="13"/>
      <c r="D87" s="13"/>
      <c r="E87" s="11" t="s">
        <v>542</v>
      </c>
      <c r="F87" s="10"/>
      <c r="G87" s="11" t="s">
        <v>58</v>
      </c>
      <c r="H87" s="10"/>
      <c r="I87" s="4" t="s">
        <v>435</v>
      </c>
      <c r="J87" s="11" t="s">
        <v>369</v>
      </c>
      <c r="K87" s="11" t="s">
        <v>84</v>
      </c>
      <c r="L87" s="11" t="s">
        <v>83</v>
      </c>
      <c r="M87" s="11">
        <v>4</v>
      </c>
      <c r="N87" s="11" t="s">
        <v>82</v>
      </c>
      <c r="O87" s="11">
        <v>38.4</v>
      </c>
      <c r="P87" s="11">
        <f t="shared" si="18"/>
        <v>1536</v>
      </c>
      <c r="Q87" s="63">
        <f t="shared" ref="Q87:Q90" si="19">((32-2*0.25)*(12-2*0.25))*M87</f>
        <v>1449</v>
      </c>
      <c r="R87" s="54">
        <f t="shared" si="10"/>
        <v>37.734375</v>
      </c>
      <c r="S87" s="11" t="s">
        <v>65</v>
      </c>
      <c r="T87" s="36"/>
      <c r="U87" s="60">
        <f>437760+259200+145920+91200+108000</f>
        <v>1042080</v>
      </c>
      <c r="V87" s="10" t="s">
        <v>244</v>
      </c>
      <c r="W87" s="54">
        <f t="shared" si="11"/>
        <v>719.17184265010349</v>
      </c>
      <c r="X87" s="11">
        <v>3</v>
      </c>
      <c r="Y87" s="60">
        <f t="shared" si="12"/>
        <v>27137.5</v>
      </c>
      <c r="Z87" s="54" t="s">
        <v>66</v>
      </c>
      <c r="AA87" s="36" t="s">
        <v>630</v>
      </c>
    </row>
    <row r="88" spans="1:27" ht="40.049999999999997" customHeight="1" x14ac:dyDescent="0.3">
      <c r="A88" s="10">
        <v>2</v>
      </c>
      <c r="B88" s="11" t="s">
        <v>672</v>
      </c>
      <c r="C88" s="13"/>
      <c r="D88" s="13"/>
      <c r="E88" s="11" t="s">
        <v>542</v>
      </c>
      <c r="F88" s="10"/>
      <c r="G88" s="11" t="s">
        <v>58</v>
      </c>
      <c r="H88" s="10"/>
      <c r="I88" s="4" t="s">
        <v>435</v>
      </c>
      <c r="J88" s="11" t="s">
        <v>369</v>
      </c>
      <c r="K88" s="11" t="s">
        <v>84</v>
      </c>
      <c r="L88" s="11" t="s">
        <v>83</v>
      </c>
      <c r="M88" s="11">
        <v>4</v>
      </c>
      <c r="N88" s="11" t="s">
        <v>82</v>
      </c>
      <c r="O88" s="11">
        <v>38.4</v>
      </c>
      <c r="P88" s="11">
        <f t="shared" si="18"/>
        <v>1536</v>
      </c>
      <c r="Q88" s="63">
        <f t="shared" si="19"/>
        <v>1449</v>
      </c>
      <c r="R88" s="54">
        <f t="shared" si="10"/>
        <v>37.734375</v>
      </c>
      <c r="S88" s="11" t="s">
        <v>67</v>
      </c>
      <c r="T88" s="36"/>
      <c r="U88" s="60">
        <f>5600+7000+1250</f>
        <v>13850</v>
      </c>
      <c r="V88" s="10" t="s">
        <v>244</v>
      </c>
      <c r="W88" s="54">
        <f t="shared" si="11"/>
        <v>9.5583160800552101</v>
      </c>
      <c r="X88" s="11">
        <v>3</v>
      </c>
      <c r="Y88" s="60">
        <f t="shared" si="12"/>
        <v>360.67708333333337</v>
      </c>
      <c r="Z88" s="54" t="s">
        <v>66</v>
      </c>
      <c r="AA88" s="36" t="s">
        <v>630</v>
      </c>
    </row>
    <row r="89" spans="1:27" ht="40.049999999999997" customHeight="1" x14ac:dyDescent="0.3">
      <c r="A89" s="10">
        <v>2</v>
      </c>
      <c r="B89" s="11" t="s">
        <v>672</v>
      </c>
      <c r="C89" s="13"/>
      <c r="D89" s="13"/>
      <c r="E89" s="11" t="s">
        <v>542</v>
      </c>
      <c r="F89" s="10"/>
      <c r="G89" s="11" t="s">
        <v>58</v>
      </c>
      <c r="H89" s="10"/>
      <c r="I89" s="4" t="s">
        <v>435</v>
      </c>
      <c r="J89" s="11" t="s">
        <v>370</v>
      </c>
      <c r="K89" s="11" t="s">
        <v>81</v>
      </c>
      <c r="L89" s="11" t="s">
        <v>68</v>
      </c>
      <c r="M89" s="11">
        <v>4</v>
      </c>
      <c r="N89" s="11" t="s">
        <v>80</v>
      </c>
      <c r="O89" s="11">
        <v>38.4</v>
      </c>
      <c r="P89" s="11">
        <f t="shared" si="18"/>
        <v>1536</v>
      </c>
      <c r="Q89" s="63">
        <f t="shared" si="19"/>
        <v>1449</v>
      </c>
      <c r="R89" s="54">
        <f t="shared" si="10"/>
        <v>37.734375</v>
      </c>
      <c r="S89" s="11" t="s">
        <v>65</v>
      </c>
      <c r="T89" s="36"/>
      <c r="U89" s="60">
        <f>437760+259200+145920+91200+108000</f>
        <v>1042080</v>
      </c>
      <c r="V89" s="10" t="s">
        <v>244</v>
      </c>
      <c r="W89" s="54">
        <f t="shared" si="11"/>
        <v>719.17184265010349</v>
      </c>
      <c r="X89" s="11">
        <v>3</v>
      </c>
      <c r="Y89" s="60">
        <f t="shared" si="12"/>
        <v>27137.5</v>
      </c>
      <c r="Z89" s="54" t="s">
        <v>66</v>
      </c>
      <c r="AA89" s="36" t="s">
        <v>630</v>
      </c>
    </row>
    <row r="90" spans="1:27" ht="40.049999999999997" customHeight="1" x14ac:dyDescent="0.3">
      <c r="A90" s="10">
        <v>2</v>
      </c>
      <c r="B90" s="11" t="s">
        <v>672</v>
      </c>
      <c r="C90" s="13"/>
      <c r="D90" s="13"/>
      <c r="E90" s="11" t="s">
        <v>542</v>
      </c>
      <c r="F90" s="10"/>
      <c r="G90" s="11" t="s">
        <v>58</v>
      </c>
      <c r="H90" s="10"/>
      <c r="I90" s="4" t="s">
        <v>435</v>
      </c>
      <c r="J90" s="11" t="s">
        <v>370</v>
      </c>
      <c r="K90" s="11" t="s">
        <v>81</v>
      </c>
      <c r="L90" s="11" t="s">
        <v>68</v>
      </c>
      <c r="M90" s="11">
        <v>4</v>
      </c>
      <c r="N90" s="11" t="s">
        <v>80</v>
      </c>
      <c r="O90" s="11">
        <v>38.4</v>
      </c>
      <c r="P90" s="11">
        <f t="shared" si="18"/>
        <v>1536</v>
      </c>
      <c r="Q90" s="63">
        <f t="shared" si="19"/>
        <v>1449</v>
      </c>
      <c r="R90" s="54">
        <f t="shared" si="10"/>
        <v>37.734375</v>
      </c>
      <c r="S90" s="11" t="s">
        <v>67</v>
      </c>
      <c r="T90" s="36"/>
      <c r="U90" s="60">
        <f>5600+7000+1250</f>
        <v>13850</v>
      </c>
      <c r="V90" s="10" t="s">
        <v>244</v>
      </c>
      <c r="W90" s="54">
        <f t="shared" si="11"/>
        <v>9.5583160800552101</v>
      </c>
      <c r="X90" s="11">
        <v>3</v>
      </c>
      <c r="Y90" s="60">
        <f t="shared" si="12"/>
        <v>360.67708333333337</v>
      </c>
      <c r="Z90" s="54" t="s">
        <v>72</v>
      </c>
      <c r="AA90" s="36" t="s">
        <v>630</v>
      </c>
    </row>
    <row r="91" spans="1:27" ht="40.049999999999997" customHeight="1" x14ac:dyDescent="0.3">
      <c r="A91" s="10">
        <v>2</v>
      </c>
      <c r="B91" s="11" t="s">
        <v>672</v>
      </c>
      <c r="C91" s="13"/>
      <c r="D91" s="13"/>
      <c r="E91" s="11" t="s">
        <v>542</v>
      </c>
      <c r="F91" s="10"/>
      <c r="G91" s="11" t="s">
        <v>58</v>
      </c>
      <c r="H91" s="10"/>
      <c r="I91" s="4" t="s">
        <v>70</v>
      </c>
      <c r="J91" s="11" t="s">
        <v>371</v>
      </c>
      <c r="K91" s="11" t="s">
        <v>79</v>
      </c>
      <c r="L91" s="11" t="s">
        <v>78</v>
      </c>
      <c r="M91" s="11">
        <v>7</v>
      </c>
      <c r="N91" s="11" t="s">
        <v>77</v>
      </c>
      <c r="O91" s="11">
        <v>69.3</v>
      </c>
      <c r="P91" s="11">
        <f t="shared" si="18"/>
        <v>2688</v>
      </c>
      <c r="Q91" s="63">
        <f>((32-2*0.15)*(12-2*0.15))*M91</f>
        <v>2596.23</v>
      </c>
      <c r="R91" s="54">
        <f t="shared" si="10"/>
        <v>37.463636363636368</v>
      </c>
      <c r="S91" s="11" t="s">
        <v>65</v>
      </c>
      <c r="T91" s="36"/>
      <c r="U91" s="60">
        <f>696000+926400+313920+145920+875520+259200+145920+91200+172800</f>
        <v>3626880</v>
      </c>
      <c r="V91" s="10" t="s">
        <v>244</v>
      </c>
      <c r="W91" s="54">
        <f t="shared" si="11"/>
        <v>1396.9794663800974</v>
      </c>
      <c r="X91" s="11">
        <v>4</v>
      </c>
      <c r="Y91" s="60">
        <f t="shared" si="12"/>
        <v>52335.930735930735</v>
      </c>
      <c r="Z91" s="54" t="s">
        <v>72</v>
      </c>
      <c r="AA91" s="36" t="s">
        <v>630</v>
      </c>
    </row>
    <row r="92" spans="1:27" ht="40.049999999999997" customHeight="1" x14ac:dyDescent="0.3">
      <c r="A92" s="10">
        <v>2</v>
      </c>
      <c r="B92" s="11" t="s">
        <v>672</v>
      </c>
      <c r="C92" s="13"/>
      <c r="D92" s="13"/>
      <c r="E92" s="11" t="s">
        <v>542</v>
      </c>
      <c r="F92" s="10"/>
      <c r="G92" s="11" t="s">
        <v>58</v>
      </c>
      <c r="H92" s="10"/>
      <c r="I92" s="4" t="s">
        <v>70</v>
      </c>
      <c r="J92" s="11" t="s">
        <v>372</v>
      </c>
      <c r="K92" s="11" t="s">
        <v>76</v>
      </c>
      <c r="L92" s="11" t="s">
        <v>75</v>
      </c>
      <c r="M92" s="11">
        <v>10</v>
      </c>
      <c r="N92" s="11">
        <v>60</v>
      </c>
      <c r="O92" s="11">
        <v>120</v>
      </c>
      <c r="P92" s="11">
        <f t="shared" ref="P92:P96" si="20">(30*15)*M92</f>
        <v>4500</v>
      </c>
      <c r="Q92" s="63">
        <f>((30-2*0.25)*(15-2*0.25))*M92</f>
        <v>4277.5</v>
      </c>
      <c r="R92" s="54">
        <f t="shared" ref="R92:R96" si="21">Q92/O92</f>
        <v>35.645833333333336</v>
      </c>
      <c r="S92" s="11" t="s">
        <v>65</v>
      </c>
      <c r="T92" s="36"/>
      <c r="U92" s="60">
        <f>1200000+864000+388800+172800+1036800+288000+172800+108000+230400</f>
        <v>4461600</v>
      </c>
      <c r="V92" s="10" t="s">
        <v>244</v>
      </c>
      <c r="W92" s="54">
        <f t="shared" ref="W92:W96" si="22">U92/Q92</f>
        <v>1043.0391583869082</v>
      </c>
      <c r="X92" s="11">
        <v>4</v>
      </c>
      <c r="Y92" s="60">
        <f t="shared" ref="Y92:Y96" si="23">U92/O92</f>
        <v>37180</v>
      </c>
      <c r="Z92" s="54" t="s">
        <v>72</v>
      </c>
      <c r="AA92" s="36" t="s">
        <v>630</v>
      </c>
    </row>
    <row r="93" spans="1:27" ht="40.049999999999997" customHeight="1" x14ac:dyDescent="0.3">
      <c r="A93" s="10">
        <v>2</v>
      </c>
      <c r="B93" s="11" t="s">
        <v>672</v>
      </c>
      <c r="C93" s="13"/>
      <c r="D93" s="13"/>
      <c r="E93" s="10" t="s">
        <v>542</v>
      </c>
      <c r="F93" s="10"/>
      <c r="G93" s="11" t="s">
        <v>58</v>
      </c>
      <c r="H93" s="10"/>
      <c r="I93" s="4" t="s">
        <v>70</v>
      </c>
      <c r="J93" s="11" t="s">
        <v>373</v>
      </c>
      <c r="K93" s="11" t="s">
        <v>74</v>
      </c>
      <c r="L93" s="11" t="s">
        <v>73</v>
      </c>
      <c r="M93" s="11">
        <v>10</v>
      </c>
      <c r="N93" s="11">
        <v>90</v>
      </c>
      <c r="O93" s="11">
        <v>120</v>
      </c>
      <c r="P93" s="11">
        <f t="shared" si="20"/>
        <v>4500</v>
      </c>
      <c r="Q93" s="63">
        <f t="shared" ref="Q93:Q96" si="24">((30-2*0.3)*(15-2*0.3))*M93</f>
        <v>4233.6000000000004</v>
      </c>
      <c r="R93" s="54">
        <f t="shared" si="21"/>
        <v>35.28</v>
      </c>
      <c r="S93" s="11" t="s">
        <v>65</v>
      </c>
      <c r="T93" s="36"/>
      <c r="U93" s="60">
        <f>172800+1555200+259200+145920+91200+230400</f>
        <v>2454720</v>
      </c>
      <c r="V93" s="10" t="s">
        <v>244</v>
      </c>
      <c r="W93" s="54">
        <f t="shared" si="22"/>
        <v>579.81859410430832</v>
      </c>
      <c r="X93" s="11">
        <v>4</v>
      </c>
      <c r="Y93" s="60">
        <f t="shared" si="23"/>
        <v>20456</v>
      </c>
      <c r="Z93" s="54" t="s">
        <v>72</v>
      </c>
      <c r="AA93" s="36" t="s">
        <v>630</v>
      </c>
    </row>
    <row r="94" spans="1:27" ht="40.049999999999997" customHeight="1" x14ac:dyDescent="0.3">
      <c r="A94" s="10">
        <v>2</v>
      </c>
      <c r="B94" s="11" t="s">
        <v>672</v>
      </c>
      <c r="C94" s="13"/>
      <c r="D94" s="13"/>
      <c r="E94" s="10" t="s">
        <v>542</v>
      </c>
      <c r="F94" s="10"/>
      <c r="G94" s="11" t="s">
        <v>58</v>
      </c>
      <c r="H94" s="10"/>
      <c r="I94" s="4" t="s">
        <v>70</v>
      </c>
      <c r="J94" s="11" t="s">
        <v>373</v>
      </c>
      <c r="K94" s="11" t="s">
        <v>74</v>
      </c>
      <c r="L94" s="11" t="s">
        <v>73</v>
      </c>
      <c r="M94" s="11">
        <v>10</v>
      </c>
      <c r="N94" s="11">
        <v>90</v>
      </c>
      <c r="O94" s="11">
        <v>120</v>
      </c>
      <c r="P94" s="11">
        <f t="shared" si="20"/>
        <v>4500</v>
      </c>
      <c r="Q94" s="63">
        <f t="shared" si="24"/>
        <v>4233.6000000000004</v>
      </c>
      <c r="R94" s="54">
        <f t="shared" si="21"/>
        <v>35.28</v>
      </c>
      <c r="S94" s="11" t="s">
        <v>67</v>
      </c>
      <c r="T94" s="36"/>
      <c r="U94" s="60">
        <v>10800</v>
      </c>
      <c r="V94" s="10" t="s">
        <v>244</v>
      </c>
      <c r="W94" s="54">
        <f t="shared" si="22"/>
        <v>2.5510204081632653</v>
      </c>
      <c r="X94" s="11">
        <v>4</v>
      </c>
      <c r="Y94" s="60">
        <f t="shared" si="23"/>
        <v>90</v>
      </c>
      <c r="Z94" s="54" t="s">
        <v>66</v>
      </c>
      <c r="AA94" s="36" t="s">
        <v>630</v>
      </c>
    </row>
    <row r="95" spans="1:27" ht="40.049999999999997" customHeight="1" x14ac:dyDescent="0.3">
      <c r="A95" s="10">
        <v>2</v>
      </c>
      <c r="B95" s="11" t="s">
        <v>672</v>
      </c>
      <c r="C95" s="13"/>
      <c r="D95" s="13"/>
      <c r="E95" s="10" t="s">
        <v>542</v>
      </c>
      <c r="F95" s="10"/>
      <c r="G95" s="11" t="s">
        <v>58</v>
      </c>
      <c r="H95" s="10"/>
      <c r="I95" s="4" t="s">
        <v>70</v>
      </c>
      <c r="J95" s="11" t="s">
        <v>374</v>
      </c>
      <c r="K95" s="11" t="s">
        <v>69</v>
      </c>
      <c r="L95" s="11" t="s">
        <v>68</v>
      </c>
      <c r="M95" s="11">
        <v>10</v>
      </c>
      <c r="N95" s="11">
        <v>3.1</v>
      </c>
      <c r="O95" s="11">
        <v>120</v>
      </c>
      <c r="P95" s="11">
        <f t="shared" si="20"/>
        <v>4500</v>
      </c>
      <c r="Q95" s="63">
        <f t="shared" si="24"/>
        <v>4233.6000000000004</v>
      </c>
      <c r="R95" s="54">
        <f t="shared" si="21"/>
        <v>35.28</v>
      </c>
      <c r="S95" s="11" t="s">
        <v>65</v>
      </c>
      <c r="T95" s="36"/>
      <c r="U95" s="60">
        <f>172800+1555200+259200+145920+91200+230400</f>
        <v>2454720</v>
      </c>
      <c r="V95" s="10" t="s">
        <v>244</v>
      </c>
      <c r="W95" s="54">
        <f t="shared" si="22"/>
        <v>579.81859410430832</v>
      </c>
      <c r="X95" s="11">
        <v>4</v>
      </c>
      <c r="Y95" s="60">
        <f t="shared" si="23"/>
        <v>20456</v>
      </c>
      <c r="Z95" s="54" t="s">
        <v>66</v>
      </c>
      <c r="AA95" s="36" t="s">
        <v>630</v>
      </c>
    </row>
    <row r="96" spans="1:27" ht="40.049999999999997" customHeight="1" x14ac:dyDescent="0.3">
      <c r="A96" s="10">
        <v>2</v>
      </c>
      <c r="B96" s="11" t="s">
        <v>672</v>
      </c>
      <c r="C96" s="13"/>
      <c r="D96" s="13"/>
      <c r="E96" s="10" t="s">
        <v>542</v>
      </c>
      <c r="F96" s="10"/>
      <c r="G96" s="11" t="s">
        <v>58</v>
      </c>
      <c r="H96" s="10"/>
      <c r="I96" s="4" t="s">
        <v>70</v>
      </c>
      <c r="J96" s="11" t="s">
        <v>374</v>
      </c>
      <c r="K96" s="11" t="s">
        <v>69</v>
      </c>
      <c r="L96" s="11" t="s">
        <v>68</v>
      </c>
      <c r="M96" s="11">
        <v>10</v>
      </c>
      <c r="N96" s="11">
        <v>3.1</v>
      </c>
      <c r="O96" s="11">
        <v>120</v>
      </c>
      <c r="P96" s="11">
        <f t="shared" si="20"/>
        <v>4500</v>
      </c>
      <c r="Q96" s="63">
        <f t="shared" si="24"/>
        <v>4233.6000000000004</v>
      </c>
      <c r="R96" s="54">
        <f t="shared" si="21"/>
        <v>35.28</v>
      </c>
      <c r="S96" s="11" t="s">
        <v>67</v>
      </c>
      <c r="T96" s="36"/>
      <c r="U96" s="60">
        <v>10800</v>
      </c>
      <c r="V96" s="10" t="s">
        <v>244</v>
      </c>
      <c r="W96" s="54">
        <f t="shared" si="22"/>
        <v>2.5510204081632653</v>
      </c>
      <c r="X96" s="11">
        <v>4</v>
      </c>
      <c r="Y96" s="60">
        <f t="shared" si="23"/>
        <v>90</v>
      </c>
      <c r="Z96" s="54" t="s">
        <v>64</v>
      </c>
      <c r="AA96" s="36" t="s">
        <v>630</v>
      </c>
    </row>
  </sheetData>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AC7"/>
  <sheetViews>
    <sheetView zoomScaleNormal="100" workbookViewId="0">
      <selection activeCell="AE4" sqref="AE4"/>
    </sheetView>
  </sheetViews>
  <sheetFormatPr defaultColWidth="9.21875" defaultRowHeight="14.4" x14ac:dyDescent="0.3"/>
  <cols>
    <col min="1" max="1" width="3.77734375" style="12" customWidth="1"/>
    <col min="2" max="2" width="14.44140625" style="12" customWidth="1"/>
    <col min="3" max="3" width="38.21875" style="11" customWidth="1"/>
    <col min="4" max="4" width="20.77734375" style="11" customWidth="1"/>
    <col min="5" max="6" width="25" style="12" customWidth="1"/>
    <col min="7" max="7" width="9.21875" style="12"/>
    <col min="8" max="8" width="20.21875" style="12" customWidth="1"/>
    <col min="9" max="9" width="27.77734375" style="12" customWidth="1"/>
    <col min="10" max="10" width="16" style="12" customWidth="1"/>
    <col min="11" max="11" width="34.21875" style="12" customWidth="1"/>
    <col min="12" max="13" width="22.44140625" style="12" customWidth="1"/>
    <col min="14" max="14" width="23" style="12" customWidth="1"/>
    <col min="15" max="15" width="17.77734375" style="12" customWidth="1"/>
    <col min="16" max="16" width="13.44140625" style="12" customWidth="1"/>
    <col min="17" max="18" width="12.21875" style="12" customWidth="1"/>
    <col min="19" max="19" width="13.21875" style="12" customWidth="1"/>
    <col min="20" max="20" width="11.44140625" style="12" customWidth="1"/>
    <col min="21" max="21" width="11.44140625" style="12" bestFit="1" customWidth="1"/>
    <col min="22" max="22" width="9.21875" style="12"/>
    <col min="23" max="23" width="12.21875" style="12" customWidth="1"/>
    <col min="24" max="24" width="12.21875" style="52" customWidth="1"/>
    <col min="25" max="25" width="9.21875" style="12"/>
    <col min="26" max="26" width="10.21875" style="12" customWidth="1"/>
    <col min="27" max="27" width="12.21875" style="12" customWidth="1"/>
    <col min="28" max="28" width="12.77734375" style="12" customWidth="1"/>
    <col min="29" max="29" width="13.77734375" style="6" customWidth="1"/>
    <col min="30" max="16384" width="9.21875" style="12"/>
  </cols>
  <sheetData>
    <row r="1" spans="1:29"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241</v>
      </c>
      <c r="R1" s="56" t="s">
        <v>416</v>
      </c>
      <c r="S1" s="56" t="s">
        <v>193</v>
      </c>
      <c r="T1" s="56" t="s">
        <v>421</v>
      </c>
      <c r="U1" s="56" t="s">
        <v>521</v>
      </c>
      <c r="V1" s="56" t="s">
        <v>192</v>
      </c>
      <c r="W1" s="56" t="s">
        <v>386</v>
      </c>
      <c r="X1" s="56" t="s">
        <v>418</v>
      </c>
      <c r="Y1" s="56" t="s">
        <v>242</v>
      </c>
      <c r="Z1" s="56" t="s">
        <v>191</v>
      </c>
      <c r="AA1" s="56" t="s">
        <v>947</v>
      </c>
      <c r="AB1" s="56" t="s">
        <v>638</v>
      </c>
      <c r="AC1" s="56" t="s">
        <v>251</v>
      </c>
    </row>
    <row r="2" spans="1:29" ht="40.049999999999997" customHeight="1" x14ac:dyDescent="0.3">
      <c r="A2" s="11">
        <v>1</v>
      </c>
      <c r="B2" s="11" t="s">
        <v>686</v>
      </c>
      <c r="C2" s="11" t="s">
        <v>685</v>
      </c>
      <c r="D2" s="11" t="s">
        <v>827</v>
      </c>
      <c r="E2" s="11" t="s">
        <v>395</v>
      </c>
      <c r="F2" s="11"/>
      <c r="G2" s="11" t="s">
        <v>58</v>
      </c>
      <c r="H2" s="11" t="s">
        <v>396</v>
      </c>
      <c r="I2" s="11" t="s">
        <v>70</v>
      </c>
      <c r="J2" s="11" t="s">
        <v>397</v>
      </c>
      <c r="K2" s="11" t="s">
        <v>398</v>
      </c>
      <c r="L2" s="11"/>
      <c r="M2" s="11">
        <v>13</v>
      </c>
      <c r="N2" s="11">
        <v>25</v>
      </c>
      <c r="O2" s="11" t="s">
        <v>472</v>
      </c>
      <c r="P2" s="11">
        <f>814*N2</f>
        <v>20350</v>
      </c>
      <c r="Q2" s="11">
        <f>260*25</f>
        <v>6500</v>
      </c>
      <c r="R2" s="65">
        <f>Q2/$O$3</f>
        <v>65</v>
      </c>
      <c r="S2" s="11" t="s">
        <v>65</v>
      </c>
      <c r="T2" s="11"/>
      <c r="U2" s="11">
        <f>945600+4032000+16176</f>
        <v>4993776</v>
      </c>
      <c r="V2" s="11" t="s">
        <v>244</v>
      </c>
      <c r="W2" s="54">
        <f t="shared" ref="W2:W7" si="0">U2/Q2</f>
        <v>768.27323076923074</v>
      </c>
      <c r="X2" s="65">
        <v>4</v>
      </c>
      <c r="Y2" s="54">
        <f>U2/(4*25)</f>
        <v>49937.760000000002</v>
      </c>
      <c r="Z2" s="11" t="s">
        <v>248</v>
      </c>
      <c r="AA2" s="11"/>
      <c r="AB2" s="11"/>
      <c r="AC2" s="12">
        <v>260</v>
      </c>
    </row>
    <row r="3" spans="1:29" ht="40.049999999999997" customHeight="1" x14ac:dyDescent="0.3">
      <c r="A3" s="11">
        <v>1</v>
      </c>
      <c r="B3" s="11" t="s">
        <v>684</v>
      </c>
      <c r="E3" s="11" t="s">
        <v>395</v>
      </c>
      <c r="F3" s="11"/>
      <c r="G3" s="11" t="s">
        <v>58</v>
      </c>
      <c r="H3" s="11" t="s">
        <v>396</v>
      </c>
      <c r="I3" s="11" t="s">
        <v>70</v>
      </c>
      <c r="J3" s="11" t="s">
        <v>397</v>
      </c>
      <c r="K3" s="11"/>
      <c r="L3" s="11"/>
      <c r="M3" s="11">
        <v>13</v>
      </c>
      <c r="N3" s="11">
        <v>25</v>
      </c>
      <c r="O3" s="11">
        <f>4*N2</f>
        <v>100</v>
      </c>
      <c r="P3" s="11"/>
      <c r="Q3" s="11">
        <f>260*25</f>
        <v>6500</v>
      </c>
      <c r="R3" s="65">
        <f>Q3/$O$3</f>
        <v>65</v>
      </c>
      <c r="S3" s="11" t="s">
        <v>30</v>
      </c>
      <c r="T3" s="11"/>
      <c r="U3" s="11">
        <f>37914+219600+6679</f>
        <v>264193</v>
      </c>
      <c r="V3" s="11" t="s">
        <v>244</v>
      </c>
      <c r="W3" s="54">
        <f>U3/Q3</f>
        <v>40.645076923076921</v>
      </c>
      <c r="X3" s="65">
        <v>4</v>
      </c>
      <c r="Y3" s="54">
        <f>U3/(4*25)</f>
        <v>2641.93</v>
      </c>
      <c r="Z3" s="11"/>
      <c r="AA3" s="11"/>
      <c r="AB3" s="11"/>
      <c r="AC3" s="12"/>
    </row>
    <row r="4" spans="1:29" ht="40.049999999999997" customHeight="1" x14ac:dyDescent="0.3">
      <c r="A4" s="11">
        <v>1</v>
      </c>
      <c r="B4" s="11" t="s">
        <v>684</v>
      </c>
      <c r="E4" s="11" t="s">
        <v>395</v>
      </c>
      <c r="F4" s="11"/>
      <c r="G4" s="11" t="s">
        <v>58</v>
      </c>
      <c r="H4" s="11" t="s">
        <v>396</v>
      </c>
      <c r="I4" s="11" t="s">
        <v>70</v>
      </c>
      <c r="J4" s="11" t="s">
        <v>397</v>
      </c>
      <c r="K4" s="11"/>
      <c r="L4" s="11"/>
      <c r="M4" s="11">
        <v>13</v>
      </c>
      <c r="N4" s="11">
        <v>25</v>
      </c>
      <c r="O4" s="11">
        <v>100</v>
      </c>
      <c r="P4" s="11"/>
      <c r="Q4" s="11">
        <f>260*25</f>
        <v>6500</v>
      </c>
      <c r="R4" s="65">
        <f>Q4/$O$3</f>
        <v>65</v>
      </c>
      <c r="S4" s="11" t="s">
        <v>67</v>
      </c>
      <c r="T4" s="11"/>
      <c r="U4" s="11">
        <v>52515</v>
      </c>
      <c r="V4" s="11" t="s">
        <v>244</v>
      </c>
      <c r="W4" s="54">
        <f t="shared" si="0"/>
        <v>8.0792307692307688</v>
      </c>
      <c r="X4" s="65">
        <v>4</v>
      </c>
      <c r="Y4" s="54">
        <f>U4/(4*25)</f>
        <v>525.15</v>
      </c>
      <c r="Z4" s="11"/>
      <c r="AA4" s="11"/>
      <c r="AB4" s="11"/>
      <c r="AC4" s="12"/>
    </row>
    <row r="5" spans="1:29" ht="40.049999999999997" customHeight="1" x14ac:dyDescent="0.3">
      <c r="A5" s="11">
        <v>1</v>
      </c>
      <c r="B5" s="11" t="s">
        <v>684</v>
      </c>
      <c r="E5" s="11" t="s">
        <v>395</v>
      </c>
      <c r="F5" s="11"/>
      <c r="G5" s="11" t="s">
        <v>215</v>
      </c>
      <c r="H5" s="11" t="s">
        <v>396</v>
      </c>
      <c r="I5" s="11" t="s">
        <v>441</v>
      </c>
      <c r="J5" s="11" t="s">
        <v>400</v>
      </c>
      <c r="K5" s="11" t="s">
        <v>399</v>
      </c>
      <c r="L5" s="11"/>
      <c r="M5" s="11">
        <v>3</v>
      </c>
      <c r="N5" s="11">
        <v>10</v>
      </c>
      <c r="O5" s="11" t="s">
        <v>471</v>
      </c>
      <c r="P5" s="11">
        <f>570*N5</f>
        <v>5700</v>
      </c>
      <c r="Q5" s="11">
        <f>110*N5</f>
        <v>1100</v>
      </c>
      <c r="R5" s="65">
        <f>Q5/$O$6</f>
        <v>22</v>
      </c>
      <c r="S5" s="11" t="s">
        <v>65</v>
      </c>
      <c r="T5" s="11"/>
      <c r="U5" s="11">
        <f>283200+1202400+172800</f>
        <v>1658400</v>
      </c>
      <c r="V5" s="11" t="s">
        <v>244</v>
      </c>
      <c r="W5" s="54">
        <f t="shared" si="0"/>
        <v>1507.6363636363637</v>
      </c>
      <c r="X5" s="65">
        <v>3</v>
      </c>
      <c r="Y5" s="54">
        <f>U5/(5*10)</f>
        <v>33168</v>
      </c>
      <c r="Z5" s="11"/>
      <c r="AA5" s="11"/>
      <c r="AB5" s="11"/>
      <c r="AC5" s="12">
        <v>110</v>
      </c>
    </row>
    <row r="6" spans="1:29" ht="40.049999999999997" customHeight="1" x14ac:dyDescent="0.3">
      <c r="A6" s="11">
        <v>1</v>
      </c>
      <c r="B6" s="11" t="s">
        <v>684</v>
      </c>
      <c r="E6" s="11" t="s">
        <v>395</v>
      </c>
      <c r="F6" s="11"/>
      <c r="G6" s="11" t="s">
        <v>215</v>
      </c>
      <c r="H6" s="11" t="s">
        <v>396</v>
      </c>
      <c r="I6" s="11" t="s">
        <v>441</v>
      </c>
      <c r="J6" s="11" t="s">
        <v>400</v>
      </c>
      <c r="K6" s="11"/>
      <c r="L6" s="11"/>
      <c r="M6" s="11">
        <v>3</v>
      </c>
      <c r="N6" s="11">
        <v>10</v>
      </c>
      <c r="O6" s="11">
        <f>5*N6</f>
        <v>50</v>
      </c>
      <c r="P6" s="11"/>
      <c r="Q6" s="11">
        <f>110*N6</f>
        <v>1100</v>
      </c>
      <c r="R6" s="65">
        <f>Q6/$O$6</f>
        <v>22</v>
      </c>
      <c r="S6" s="11" t="s">
        <v>30</v>
      </c>
      <c r="T6" s="11"/>
      <c r="U6" s="11">
        <f>12200+63014+7839</f>
        <v>83053</v>
      </c>
      <c r="V6" s="11" t="s">
        <v>244</v>
      </c>
      <c r="W6" s="54">
        <f t="shared" si="0"/>
        <v>75.50272727272727</v>
      </c>
      <c r="X6" s="65">
        <v>3</v>
      </c>
      <c r="Y6" s="54">
        <f>U6/(5*10)</f>
        <v>1661.06</v>
      </c>
      <c r="Z6" s="11"/>
      <c r="AA6" s="11"/>
      <c r="AB6" s="11"/>
      <c r="AC6" s="12"/>
    </row>
    <row r="7" spans="1:29" ht="40.049999999999997" customHeight="1" x14ac:dyDescent="0.3">
      <c r="A7" s="11">
        <v>1</v>
      </c>
      <c r="B7" s="11" t="s">
        <v>684</v>
      </c>
      <c r="E7" s="11" t="s">
        <v>395</v>
      </c>
      <c r="F7" s="11"/>
      <c r="G7" s="11" t="s">
        <v>215</v>
      </c>
      <c r="H7" s="11" t="s">
        <v>396</v>
      </c>
      <c r="I7" s="11" t="s">
        <v>441</v>
      </c>
      <c r="J7" s="11" t="s">
        <v>400</v>
      </c>
      <c r="K7" s="11"/>
      <c r="L7" s="11"/>
      <c r="M7" s="11">
        <v>3</v>
      </c>
      <c r="N7" s="11">
        <v>10</v>
      </c>
      <c r="O7" s="11">
        <v>50</v>
      </c>
      <c r="P7" s="11"/>
      <c r="Q7" s="11">
        <f>110*N7</f>
        <v>1100</v>
      </c>
      <c r="R7" s="65">
        <f>Q7/$O$6</f>
        <v>22</v>
      </c>
      <c r="S7" s="11" t="s">
        <v>67</v>
      </c>
      <c r="T7" s="11"/>
      <c r="U7" s="11">
        <v>10530</v>
      </c>
      <c r="V7" s="11" t="s">
        <v>244</v>
      </c>
      <c r="W7" s="54">
        <f t="shared" si="0"/>
        <v>9.5727272727272723</v>
      </c>
      <c r="X7" s="65">
        <v>3</v>
      </c>
      <c r="Y7" s="54">
        <f>U7/(5*10)</f>
        <v>210.6</v>
      </c>
      <c r="Z7" s="11"/>
      <c r="AA7" s="11"/>
      <c r="AB7" s="11"/>
      <c r="AC7"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7"/>
  <sheetViews>
    <sheetView zoomScaleNormal="100" workbookViewId="0">
      <selection activeCell="C8" sqref="C8"/>
    </sheetView>
  </sheetViews>
  <sheetFormatPr defaultColWidth="8.77734375" defaultRowHeight="14.4" x14ac:dyDescent="0.3"/>
  <cols>
    <col min="1" max="1" width="7.21875" customWidth="1"/>
    <col min="2" max="2" width="12.77734375" customWidth="1"/>
    <col min="3" max="3" width="43.21875" customWidth="1"/>
    <col min="4" max="4" width="20.21875" customWidth="1"/>
    <col min="5" max="5" width="17" customWidth="1"/>
    <col min="6" max="6" width="22" customWidth="1"/>
    <col min="7" max="7" width="20.44140625" customWidth="1"/>
    <col min="8" max="8" width="13.44140625" customWidth="1"/>
    <col min="9" max="9" width="12.77734375" customWidth="1"/>
  </cols>
  <sheetData>
    <row r="1" spans="1:9" x14ac:dyDescent="0.3">
      <c r="C1" s="1"/>
    </row>
    <row r="2" spans="1:9" ht="24" customHeight="1" x14ac:dyDescent="0.3">
      <c r="B2" s="92" t="s">
        <v>868</v>
      </c>
    </row>
    <row r="3" spans="1:9" ht="32.1" customHeight="1" x14ac:dyDescent="0.3">
      <c r="A3" s="5"/>
      <c r="B3" s="9" t="s">
        <v>291</v>
      </c>
      <c r="C3" s="15" t="s">
        <v>234</v>
      </c>
      <c r="D3" s="12" t="s">
        <v>611</v>
      </c>
      <c r="E3" s="12" t="s">
        <v>612</v>
      </c>
      <c r="F3" s="12" t="s">
        <v>609</v>
      </c>
      <c r="G3" s="12" t="s">
        <v>610</v>
      </c>
      <c r="H3" s="12" t="s">
        <v>237</v>
      </c>
      <c r="I3" s="12" t="s">
        <v>215</v>
      </c>
    </row>
    <row r="4" spans="1:9" ht="26.1" customHeight="1" x14ac:dyDescent="0.3">
      <c r="A4" s="33"/>
      <c r="B4" s="26"/>
      <c r="C4" s="25" t="s">
        <v>8</v>
      </c>
      <c r="D4" s="22" t="s">
        <v>232</v>
      </c>
      <c r="E4" s="28"/>
      <c r="F4" s="22"/>
      <c r="G4" s="22" t="s">
        <v>232</v>
      </c>
      <c r="H4" s="22" t="s">
        <v>232</v>
      </c>
      <c r="I4" s="27"/>
    </row>
    <row r="5" spans="1:9" ht="25.05" customHeight="1" x14ac:dyDescent="0.3">
      <c r="A5" s="32"/>
      <c r="B5" s="45"/>
      <c r="C5" s="25" t="s">
        <v>10</v>
      </c>
      <c r="D5" s="22" t="s">
        <v>232</v>
      </c>
      <c r="E5" s="28"/>
      <c r="F5" s="22" t="s">
        <v>232</v>
      </c>
      <c r="G5" s="22" t="s">
        <v>232</v>
      </c>
      <c r="H5" s="22" t="s">
        <v>232</v>
      </c>
      <c r="I5" s="27"/>
    </row>
    <row r="6" spans="1:9" ht="25.05" customHeight="1" x14ac:dyDescent="0.3">
      <c r="A6" s="32"/>
      <c r="B6" s="44"/>
      <c r="C6" s="30" t="s">
        <v>11</v>
      </c>
      <c r="D6" s="22"/>
      <c r="E6" s="28"/>
      <c r="F6" s="22"/>
      <c r="G6" s="22"/>
      <c r="H6" s="22"/>
      <c r="I6" s="27"/>
    </row>
    <row r="7" spans="1:9" ht="25.05" customHeight="1" x14ac:dyDescent="0.3">
      <c r="A7" s="32"/>
      <c r="B7" s="44"/>
      <c r="C7" s="113" t="s">
        <v>12</v>
      </c>
      <c r="D7" s="51" t="s">
        <v>232</v>
      </c>
      <c r="E7" s="50" t="s">
        <v>232</v>
      </c>
      <c r="F7" s="51"/>
      <c r="G7" s="51"/>
      <c r="H7" s="51"/>
      <c r="I7" s="49"/>
    </row>
    <row r="8" spans="1:9" ht="25.05" customHeight="1" x14ac:dyDescent="0.3">
      <c r="A8" s="32"/>
      <c r="B8" s="45"/>
      <c r="C8" s="23" t="s">
        <v>9</v>
      </c>
      <c r="D8" s="17" t="s">
        <v>232</v>
      </c>
      <c r="E8" s="18"/>
      <c r="F8" s="17" t="s">
        <v>232</v>
      </c>
      <c r="G8" s="17" t="s">
        <v>232</v>
      </c>
      <c r="H8" s="17" t="s">
        <v>232</v>
      </c>
      <c r="I8" s="16"/>
    </row>
    <row r="9" spans="1:9" ht="25.05" customHeight="1" x14ac:dyDescent="0.3">
      <c r="A9" s="32"/>
      <c r="B9" s="45"/>
      <c r="C9" s="29" t="s">
        <v>272</v>
      </c>
      <c r="D9" s="22" t="s">
        <v>232</v>
      </c>
      <c r="E9" s="22" t="s">
        <v>232</v>
      </c>
      <c r="F9" s="22" t="s">
        <v>232</v>
      </c>
      <c r="G9" s="22"/>
      <c r="H9" s="22" t="s">
        <v>232</v>
      </c>
      <c r="I9" s="27"/>
    </row>
    <row r="10" spans="1:9" ht="25.05" customHeight="1" x14ac:dyDescent="0.3">
      <c r="A10" s="32"/>
      <c r="B10" s="44"/>
      <c r="C10" s="30" t="s">
        <v>14</v>
      </c>
      <c r="D10" s="22"/>
      <c r="E10" s="28"/>
      <c r="F10" s="22"/>
      <c r="G10" s="22"/>
      <c r="H10" s="22"/>
      <c r="I10" s="27"/>
    </row>
    <row r="11" spans="1:9" ht="25.05" customHeight="1" x14ac:dyDescent="0.3">
      <c r="A11" s="33"/>
      <c r="B11" s="31"/>
      <c r="C11" s="25" t="s">
        <v>617</v>
      </c>
      <c r="D11" s="22" t="s">
        <v>232</v>
      </c>
      <c r="E11" s="28"/>
      <c r="F11" s="22" t="s">
        <v>232</v>
      </c>
      <c r="G11" s="22"/>
      <c r="H11" s="22" t="s">
        <v>232</v>
      </c>
      <c r="I11" s="27"/>
    </row>
    <row r="12" spans="1:9" ht="25.05" customHeight="1" x14ac:dyDescent="0.3">
      <c r="A12" s="32"/>
      <c r="B12" s="44"/>
      <c r="C12" s="48" t="s">
        <v>236</v>
      </c>
      <c r="D12" s="51"/>
      <c r="E12" s="50"/>
      <c r="F12" s="51"/>
      <c r="G12" s="51"/>
      <c r="H12" s="51"/>
      <c r="I12" s="49"/>
    </row>
    <row r="13" spans="1:9" ht="25.05" customHeight="1" x14ac:dyDescent="0.3">
      <c r="A13" s="32"/>
      <c r="B13" s="43"/>
      <c r="C13" s="25" t="s">
        <v>239</v>
      </c>
      <c r="D13" s="22" t="s">
        <v>232</v>
      </c>
      <c r="E13" s="28"/>
      <c r="F13" s="22"/>
      <c r="G13" s="22" t="s">
        <v>232</v>
      </c>
      <c r="H13" s="22" t="s">
        <v>232</v>
      </c>
      <c r="I13" s="27" t="s">
        <v>232</v>
      </c>
    </row>
    <row r="14" spans="1:9" ht="25.05" customHeight="1" x14ac:dyDescent="0.3">
      <c r="A14" s="32"/>
      <c r="B14" s="45"/>
      <c r="C14" s="25" t="s">
        <v>230</v>
      </c>
      <c r="D14" s="22" t="s">
        <v>232</v>
      </c>
      <c r="E14" s="28" t="s">
        <v>232</v>
      </c>
      <c r="F14" s="22" t="s">
        <v>232</v>
      </c>
      <c r="G14" s="22" t="s">
        <v>232</v>
      </c>
      <c r="H14" s="22" t="s">
        <v>232</v>
      </c>
      <c r="I14" s="27" t="s">
        <v>232</v>
      </c>
    </row>
    <row r="15" spans="1:9" ht="25.05" customHeight="1" x14ac:dyDescent="0.3">
      <c r="A15" s="32"/>
      <c r="B15" s="45"/>
      <c r="C15" s="25" t="s">
        <v>231</v>
      </c>
      <c r="D15" s="22" t="s">
        <v>232</v>
      </c>
      <c r="E15" s="28"/>
      <c r="F15" s="22" t="s">
        <v>232</v>
      </c>
      <c r="G15" s="22" t="s">
        <v>232</v>
      </c>
      <c r="H15" s="22" t="s">
        <v>232</v>
      </c>
      <c r="I15" s="27"/>
    </row>
    <row r="16" spans="1:9" ht="25.05" customHeight="1" x14ac:dyDescent="0.3">
      <c r="A16" s="32"/>
      <c r="B16" s="31"/>
      <c r="C16" s="25" t="s">
        <v>15</v>
      </c>
      <c r="D16" s="22"/>
      <c r="E16" s="28"/>
      <c r="F16" s="22" t="s">
        <v>232</v>
      </c>
      <c r="G16" s="22" t="s">
        <v>232</v>
      </c>
      <c r="H16" s="22" t="s">
        <v>232</v>
      </c>
      <c r="I16" s="27" t="s">
        <v>232</v>
      </c>
    </row>
    <row r="17" spans="1:9" ht="25.05" customHeight="1" x14ac:dyDescent="0.3">
      <c r="A17" s="32"/>
      <c r="B17" s="44"/>
      <c r="C17" s="30" t="s">
        <v>16</v>
      </c>
      <c r="D17" s="22"/>
      <c r="E17" s="28"/>
      <c r="F17" s="22"/>
      <c r="G17" s="22"/>
      <c r="H17" s="22"/>
      <c r="I17" s="27"/>
    </row>
    <row r="18" spans="1:9" ht="25.05" customHeight="1" x14ac:dyDescent="0.3">
      <c r="A18" s="32"/>
      <c r="B18" s="44"/>
      <c r="C18" s="30" t="s">
        <v>506</v>
      </c>
      <c r="D18" s="22"/>
      <c r="E18" s="28"/>
      <c r="F18" s="22"/>
      <c r="G18" s="22"/>
      <c r="H18" s="22"/>
      <c r="I18" s="27"/>
    </row>
    <row r="19" spans="1:9" ht="25.05" customHeight="1" x14ac:dyDescent="0.3">
      <c r="A19" s="32"/>
      <c r="B19" s="44"/>
      <c r="C19" s="30" t="s">
        <v>27</v>
      </c>
      <c r="D19" s="27"/>
      <c r="E19" s="28"/>
      <c r="F19" s="22"/>
      <c r="G19" s="22"/>
      <c r="H19" s="22"/>
      <c r="I19" s="27"/>
    </row>
    <row r="20" spans="1:9" ht="25.05" customHeight="1" x14ac:dyDescent="0.3">
      <c r="A20" s="5"/>
      <c r="B20" s="31"/>
      <c r="C20" s="29" t="s">
        <v>238</v>
      </c>
      <c r="D20" s="27" t="s">
        <v>232</v>
      </c>
      <c r="E20" s="28"/>
      <c r="F20" s="22" t="s">
        <v>232</v>
      </c>
      <c r="G20" s="22"/>
      <c r="H20" s="22" t="s">
        <v>232</v>
      </c>
      <c r="I20" s="27"/>
    </row>
    <row r="21" spans="1:9" ht="25.05" customHeight="1" x14ac:dyDescent="0.3">
      <c r="A21" s="32"/>
      <c r="B21" s="45"/>
      <c r="C21" s="25" t="s">
        <v>25</v>
      </c>
      <c r="D21" s="27" t="s">
        <v>232</v>
      </c>
      <c r="E21" s="28"/>
      <c r="F21" s="22" t="s">
        <v>232</v>
      </c>
      <c r="G21" s="22" t="s">
        <v>232</v>
      </c>
      <c r="H21" s="22" t="s">
        <v>232</v>
      </c>
      <c r="I21" s="27"/>
    </row>
    <row r="22" spans="1:9" ht="25.05" customHeight="1" x14ac:dyDescent="0.3">
      <c r="A22" s="32"/>
      <c r="B22" s="46"/>
      <c r="C22" s="23" t="s">
        <v>24</v>
      </c>
      <c r="D22" s="16"/>
      <c r="E22" s="18"/>
      <c r="F22" s="17" t="s">
        <v>232</v>
      </c>
      <c r="G22" s="17" t="s">
        <v>232</v>
      </c>
      <c r="H22" s="17" t="s">
        <v>232</v>
      </c>
      <c r="I22" s="16"/>
    </row>
    <row r="23" spans="1:9" ht="25.05" customHeight="1" x14ac:dyDescent="0.3">
      <c r="A23" s="32"/>
      <c r="B23" s="45"/>
      <c r="C23" s="25" t="s">
        <v>23</v>
      </c>
      <c r="D23" s="27" t="s">
        <v>232</v>
      </c>
      <c r="E23" s="28"/>
      <c r="F23" s="22" t="s">
        <v>232</v>
      </c>
      <c r="G23" s="22" t="s">
        <v>232</v>
      </c>
      <c r="H23" s="22" t="s">
        <v>232</v>
      </c>
      <c r="I23" s="27" t="s">
        <v>232</v>
      </c>
    </row>
    <row r="24" spans="1:9" ht="25.05" customHeight="1" x14ac:dyDescent="0.3">
      <c r="A24" s="32"/>
      <c r="B24" s="31"/>
      <c r="C24" s="29" t="s">
        <v>618</v>
      </c>
      <c r="D24" s="27"/>
      <c r="E24" s="28" t="s">
        <v>232</v>
      </c>
      <c r="F24" s="22" t="s">
        <v>232</v>
      </c>
      <c r="G24" s="22"/>
      <c r="H24" s="22" t="s">
        <v>232</v>
      </c>
      <c r="I24" s="27"/>
    </row>
    <row r="25" spans="1:9" ht="25.05" customHeight="1" x14ac:dyDescent="0.3">
      <c r="A25" s="32"/>
      <c r="B25" s="31"/>
      <c r="C25" s="25" t="s">
        <v>18</v>
      </c>
      <c r="D25" s="27" t="s">
        <v>232</v>
      </c>
      <c r="E25" s="28"/>
      <c r="F25" s="22"/>
      <c r="G25" s="22" t="s">
        <v>232</v>
      </c>
      <c r="H25" s="22" t="s">
        <v>232</v>
      </c>
      <c r="I25" s="27"/>
    </row>
    <row r="26" spans="1:9" ht="25.05" customHeight="1" x14ac:dyDescent="0.3">
      <c r="A26" s="32"/>
      <c r="B26" s="43"/>
      <c r="C26" s="25" t="s">
        <v>22</v>
      </c>
      <c r="D26" s="27" t="s">
        <v>232</v>
      </c>
      <c r="E26" s="28"/>
      <c r="F26" s="22"/>
      <c r="G26" s="22" t="s">
        <v>232</v>
      </c>
      <c r="H26" s="22" t="s">
        <v>232</v>
      </c>
      <c r="I26" s="27"/>
    </row>
    <row r="27" spans="1:9" ht="25.05" customHeight="1" x14ac:dyDescent="0.3">
      <c r="A27" s="32"/>
      <c r="B27" s="47"/>
      <c r="C27" s="23" t="s">
        <v>233</v>
      </c>
      <c r="D27" s="16" t="s">
        <v>232</v>
      </c>
      <c r="E27" s="18" t="s">
        <v>232</v>
      </c>
      <c r="F27" s="17" t="s">
        <v>232</v>
      </c>
      <c r="G27" s="17" t="s">
        <v>232</v>
      </c>
      <c r="H27" s="17" t="s">
        <v>232</v>
      </c>
      <c r="I27" s="16"/>
    </row>
    <row r="28" spans="1:9" ht="25.05" customHeight="1" x14ac:dyDescent="0.3">
      <c r="A28" s="32"/>
      <c r="B28" s="43"/>
      <c r="C28" s="23" t="s">
        <v>608</v>
      </c>
      <c r="D28" s="27" t="s">
        <v>232</v>
      </c>
      <c r="E28" s="28"/>
      <c r="F28" s="22"/>
      <c r="G28" s="22" t="s">
        <v>232</v>
      </c>
      <c r="H28" s="22" t="s">
        <v>232</v>
      </c>
      <c r="I28" s="86"/>
    </row>
    <row r="29" spans="1:9" ht="25.05" customHeight="1" x14ac:dyDescent="0.3">
      <c r="A29" s="32"/>
      <c r="B29" s="44"/>
      <c r="C29" s="24" t="s">
        <v>19</v>
      </c>
      <c r="D29" s="16"/>
      <c r="E29" s="20"/>
      <c r="F29" s="19"/>
      <c r="G29" s="19"/>
      <c r="H29" s="19"/>
      <c r="I29" s="21"/>
    </row>
    <row r="30" spans="1:9" x14ac:dyDescent="0.3">
      <c r="A30" s="1"/>
      <c r="B30" s="69"/>
      <c r="C30" s="69"/>
      <c r="D30" s="1"/>
      <c r="E30" s="1"/>
    </row>
    <row r="31" spans="1:9" x14ac:dyDescent="0.3">
      <c r="A31" s="1"/>
      <c r="B31" s="117"/>
      <c r="C31" s="117"/>
      <c r="D31" s="1"/>
      <c r="E31" s="1"/>
    </row>
    <row r="32" spans="1:9" ht="16.05" customHeight="1" x14ac:dyDescent="0.3">
      <c r="A32" s="72"/>
      <c r="B32" s="118" t="s">
        <v>799</v>
      </c>
      <c r="C32" s="119"/>
    </row>
    <row r="33" spans="1:5" x14ac:dyDescent="0.3">
      <c r="A33" s="72"/>
      <c r="B33" s="44"/>
      <c r="C33" s="73" t="s">
        <v>613</v>
      </c>
    </row>
    <row r="34" spans="1:5" x14ac:dyDescent="0.3">
      <c r="A34" s="72"/>
      <c r="B34" s="43"/>
      <c r="C34" s="75" t="s">
        <v>614</v>
      </c>
    </row>
    <row r="35" spans="1:5" x14ac:dyDescent="0.3">
      <c r="A35" s="72"/>
      <c r="B35" s="31"/>
      <c r="C35" s="74" t="s">
        <v>615</v>
      </c>
    </row>
    <row r="36" spans="1:5" x14ac:dyDescent="0.3">
      <c r="A36" s="72"/>
      <c r="B36" s="45"/>
      <c r="C36" s="76" t="s">
        <v>616</v>
      </c>
      <c r="D36" s="1"/>
      <c r="E36" s="1"/>
    </row>
    <row r="37" spans="1:5" x14ac:dyDescent="0.3">
      <c r="B37" s="1"/>
      <c r="D37" s="1"/>
    </row>
  </sheetData>
  <mergeCells count="2">
    <mergeCell ref="B31:C31"/>
    <mergeCell ref="B32:C32"/>
  </mergeCells>
  <pageMargins left="0.7" right="0.7" top="0.75" bottom="0.75" header="0.3" footer="0.3"/>
  <pageSetup paperSize="9" orientation="portrait" horizontalDpi="0" verticalDpi="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AA1"/>
  <sheetViews>
    <sheetView zoomScale="70" zoomScaleNormal="70" workbookViewId="0"/>
  </sheetViews>
  <sheetFormatPr defaultColWidth="8.77734375" defaultRowHeight="14.4" x14ac:dyDescent="0.3"/>
  <cols>
    <col min="1" max="1" width="4.44140625" customWidth="1"/>
    <col min="2" max="2" width="10.77734375" customWidth="1"/>
    <col min="3" max="4" width="13" customWidth="1"/>
    <col min="5" max="6" width="25" customWidth="1"/>
    <col min="8" max="8" width="16.21875" customWidth="1"/>
    <col min="9" max="9" width="27.77734375" customWidth="1"/>
    <col min="10" max="10" width="16" customWidth="1"/>
    <col min="11" max="11" width="12.44140625" customWidth="1"/>
    <col min="12" max="13" width="22.44140625" customWidth="1"/>
    <col min="14" max="14" width="23" customWidth="1"/>
    <col min="15" max="15" width="13.21875" customWidth="1"/>
    <col min="16" max="16" width="13.44140625" customWidth="1"/>
    <col min="17" max="17" width="12.21875" customWidth="1"/>
    <col min="18" max="18" width="13.21875" customWidth="1"/>
    <col min="19" max="19" width="11.44140625" customWidth="1"/>
    <col min="21" max="21" width="12.77734375" customWidth="1"/>
    <col min="24" max="24" width="10.21875" customWidth="1"/>
  </cols>
  <sheetData>
    <row r="1" spans="1:27"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9" t="s">
        <v>195</v>
      </c>
      <c r="P1" s="56" t="s">
        <v>194</v>
      </c>
      <c r="Q1" s="56" t="s">
        <v>415</v>
      </c>
      <c r="R1" s="56" t="s">
        <v>416</v>
      </c>
      <c r="S1" s="56" t="s">
        <v>193</v>
      </c>
      <c r="T1" s="56" t="s">
        <v>421</v>
      </c>
      <c r="U1" s="56" t="s">
        <v>521</v>
      </c>
      <c r="V1" s="56" t="s">
        <v>192</v>
      </c>
      <c r="W1" s="56" t="s">
        <v>386</v>
      </c>
      <c r="X1" s="56" t="s">
        <v>418</v>
      </c>
      <c r="Y1" s="56" t="s">
        <v>242</v>
      </c>
      <c r="Z1" s="59" t="s">
        <v>191</v>
      </c>
      <c r="AA1" s="62" t="s">
        <v>190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A1:AA1"/>
  <sheetViews>
    <sheetView zoomScale="55" zoomScaleNormal="55" workbookViewId="0"/>
  </sheetViews>
  <sheetFormatPr defaultColWidth="8.77734375" defaultRowHeight="14.4" x14ac:dyDescent="0.3"/>
  <cols>
    <col min="1" max="1" width="4.77734375" customWidth="1"/>
    <col min="2" max="2" width="10.77734375" customWidth="1"/>
    <col min="3" max="4" width="13" customWidth="1"/>
    <col min="5" max="6" width="25" customWidth="1"/>
    <col min="8" max="8" width="16.21875" customWidth="1"/>
    <col min="9" max="9" width="27.77734375" customWidth="1"/>
    <col min="10" max="10" width="16" customWidth="1"/>
    <col min="11" max="11" width="12.44140625" customWidth="1"/>
    <col min="12" max="13" width="22.44140625" customWidth="1"/>
    <col min="14" max="14" width="23" customWidth="1"/>
    <col min="15" max="15" width="13.21875" customWidth="1"/>
    <col min="16" max="16" width="13.44140625" customWidth="1"/>
    <col min="17" max="17" width="12.21875" customWidth="1"/>
    <col min="18" max="18" width="13.21875" customWidth="1"/>
    <col min="19" max="19" width="11.44140625" customWidth="1"/>
    <col min="21" max="21" width="11.21875" customWidth="1"/>
    <col min="24" max="24" width="10.21875" customWidth="1"/>
  </cols>
  <sheetData>
    <row r="1" spans="1:27"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9" t="s">
        <v>195</v>
      </c>
      <c r="P1" s="56" t="s">
        <v>194</v>
      </c>
      <c r="Q1" s="56" t="s">
        <v>415</v>
      </c>
      <c r="R1" s="56" t="s">
        <v>416</v>
      </c>
      <c r="S1" s="56" t="s">
        <v>193</v>
      </c>
      <c r="T1" s="56" t="s">
        <v>421</v>
      </c>
      <c r="U1" s="56" t="s">
        <v>521</v>
      </c>
      <c r="V1" s="56" t="s">
        <v>192</v>
      </c>
      <c r="W1" s="56" t="s">
        <v>386</v>
      </c>
      <c r="X1" s="56" t="s">
        <v>418</v>
      </c>
      <c r="Y1" s="56" t="s">
        <v>242</v>
      </c>
      <c r="Z1" s="56" t="s">
        <v>191</v>
      </c>
      <c r="AA1" s="62" t="s">
        <v>190</v>
      </c>
    </row>
  </sheetData>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AA1"/>
  <sheetViews>
    <sheetView zoomScale="70" zoomScaleNormal="70" workbookViewId="0"/>
  </sheetViews>
  <sheetFormatPr defaultColWidth="8.77734375" defaultRowHeight="14.4" x14ac:dyDescent="0.3"/>
  <cols>
    <col min="1" max="1" width="4.77734375" customWidth="1"/>
    <col min="2" max="2" width="10.77734375" customWidth="1"/>
    <col min="3" max="4" width="13" customWidth="1"/>
    <col min="5" max="6" width="25" customWidth="1"/>
    <col min="8" max="8" width="16.21875" customWidth="1"/>
    <col min="9" max="9" width="27.77734375" customWidth="1"/>
    <col min="10" max="10" width="16" customWidth="1"/>
    <col min="11" max="11" width="12.44140625" customWidth="1"/>
    <col min="12" max="13" width="22.44140625" customWidth="1"/>
    <col min="14" max="14" width="23" customWidth="1"/>
    <col min="15" max="15" width="13.21875" customWidth="1"/>
    <col min="16" max="16" width="13.44140625" customWidth="1"/>
    <col min="17" max="17" width="12.21875" customWidth="1"/>
    <col min="18" max="18" width="13.21875" customWidth="1"/>
    <col min="19" max="19" width="11.44140625" customWidth="1"/>
    <col min="21" max="21" width="11.21875" customWidth="1"/>
    <col min="24" max="24" width="10.21875" customWidth="1"/>
  </cols>
  <sheetData>
    <row r="1" spans="1:27"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9" t="s">
        <v>195</v>
      </c>
      <c r="P1" s="56" t="s">
        <v>194</v>
      </c>
      <c r="Q1" s="56" t="s">
        <v>415</v>
      </c>
      <c r="R1" s="56" t="s">
        <v>416</v>
      </c>
      <c r="S1" s="56" t="s">
        <v>193</v>
      </c>
      <c r="T1" s="56" t="s">
        <v>421</v>
      </c>
      <c r="U1" s="56" t="s">
        <v>521</v>
      </c>
      <c r="V1" s="56" t="s">
        <v>192</v>
      </c>
      <c r="W1" s="56" t="s">
        <v>386</v>
      </c>
      <c r="X1" s="56" t="s">
        <v>418</v>
      </c>
      <c r="Y1" s="56" t="s">
        <v>242</v>
      </c>
      <c r="Z1" s="56" t="s">
        <v>191</v>
      </c>
      <c r="AA1" s="56" t="s">
        <v>190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AC13"/>
  <sheetViews>
    <sheetView zoomScaleNormal="100" workbookViewId="0">
      <selection activeCell="K10" sqref="K10"/>
    </sheetView>
  </sheetViews>
  <sheetFormatPr defaultColWidth="9.21875" defaultRowHeight="14.4" x14ac:dyDescent="0.3"/>
  <cols>
    <col min="1" max="1" width="4.44140625" style="12" customWidth="1"/>
    <col min="2" max="2" width="14.77734375" style="12" customWidth="1"/>
    <col min="3" max="3" width="32.21875" style="12" customWidth="1"/>
    <col min="4" max="4" width="20.44140625" style="12" customWidth="1"/>
    <col min="5" max="6" width="28.44140625" style="11" customWidth="1"/>
    <col min="7" max="7" width="9.21875" style="11"/>
    <col min="8" max="8" width="16.21875" style="12" customWidth="1"/>
    <col min="9" max="9" width="27.77734375" style="12" customWidth="1"/>
    <col min="10" max="10" width="16" style="12" customWidth="1"/>
    <col min="11" max="11" width="47" style="12" customWidth="1"/>
    <col min="12" max="13" width="22.44140625" style="12" customWidth="1"/>
    <col min="14" max="14" width="23" style="12" customWidth="1"/>
    <col min="15" max="15" width="13.21875" style="12" customWidth="1"/>
    <col min="16" max="16" width="13.44140625" style="12" customWidth="1"/>
    <col min="17" max="18" width="12.21875" style="12" customWidth="1"/>
    <col min="19" max="19" width="13.21875" style="12" customWidth="1"/>
    <col min="20" max="22" width="11.44140625" style="12" customWidth="1"/>
    <col min="23" max="23" width="12.77734375" style="34" customWidth="1"/>
    <col min="24" max="25" width="9.21875" style="12"/>
    <col min="26" max="26" width="15.77734375" style="12" bestFit="1" customWidth="1"/>
    <col min="27" max="27" width="10.21875" style="12" customWidth="1"/>
    <col min="28" max="28" width="30.77734375" style="11" customWidth="1"/>
    <col min="29" max="29" width="22.21875" style="12" customWidth="1"/>
    <col min="30" max="16384" width="9.21875" style="12"/>
  </cols>
  <sheetData>
    <row r="1" spans="1:29" ht="53.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241</v>
      </c>
      <c r="R1" s="56" t="s">
        <v>416</v>
      </c>
      <c r="S1" s="56" t="s">
        <v>193</v>
      </c>
      <c r="T1" s="56" t="s">
        <v>421</v>
      </c>
      <c r="U1" s="56" t="s">
        <v>521</v>
      </c>
      <c r="V1" s="56" t="s">
        <v>192</v>
      </c>
      <c r="W1" s="56" t="s">
        <v>386</v>
      </c>
      <c r="X1" s="56" t="s">
        <v>418</v>
      </c>
      <c r="Y1" s="56" t="s">
        <v>192</v>
      </c>
      <c r="Z1" s="56" t="s">
        <v>242</v>
      </c>
      <c r="AA1" s="56" t="s">
        <v>191</v>
      </c>
      <c r="AB1" s="56" t="s">
        <v>947</v>
      </c>
      <c r="AC1" s="56" t="s">
        <v>638</v>
      </c>
    </row>
    <row r="2" spans="1:29" ht="40.049999999999997" customHeight="1" x14ac:dyDescent="0.3">
      <c r="A2" s="11">
        <v>1</v>
      </c>
      <c r="B2" s="11" t="s">
        <v>688</v>
      </c>
      <c r="C2" s="11" t="s">
        <v>401</v>
      </c>
      <c r="D2" s="11" t="s">
        <v>828</v>
      </c>
      <c r="E2" s="11" t="s">
        <v>555</v>
      </c>
      <c r="F2" s="11" t="s">
        <v>556</v>
      </c>
      <c r="G2" s="11" t="s">
        <v>58</v>
      </c>
      <c r="H2" s="11"/>
      <c r="I2" s="11" t="s">
        <v>441</v>
      </c>
      <c r="J2" s="11" t="s">
        <v>402</v>
      </c>
      <c r="K2" s="11" t="s">
        <v>403</v>
      </c>
      <c r="L2" s="11" t="s">
        <v>830</v>
      </c>
      <c r="M2" s="11">
        <v>4</v>
      </c>
      <c r="N2" s="11">
        <v>8</v>
      </c>
      <c r="O2" s="11">
        <f>4*N2</f>
        <v>32</v>
      </c>
      <c r="P2" s="11"/>
      <c r="Q2" s="11">
        <v>904</v>
      </c>
      <c r="R2" s="11">
        <f t="shared" ref="R2:R8" si="0">Q2/O2</f>
        <v>28.25</v>
      </c>
      <c r="S2" s="11" t="s">
        <v>65</v>
      </c>
      <c r="T2" s="10">
        <v>2320</v>
      </c>
      <c r="U2" s="54">
        <f>240.5+510.1</f>
        <v>750.6</v>
      </c>
      <c r="V2" s="11" t="s">
        <v>1</v>
      </c>
      <c r="W2" s="54">
        <f>T2*U2/Q2</f>
        <v>1926.3185840707965</v>
      </c>
      <c r="X2" s="11">
        <v>3</v>
      </c>
      <c r="Y2" s="11" t="s">
        <v>244</v>
      </c>
      <c r="Z2" s="54">
        <f t="shared" ref="Z2:Z13" si="1">U2/O2</f>
        <v>23.456250000000001</v>
      </c>
      <c r="AA2" s="11" t="s">
        <v>248</v>
      </c>
      <c r="AB2" s="11" t="s">
        <v>405</v>
      </c>
      <c r="AC2" s="12" t="s">
        <v>404</v>
      </c>
    </row>
    <row r="3" spans="1:29" ht="40.049999999999997" customHeight="1" x14ac:dyDescent="0.3">
      <c r="A3" s="11">
        <v>1</v>
      </c>
      <c r="B3" s="11" t="s">
        <v>687</v>
      </c>
      <c r="C3" s="11"/>
      <c r="D3" s="11"/>
      <c r="E3" s="11" t="s">
        <v>555</v>
      </c>
      <c r="G3" s="11" t="s">
        <v>58</v>
      </c>
      <c r="H3" s="11"/>
      <c r="I3" s="11" t="s">
        <v>441</v>
      </c>
      <c r="J3" s="11" t="s">
        <v>402</v>
      </c>
      <c r="K3" s="11"/>
      <c r="L3" s="11" t="s">
        <v>831</v>
      </c>
      <c r="M3" s="11">
        <v>4</v>
      </c>
      <c r="N3" s="11">
        <v>8</v>
      </c>
      <c r="O3" s="11">
        <f>4*N3</f>
        <v>32</v>
      </c>
      <c r="P3" s="11"/>
      <c r="Q3" s="11">
        <f>113*N3</f>
        <v>904</v>
      </c>
      <c r="R3" s="11">
        <f t="shared" si="0"/>
        <v>28.25</v>
      </c>
      <c r="S3" s="11" t="s">
        <v>30</v>
      </c>
      <c r="T3" s="11">
        <v>7850</v>
      </c>
      <c r="U3" s="54">
        <v>38.6</v>
      </c>
      <c r="V3" s="11" t="s">
        <v>1</v>
      </c>
      <c r="W3" s="54">
        <f>T3*U3/Q3</f>
        <v>335.18805309734512</v>
      </c>
      <c r="X3" s="11">
        <v>3</v>
      </c>
      <c r="Y3" s="11" t="s">
        <v>244</v>
      </c>
      <c r="Z3" s="54">
        <f t="shared" si="1"/>
        <v>1.20625</v>
      </c>
      <c r="AA3" s="11" t="s">
        <v>248</v>
      </c>
    </row>
    <row r="4" spans="1:29" ht="40.049999999999997" customHeight="1" x14ac:dyDescent="0.3">
      <c r="A4" s="11">
        <v>2</v>
      </c>
      <c r="B4" s="11" t="s">
        <v>689</v>
      </c>
      <c r="C4" s="11" t="s">
        <v>829</v>
      </c>
      <c r="D4" s="11"/>
      <c r="E4" s="11" t="s">
        <v>558</v>
      </c>
      <c r="G4" s="11" t="s">
        <v>58</v>
      </c>
      <c r="H4" s="11"/>
      <c r="I4" s="11" t="s">
        <v>391</v>
      </c>
      <c r="J4" s="11" t="s">
        <v>402</v>
      </c>
      <c r="K4" s="11"/>
      <c r="L4" s="11">
        <v>2013</v>
      </c>
      <c r="M4" s="11">
        <v>2</v>
      </c>
      <c r="N4" s="11">
        <v>1</v>
      </c>
      <c r="O4" s="11">
        <f>4*N4</f>
        <v>4</v>
      </c>
      <c r="P4" s="61">
        <v>367.3</v>
      </c>
      <c r="Q4" s="11">
        <f t="shared" ref="Q4:Q13" si="2">P4*0.9</f>
        <v>330.57</v>
      </c>
      <c r="R4" s="11">
        <f t="shared" si="0"/>
        <v>82.642499999999998</v>
      </c>
      <c r="S4" s="11" t="s">
        <v>65</v>
      </c>
      <c r="T4" s="11"/>
      <c r="U4" s="54">
        <v>1012340</v>
      </c>
      <c r="V4" s="11" t="s">
        <v>244</v>
      </c>
      <c r="W4" s="54">
        <f>U4/Q4</f>
        <v>3062.4073569894426</v>
      </c>
      <c r="X4" s="11">
        <v>1</v>
      </c>
      <c r="Y4" s="11" t="s">
        <v>244</v>
      </c>
      <c r="Z4" s="54">
        <f t="shared" si="1"/>
        <v>253085</v>
      </c>
      <c r="AA4" s="11" t="s">
        <v>248</v>
      </c>
      <c r="AB4" s="11" t="s">
        <v>559</v>
      </c>
    </row>
    <row r="5" spans="1:29" ht="40.049999999999997" customHeight="1" x14ac:dyDescent="0.3">
      <c r="A5" s="11">
        <v>2</v>
      </c>
      <c r="B5" s="11" t="s">
        <v>557</v>
      </c>
      <c r="C5" s="11"/>
      <c r="D5" s="11"/>
      <c r="E5" s="11" t="s">
        <v>558</v>
      </c>
      <c r="G5" s="11" t="s">
        <v>58</v>
      </c>
      <c r="H5" s="11"/>
      <c r="I5" s="11" t="s">
        <v>391</v>
      </c>
      <c r="J5" s="11" t="s">
        <v>402</v>
      </c>
      <c r="K5" s="11"/>
      <c r="L5" s="11">
        <v>2013</v>
      </c>
      <c r="M5" s="11">
        <v>2</v>
      </c>
      <c r="N5" s="11">
        <v>1</v>
      </c>
      <c r="O5" s="11">
        <v>4</v>
      </c>
      <c r="P5" s="61">
        <v>367.3</v>
      </c>
      <c r="Q5" s="11">
        <f t="shared" si="2"/>
        <v>330.57</v>
      </c>
      <c r="R5" s="11">
        <f t="shared" si="0"/>
        <v>82.642499999999998</v>
      </c>
      <c r="S5" s="11" t="s">
        <v>30</v>
      </c>
      <c r="T5" s="11"/>
      <c r="U5" s="54">
        <f>32173+1728</f>
        <v>33901</v>
      </c>
      <c r="V5" s="11" t="s">
        <v>244</v>
      </c>
      <c r="W5" s="54">
        <f>U5/Q5</f>
        <v>102.55316574401792</v>
      </c>
      <c r="X5" s="11">
        <v>1</v>
      </c>
      <c r="Y5" s="11" t="s">
        <v>244</v>
      </c>
      <c r="Z5" s="54">
        <f t="shared" si="1"/>
        <v>8475.25</v>
      </c>
      <c r="AA5" s="11" t="s">
        <v>248</v>
      </c>
      <c r="AB5" s="11" t="s">
        <v>560</v>
      </c>
    </row>
    <row r="6" spans="1:29" ht="40.049999999999997" customHeight="1" x14ac:dyDescent="0.3">
      <c r="A6" s="11">
        <v>2</v>
      </c>
      <c r="B6" s="11" t="s">
        <v>557</v>
      </c>
      <c r="C6" s="11"/>
      <c r="D6" s="11"/>
      <c r="E6" s="11" t="s">
        <v>558</v>
      </c>
      <c r="G6" s="11" t="s">
        <v>58</v>
      </c>
      <c r="H6" s="11"/>
      <c r="I6" s="11" t="s">
        <v>391</v>
      </c>
      <c r="J6" s="11" t="s">
        <v>402</v>
      </c>
      <c r="K6" s="11"/>
      <c r="L6" s="11">
        <v>2013</v>
      </c>
      <c r="M6" s="11">
        <v>2</v>
      </c>
      <c r="N6" s="11">
        <v>1</v>
      </c>
      <c r="O6" s="11">
        <v>4</v>
      </c>
      <c r="P6" s="61">
        <v>367.3</v>
      </c>
      <c r="Q6" s="11">
        <f t="shared" si="2"/>
        <v>330.57</v>
      </c>
      <c r="R6" s="11">
        <f t="shared" si="0"/>
        <v>82.642499999999998</v>
      </c>
      <c r="S6" s="11" t="s">
        <v>67</v>
      </c>
      <c r="T6" s="11"/>
      <c r="U6" s="54">
        <v>3928</v>
      </c>
      <c r="V6" s="11" t="s">
        <v>244</v>
      </c>
      <c r="W6" s="54">
        <f>U6/Q6</f>
        <v>11.882505974528843</v>
      </c>
      <c r="X6" s="11">
        <v>1</v>
      </c>
      <c r="Y6" s="11" t="s">
        <v>244</v>
      </c>
      <c r="Z6" s="54">
        <f t="shared" si="1"/>
        <v>982</v>
      </c>
      <c r="AA6" s="11" t="s">
        <v>248</v>
      </c>
    </row>
    <row r="7" spans="1:29" ht="40.049999999999997" customHeight="1" x14ac:dyDescent="0.3">
      <c r="A7" s="11">
        <v>2</v>
      </c>
      <c r="B7" s="11" t="s">
        <v>557</v>
      </c>
      <c r="C7" s="11"/>
      <c r="D7" s="11"/>
      <c r="E7" s="11" t="s">
        <v>558</v>
      </c>
      <c r="G7" s="11" t="s">
        <v>58</v>
      </c>
      <c r="H7" s="11"/>
      <c r="I7" s="11" t="s">
        <v>391</v>
      </c>
      <c r="J7" s="11" t="s">
        <v>402</v>
      </c>
      <c r="K7" s="11"/>
      <c r="L7" s="11">
        <v>2013</v>
      </c>
      <c r="M7" s="11">
        <v>2</v>
      </c>
      <c r="N7" s="11">
        <v>1</v>
      </c>
      <c r="O7" s="11">
        <v>4</v>
      </c>
      <c r="P7" s="61">
        <v>367.3</v>
      </c>
      <c r="Q7" s="11">
        <f t="shared" si="2"/>
        <v>330.57</v>
      </c>
      <c r="R7" s="11">
        <f t="shared" si="0"/>
        <v>82.642499999999998</v>
      </c>
      <c r="S7" s="11" t="s">
        <v>290</v>
      </c>
      <c r="T7" s="11"/>
      <c r="U7" s="54">
        <v>361</v>
      </c>
      <c r="V7" s="11" t="s">
        <v>244</v>
      </c>
      <c r="W7" s="54">
        <f>U7/Q7</f>
        <v>1.0920531203678494</v>
      </c>
      <c r="X7" s="11">
        <v>1</v>
      </c>
      <c r="Y7" s="11" t="s">
        <v>244</v>
      </c>
      <c r="Z7" s="54">
        <f t="shared" si="1"/>
        <v>90.25</v>
      </c>
      <c r="AA7" s="11" t="s">
        <v>248</v>
      </c>
    </row>
    <row r="8" spans="1:29" ht="40.049999999999997" customHeight="1" x14ac:dyDescent="0.3">
      <c r="A8" s="11">
        <v>2</v>
      </c>
      <c r="B8" s="11" t="s">
        <v>557</v>
      </c>
      <c r="C8" s="11"/>
      <c r="D8" s="11"/>
      <c r="E8" s="11" t="s">
        <v>558</v>
      </c>
      <c r="G8" s="11" t="s">
        <v>58</v>
      </c>
      <c r="H8" s="11"/>
      <c r="I8" s="11" t="s">
        <v>391</v>
      </c>
      <c r="J8" s="11" t="s">
        <v>402</v>
      </c>
      <c r="K8" s="11"/>
      <c r="L8" s="11">
        <v>2013</v>
      </c>
      <c r="M8" s="11">
        <v>2</v>
      </c>
      <c r="N8" s="11">
        <v>1</v>
      </c>
      <c r="O8" s="11">
        <v>4</v>
      </c>
      <c r="P8" s="61">
        <v>367.3</v>
      </c>
      <c r="Q8" s="11">
        <f t="shared" si="2"/>
        <v>330.57</v>
      </c>
      <c r="R8" s="11">
        <f t="shared" si="0"/>
        <v>82.642499999999998</v>
      </c>
      <c r="S8" s="11" t="s">
        <v>437</v>
      </c>
      <c r="T8" s="11"/>
      <c r="U8" s="54">
        <v>900</v>
      </c>
      <c r="V8" s="11" t="s">
        <v>244</v>
      </c>
      <c r="W8" s="54">
        <f>U8/Q8</f>
        <v>2.7225701061802341</v>
      </c>
      <c r="X8" s="11">
        <v>1</v>
      </c>
      <c r="Y8" s="11" t="s">
        <v>244</v>
      </c>
      <c r="Z8" s="54">
        <f t="shared" si="1"/>
        <v>225</v>
      </c>
      <c r="AA8" s="11" t="s">
        <v>248</v>
      </c>
    </row>
    <row r="9" spans="1:29" ht="40.049999999999997" customHeight="1" x14ac:dyDescent="0.3">
      <c r="A9" s="11">
        <v>3</v>
      </c>
      <c r="B9" s="11" t="s">
        <v>690</v>
      </c>
      <c r="C9" s="11" t="s">
        <v>646</v>
      </c>
      <c r="D9" s="11"/>
      <c r="E9" s="11" t="s">
        <v>564</v>
      </c>
      <c r="G9" s="11" t="s">
        <v>58</v>
      </c>
      <c r="H9" s="11"/>
      <c r="I9" s="11" t="s">
        <v>391</v>
      </c>
      <c r="J9" s="11" t="s">
        <v>563</v>
      </c>
      <c r="K9" s="11" t="s">
        <v>567</v>
      </c>
      <c r="L9" s="11"/>
      <c r="M9" s="11">
        <v>1</v>
      </c>
      <c r="N9" s="11">
        <v>1</v>
      </c>
      <c r="O9" s="11">
        <v>4</v>
      </c>
      <c r="P9" s="11">
        <v>144</v>
      </c>
      <c r="Q9" s="11">
        <f t="shared" si="2"/>
        <v>129.6</v>
      </c>
      <c r="R9" s="11">
        <f>Q9/O9</f>
        <v>32.4</v>
      </c>
      <c r="S9" s="11" t="s">
        <v>65</v>
      </c>
      <c r="T9" s="10">
        <v>2320</v>
      </c>
      <c r="U9" s="54">
        <v>43.6</v>
      </c>
      <c r="V9" s="11" t="s">
        <v>1</v>
      </c>
      <c r="W9" s="54">
        <f>(U9*T9)/Q9</f>
        <v>780.49382716049388</v>
      </c>
      <c r="X9" s="11">
        <v>1</v>
      </c>
      <c r="Y9" s="11" t="s">
        <v>244</v>
      </c>
      <c r="Z9" s="54">
        <f t="shared" si="1"/>
        <v>10.9</v>
      </c>
      <c r="AA9" s="11" t="s">
        <v>248</v>
      </c>
    </row>
    <row r="10" spans="1:29" ht="40.049999999999997" customHeight="1" x14ac:dyDescent="0.3">
      <c r="A10" s="11">
        <v>3</v>
      </c>
      <c r="B10" s="11" t="s">
        <v>565</v>
      </c>
      <c r="C10" s="11"/>
      <c r="D10" s="11"/>
      <c r="E10" s="11" t="s">
        <v>564</v>
      </c>
      <c r="G10" s="11" t="s">
        <v>58</v>
      </c>
      <c r="H10" s="11"/>
      <c r="I10" s="11" t="s">
        <v>391</v>
      </c>
      <c r="J10" s="11" t="s">
        <v>563</v>
      </c>
      <c r="K10" s="11"/>
      <c r="L10" s="11"/>
      <c r="M10" s="11">
        <v>1</v>
      </c>
      <c r="N10" s="11">
        <v>1</v>
      </c>
      <c r="O10" s="11">
        <v>4</v>
      </c>
      <c r="P10" s="11">
        <v>144</v>
      </c>
      <c r="Q10" s="11">
        <f t="shared" si="2"/>
        <v>129.6</v>
      </c>
      <c r="R10" s="11">
        <f>Q10/O10</f>
        <v>32.4</v>
      </c>
      <c r="S10" s="11" t="s">
        <v>290</v>
      </c>
      <c r="T10" s="11"/>
      <c r="U10" s="54">
        <v>72</v>
      </c>
      <c r="V10" s="11" t="s">
        <v>244</v>
      </c>
      <c r="W10" s="54">
        <f>U10/Q10</f>
        <v>0.55555555555555558</v>
      </c>
      <c r="X10" s="11">
        <v>1</v>
      </c>
      <c r="Y10" s="11" t="s">
        <v>244</v>
      </c>
      <c r="Z10" s="54">
        <f t="shared" si="1"/>
        <v>18</v>
      </c>
      <c r="AA10" s="11" t="s">
        <v>248</v>
      </c>
    </row>
    <row r="11" spans="1:29" ht="40.049999999999997" customHeight="1" x14ac:dyDescent="0.3">
      <c r="A11" s="11">
        <v>3</v>
      </c>
      <c r="B11" s="11" t="s">
        <v>565</v>
      </c>
      <c r="C11" s="11"/>
      <c r="D11" s="11"/>
      <c r="E11" s="11" t="s">
        <v>564</v>
      </c>
      <c r="G11" s="11" t="s">
        <v>58</v>
      </c>
      <c r="H11" s="11"/>
      <c r="I11" s="11" t="s">
        <v>391</v>
      </c>
      <c r="J11" s="11" t="s">
        <v>566</v>
      </c>
      <c r="K11" s="11" t="s">
        <v>568</v>
      </c>
      <c r="L11" s="11"/>
      <c r="M11" s="11">
        <v>1</v>
      </c>
      <c r="N11" s="11">
        <v>1</v>
      </c>
      <c r="O11" s="11">
        <v>4</v>
      </c>
      <c r="P11" s="11">
        <v>144</v>
      </c>
      <c r="Q11" s="11">
        <f t="shared" si="2"/>
        <v>129.6</v>
      </c>
      <c r="R11" s="11">
        <f>Q11/O11</f>
        <v>32.4</v>
      </c>
      <c r="S11" s="11" t="s">
        <v>71</v>
      </c>
      <c r="T11" s="11">
        <v>1600</v>
      </c>
      <c r="U11" s="54">
        <f>3.1+1.68+3.6</f>
        <v>8.3800000000000008</v>
      </c>
      <c r="V11" s="11" t="s">
        <v>1</v>
      </c>
      <c r="W11" s="54">
        <f>(T11*U11)/Q11</f>
        <v>103.45679012345681</v>
      </c>
      <c r="X11" s="11">
        <v>1</v>
      </c>
      <c r="Y11" s="11" t="s">
        <v>244</v>
      </c>
      <c r="Z11" s="54">
        <f t="shared" si="1"/>
        <v>2.0950000000000002</v>
      </c>
      <c r="AA11" s="11" t="s">
        <v>248</v>
      </c>
    </row>
    <row r="12" spans="1:29" ht="40.049999999999997" customHeight="1" x14ac:dyDescent="0.3">
      <c r="A12" s="11">
        <v>3</v>
      </c>
      <c r="B12" s="11" t="s">
        <v>565</v>
      </c>
      <c r="C12" s="11"/>
      <c r="D12" s="11"/>
      <c r="E12" s="11" t="s">
        <v>564</v>
      </c>
      <c r="G12" s="11" t="s">
        <v>58</v>
      </c>
      <c r="H12" s="11"/>
      <c r="I12" s="11" t="s">
        <v>391</v>
      </c>
      <c r="J12" s="11" t="s">
        <v>566</v>
      </c>
      <c r="K12" s="11"/>
      <c r="L12" s="11"/>
      <c r="M12" s="11">
        <v>1</v>
      </c>
      <c r="N12" s="11">
        <v>1</v>
      </c>
      <c r="O12" s="11">
        <v>4</v>
      </c>
      <c r="P12" s="11">
        <v>144</v>
      </c>
      <c r="Q12" s="11">
        <f t="shared" si="2"/>
        <v>129.6</v>
      </c>
      <c r="R12" s="11">
        <f>Q12/O12</f>
        <v>32.4</v>
      </c>
      <c r="S12" s="11" t="s">
        <v>65</v>
      </c>
      <c r="T12" s="10">
        <v>2320</v>
      </c>
      <c r="U12" s="54">
        <f>12.5+48</f>
        <v>60.5</v>
      </c>
      <c r="V12" s="11" t="s">
        <v>1</v>
      </c>
      <c r="W12" s="54">
        <f>(T12*U12)/Q12</f>
        <v>1083.0246913580247</v>
      </c>
      <c r="X12" s="11">
        <v>1</v>
      </c>
      <c r="Y12" s="11" t="s">
        <v>244</v>
      </c>
      <c r="Z12" s="54">
        <f t="shared" si="1"/>
        <v>15.125</v>
      </c>
      <c r="AA12" s="11" t="s">
        <v>248</v>
      </c>
    </row>
    <row r="13" spans="1:29" ht="40.049999999999997" customHeight="1" x14ac:dyDescent="0.3">
      <c r="A13" s="11">
        <v>3</v>
      </c>
      <c r="B13" s="11" t="s">
        <v>565</v>
      </c>
      <c r="C13" s="11"/>
      <c r="D13" s="11"/>
      <c r="E13" s="11" t="s">
        <v>564</v>
      </c>
      <c r="G13" s="11" t="s">
        <v>58</v>
      </c>
      <c r="H13" s="11"/>
      <c r="I13" s="11" t="s">
        <v>391</v>
      </c>
      <c r="J13" s="11" t="s">
        <v>566</v>
      </c>
      <c r="K13" s="11"/>
      <c r="L13" s="11"/>
      <c r="M13" s="11">
        <v>1</v>
      </c>
      <c r="N13" s="11">
        <v>1</v>
      </c>
      <c r="O13" s="11">
        <v>4</v>
      </c>
      <c r="P13" s="11">
        <v>144</v>
      </c>
      <c r="Q13" s="11">
        <f t="shared" si="2"/>
        <v>129.6</v>
      </c>
      <c r="R13" s="11">
        <f>Q13/O13</f>
        <v>32.4</v>
      </c>
      <c r="S13" s="11" t="s">
        <v>290</v>
      </c>
      <c r="T13" s="11"/>
      <c r="U13" s="54">
        <v>72</v>
      </c>
      <c r="V13" s="11" t="s">
        <v>244</v>
      </c>
      <c r="W13" s="54">
        <f>U13/Q13</f>
        <v>0.55555555555555558</v>
      </c>
      <c r="X13" s="11">
        <v>1</v>
      </c>
      <c r="Y13" s="11" t="s">
        <v>244</v>
      </c>
      <c r="Z13" s="54">
        <f t="shared" si="1"/>
        <v>18</v>
      </c>
      <c r="AA13" s="11" t="s">
        <v>248</v>
      </c>
    </row>
  </sheetData>
  <pageMargins left="0.7" right="0.7" top="0.75" bottom="0.75" header="0.3" footer="0.3"/>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2D050"/>
  </sheetPr>
  <dimension ref="A1:AB56"/>
  <sheetViews>
    <sheetView topLeftCell="Q1" zoomScaleNormal="100" workbookViewId="0">
      <selection activeCell="S1" sqref="S1:S1048576"/>
    </sheetView>
  </sheetViews>
  <sheetFormatPr defaultColWidth="9.21875" defaultRowHeight="14.4" x14ac:dyDescent="0.3"/>
  <cols>
    <col min="1" max="1" width="4.44140625" style="12" customWidth="1"/>
    <col min="2" max="2" width="13.44140625" style="11" customWidth="1"/>
    <col min="3" max="3" width="29.44140625" style="11" customWidth="1"/>
    <col min="4" max="4" width="18.21875" style="11" customWidth="1"/>
    <col min="5" max="6" width="25" style="12" customWidth="1"/>
    <col min="7" max="7" width="9.21875" style="12"/>
    <col min="8" max="8" width="22.77734375" style="12" customWidth="1"/>
    <col min="9" max="9" width="27.77734375" style="12" customWidth="1"/>
    <col min="10" max="10" width="16" style="12" customWidth="1"/>
    <col min="11" max="11" width="31" style="11" customWidth="1"/>
    <col min="12" max="13" width="22.44140625" style="12" customWidth="1"/>
    <col min="14" max="14" width="23" style="12" customWidth="1"/>
    <col min="15" max="15" width="13.21875" style="12" customWidth="1"/>
    <col min="16" max="16" width="13.44140625" style="12" customWidth="1"/>
    <col min="17" max="17" width="12.21875" style="34" customWidth="1"/>
    <col min="18" max="18" width="12.21875" style="12" customWidth="1"/>
    <col min="19" max="19" width="13.21875" style="12" customWidth="1"/>
    <col min="20" max="20" width="11.44140625" style="12" customWidth="1"/>
    <col min="21" max="21" width="12.21875" style="12" customWidth="1"/>
    <col min="22" max="22" width="10.77734375" style="12" customWidth="1"/>
    <col min="23" max="23" width="14.21875" style="34" customWidth="1"/>
    <col min="24" max="24" width="13.44140625" style="12" customWidth="1"/>
    <col min="25" max="25" width="11.44140625" style="12" bestFit="1" customWidth="1"/>
    <col min="26" max="26" width="10.21875" style="12" customWidth="1"/>
    <col min="27" max="27" width="39.21875" style="11" customWidth="1"/>
    <col min="28" max="28" width="27.21875" style="12" customWidth="1"/>
    <col min="29" max="16384" width="9.21875" style="12"/>
  </cols>
  <sheetData>
    <row r="1" spans="1:28"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241</v>
      </c>
      <c r="R1" s="56" t="s">
        <v>416</v>
      </c>
      <c r="S1" s="56" t="s">
        <v>193</v>
      </c>
      <c r="T1" s="56" t="s">
        <v>421</v>
      </c>
      <c r="U1" s="56" t="s">
        <v>521</v>
      </c>
      <c r="V1" s="56" t="s">
        <v>192</v>
      </c>
      <c r="W1" s="56" t="s">
        <v>386</v>
      </c>
      <c r="X1" s="56" t="s">
        <v>418</v>
      </c>
      <c r="Y1" s="56" t="s">
        <v>242</v>
      </c>
      <c r="Z1" s="56" t="s">
        <v>191</v>
      </c>
      <c r="AA1" s="56" t="s">
        <v>947</v>
      </c>
      <c r="AB1" s="56" t="s">
        <v>638</v>
      </c>
    </row>
    <row r="2" spans="1:28" ht="40.049999999999997" customHeight="1" x14ac:dyDescent="0.3">
      <c r="A2" s="11">
        <v>1</v>
      </c>
      <c r="B2" s="11" t="s">
        <v>692</v>
      </c>
      <c r="C2" s="11" t="s">
        <v>640</v>
      </c>
      <c r="D2" s="11" t="s">
        <v>832</v>
      </c>
      <c r="E2" s="11" t="s">
        <v>562</v>
      </c>
      <c r="F2" s="11" t="s">
        <v>406</v>
      </c>
      <c r="G2" s="11" t="s">
        <v>58</v>
      </c>
      <c r="H2" s="11"/>
      <c r="I2" s="11" t="s">
        <v>440</v>
      </c>
      <c r="J2" s="11"/>
      <c r="L2" s="11"/>
      <c r="M2" s="11">
        <v>7</v>
      </c>
      <c r="N2" s="11">
        <v>96</v>
      </c>
      <c r="O2" s="11">
        <f>4*N2</f>
        <v>384</v>
      </c>
      <c r="P2" s="11"/>
      <c r="Q2" s="54">
        <f>112.15*N2</f>
        <v>10766.400000000001</v>
      </c>
      <c r="R2" s="54">
        <f>Q2/O2</f>
        <v>28.037500000000005</v>
      </c>
      <c r="S2" s="11" t="s">
        <v>65</v>
      </c>
      <c r="T2" s="11"/>
      <c r="U2" s="54">
        <f>17219981.7+1444680</f>
        <v>18664661.699999999</v>
      </c>
      <c r="V2" s="11" t="s">
        <v>244</v>
      </c>
      <c r="W2" s="54">
        <f>U2/Q2</f>
        <v>1733.6028477485509</v>
      </c>
      <c r="X2" s="11">
        <v>4</v>
      </c>
      <c r="Y2" s="54">
        <f t="shared" ref="Y2:Y18" si="0">U2/O2</f>
        <v>48605.889843749996</v>
      </c>
      <c r="Z2" s="11"/>
      <c r="AA2" s="11" t="s">
        <v>452</v>
      </c>
    </row>
    <row r="3" spans="1:28" ht="40.049999999999997" customHeight="1" x14ac:dyDescent="0.3">
      <c r="A3" s="11">
        <v>1</v>
      </c>
      <c r="B3" s="11" t="s">
        <v>691</v>
      </c>
      <c r="E3" s="11" t="s">
        <v>562</v>
      </c>
      <c r="F3" s="11"/>
      <c r="G3" s="11" t="s">
        <v>58</v>
      </c>
      <c r="H3" s="11"/>
      <c r="I3" s="11" t="s">
        <v>440</v>
      </c>
      <c r="J3" s="11"/>
      <c r="L3" s="11"/>
      <c r="M3" s="11">
        <v>7</v>
      </c>
      <c r="N3" s="11">
        <v>96</v>
      </c>
      <c r="O3" s="11">
        <f>4*N3</f>
        <v>384</v>
      </c>
      <c r="P3" s="11"/>
      <c r="Q3" s="54">
        <f>112.15*N3</f>
        <v>10766.400000000001</v>
      </c>
      <c r="R3" s="54">
        <f>Q3/O3</f>
        <v>28.037500000000005</v>
      </c>
      <c r="S3" s="11" t="s">
        <v>30</v>
      </c>
      <c r="T3" s="11"/>
      <c r="U3" s="54">
        <f>1182395.5+25321+41438+9450+593.9+8731.9+296.5+19599.6+17120.2</f>
        <v>1304946.5999999999</v>
      </c>
      <c r="V3" s="11" t="s">
        <v>244</v>
      </c>
      <c r="W3" s="54">
        <f>U3/Q3</f>
        <v>121.20547258136422</v>
      </c>
      <c r="X3" s="11">
        <v>4</v>
      </c>
      <c r="Y3" s="54">
        <f t="shared" si="0"/>
        <v>3398.2984374999996</v>
      </c>
      <c r="Z3" s="11"/>
    </row>
    <row r="4" spans="1:28" ht="40.049999999999997" customHeight="1" x14ac:dyDescent="0.3">
      <c r="A4" s="11">
        <v>2</v>
      </c>
      <c r="B4" s="11" t="s">
        <v>694</v>
      </c>
      <c r="C4" s="11" t="s">
        <v>833</v>
      </c>
      <c r="D4" s="11" t="s">
        <v>834</v>
      </c>
      <c r="E4" s="11" t="s">
        <v>408</v>
      </c>
      <c r="F4" s="11"/>
      <c r="G4" s="11" t="s">
        <v>58</v>
      </c>
      <c r="H4" s="11" t="s">
        <v>410</v>
      </c>
      <c r="I4" s="11" t="s">
        <v>391</v>
      </c>
      <c r="J4" s="11" t="s">
        <v>409</v>
      </c>
      <c r="L4" s="11"/>
      <c r="M4" s="11">
        <v>1</v>
      </c>
      <c r="N4" s="11">
        <v>1</v>
      </c>
      <c r="O4" s="11">
        <f t="shared" ref="O4:O23" si="1">4*N4</f>
        <v>4</v>
      </c>
      <c r="P4" s="11"/>
      <c r="Q4" s="54">
        <f t="shared" ref="Q4:Q23" si="2">AVERAGE(20,60)*N4</f>
        <v>40</v>
      </c>
      <c r="R4" s="11">
        <f t="shared" ref="R4:R23" si="3">Q4/O4</f>
        <v>10</v>
      </c>
      <c r="S4" s="11" t="s">
        <v>30</v>
      </c>
      <c r="T4" s="11"/>
      <c r="U4" s="54">
        <f t="shared" ref="U4:U23" si="4">W4*Q4</f>
        <v>640</v>
      </c>
      <c r="V4" s="11" t="s">
        <v>244</v>
      </c>
      <c r="W4" s="54">
        <v>16</v>
      </c>
      <c r="X4" s="11">
        <v>1</v>
      </c>
      <c r="Y4" s="54">
        <f t="shared" si="0"/>
        <v>160</v>
      </c>
      <c r="Z4" s="11"/>
      <c r="AA4" s="11" t="s">
        <v>451</v>
      </c>
      <c r="AB4" s="11" t="s">
        <v>411</v>
      </c>
    </row>
    <row r="5" spans="1:28" ht="40.049999999999997" customHeight="1" x14ac:dyDescent="0.3">
      <c r="A5" s="11">
        <v>2</v>
      </c>
      <c r="B5" s="11" t="s">
        <v>693</v>
      </c>
      <c r="E5" s="11" t="s">
        <v>408</v>
      </c>
      <c r="F5" s="11"/>
      <c r="G5" s="11" t="s">
        <v>58</v>
      </c>
      <c r="H5" s="11"/>
      <c r="I5" s="11" t="s">
        <v>391</v>
      </c>
      <c r="J5" s="11" t="s">
        <v>409</v>
      </c>
      <c r="L5" s="11"/>
      <c r="M5" s="11">
        <v>1</v>
      </c>
      <c r="N5" s="11">
        <v>2</v>
      </c>
      <c r="O5" s="11">
        <f t="shared" si="1"/>
        <v>8</v>
      </c>
      <c r="P5" s="11"/>
      <c r="Q5" s="54">
        <f t="shared" si="2"/>
        <v>80</v>
      </c>
      <c r="R5" s="11">
        <f t="shared" si="3"/>
        <v>10</v>
      </c>
      <c r="S5" s="11" t="s">
        <v>30</v>
      </c>
      <c r="T5" s="11"/>
      <c r="U5" s="54">
        <f t="shared" si="4"/>
        <v>1208</v>
      </c>
      <c r="V5" s="11" t="s">
        <v>244</v>
      </c>
      <c r="W5" s="54">
        <v>15.1</v>
      </c>
      <c r="X5" s="11">
        <v>1</v>
      </c>
      <c r="Y5" s="54">
        <f t="shared" si="0"/>
        <v>151</v>
      </c>
      <c r="Z5" s="11"/>
      <c r="AA5" s="11" t="s">
        <v>407</v>
      </c>
      <c r="AB5" s="11" t="s">
        <v>450</v>
      </c>
    </row>
    <row r="6" spans="1:28" ht="40.049999999999997" customHeight="1" x14ac:dyDescent="0.3">
      <c r="A6" s="11">
        <v>2</v>
      </c>
      <c r="B6" s="11" t="s">
        <v>693</v>
      </c>
      <c r="E6" s="11" t="s">
        <v>408</v>
      </c>
      <c r="F6" s="11"/>
      <c r="G6" s="11" t="s">
        <v>58</v>
      </c>
      <c r="H6" s="11"/>
      <c r="I6" s="11" t="s">
        <v>391</v>
      </c>
      <c r="J6" s="11" t="s">
        <v>409</v>
      </c>
      <c r="L6" s="11"/>
      <c r="M6" s="11">
        <v>1</v>
      </c>
      <c r="N6" s="11">
        <v>3</v>
      </c>
      <c r="O6" s="11">
        <f t="shared" si="1"/>
        <v>12</v>
      </c>
      <c r="P6" s="11"/>
      <c r="Q6" s="54">
        <f t="shared" si="2"/>
        <v>120</v>
      </c>
      <c r="R6" s="11">
        <f t="shared" si="3"/>
        <v>10</v>
      </c>
      <c r="S6" s="11" t="s">
        <v>30</v>
      </c>
      <c r="T6" s="11"/>
      <c r="U6" s="54">
        <f t="shared" si="4"/>
        <v>2532</v>
      </c>
      <c r="V6" s="11" t="s">
        <v>244</v>
      </c>
      <c r="W6" s="54">
        <v>21.1</v>
      </c>
      <c r="X6" s="11">
        <v>1</v>
      </c>
      <c r="Y6" s="54">
        <f t="shared" si="0"/>
        <v>211</v>
      </c>
      <c r="Z6" s="11"/>
    </row>
    <row r="7" spans="1:28" ht="40.049999999999997" customHeight="1" x14ac:dyDescent="0.3">
      <c r="A7" s="11">
        <v>2</v>
      </c>
      <c r="B7" s="11" t="s">
        <v>693</v>
      </c>
      <c r="E7" s="11" t="s">
        <v>408</v>
      </c>
      <c r="F7" s="11"/>
      <c r="G7" s="11" t="s">
        <v>58</v>
      </c>
      <c r="H7" s="11"/>
      <c r="I7" s="11" t="s">
        <v>435</v>
      </c>
      <c r="J7" s="11" t="s">
        <v>409</v>
      </c>
      <c r="L7" s="11"/>
      <c r="M7" s="11">
        <v>1</v>
      </c>
      <c r="N7" s="11">
        <v>4</v>
      </c>
      <c r="O7" s="11">
        <f t="shared" si="1"/>
        <v>16</v>
      </c>
      <c r="P7" s="11"/>
      <c r="Q7" s="54">
        <f t="shared" si="2"/>
        <v>160</v>
      </c>
      <c r="R7" s="11">
        <f t="shared" si="3"/>
        <v>10</v>
      </c>
      <c r="S7" s="11" t="s">
        <v>30</v>
      </c>
      <c r="T7" s="11"/>
      <c r="U7" s="54">
        <f t="shared" si="4"/>
        <v>3344</v>
      </c>
      <c r="V7" s="11" t="s">
        <v>244</v>
      </c>
      <c r="W7" s="54">
        <v>20.9</v>
      </c>
      <c r="X7" s="11">
        <v>3</v>
      </c>
      <c r="Y7" s="54">
        <f t="shared" si="0"/>
        <v>209</v>
      </c>
      <c r="Z7" s="11"/>
    </row>
    <row r="8" spans="1:28" ht="40.049999999999997" customHeight="1" x14ac:dyDescent="0.3">
      <c r="A8" s="11">
        <v>2</v>
      </c>
      <c r="B8" s="11" t="s">
        <v>693</v>
      </c>
      <c r="E8" s="11" t="s">
        <v>408</v>
      </c>
      <c r="F8" s="11"/>
      <c r="G8" s="11" t="s">
        <v>58</v>
      </c>
      <c r="H8" s="11"/>
      <c r="I8" s="11" t="s">
        <v>391</v>
      </c>
      <c r="J8" s="11" t="s">
        <v>409</v>
      </c>
      <c r="L8" s="11"/>
      <c r="M8" s="11"/>
      <c r="N8" s="11">
        <v>1</v>
      </c>
      <c r="O8" s="11">
        <f t="shared" si="1"/>
        <v>4</v>
      </c>
      <c r="P8" s="11"/>
      <c r="Q8" s="54">
        <f t="shared" si="2"/>
        <v>40</v>
      </c>
      <c r="R8" s="11">
        <f t="shared" si="3"/>
        <v>10</v>
      </c>
      <c r="S8" s="11" t="s">
        <v>65</v>
      </c>
      <c r="T8" s="11"/>
      <c r="U8" s="54">
        <f t="shared" si="4"/>
        <v>55200</v>
      </c>
      <c r="V8" s="11" t="s">
        <v>244</v>
      </c>
      <c r="W8" s="54">
        <f>60*23</f>
        <v>1380</v>
      </c>
      <c r="X8" s="11">
        <v>1</v>
      </c>
      <c r="Y8" s="54">
        <f t="shared" si="0"/>
        <v>13800</v>
      </c>
      <c r="Z8" s="11"/>
      <c r="AA8" s="39" t="s">
        <v>449</v>
      </c>
    </row>
    <row r="9" spans="1:28" ht="40.049999999999997" customHeight="1" x14ac:dyDescent="0.3">
      <c r="A9" s="11">
        <v>2</v>
      </c>
      <c r="B9" s="11" t="s">
        <v>693</v>
      </c>
      <c r="E9" s="11" t="s">
        <v>408</v>
      </c>
      <c r="F9" s="11"/>
      <c r="G9" s="11" t="s">
        <v>58</v>
      </c>
      <c r="H9" s="11"/>
      <c r="I9" s="11" t="s">
        <v>391</v>
      </c>
      <c r="J9" s="11" t="s">
        <v>409</v>
      </c>
      <c r="L9" s="11"/>
      <c r="M9" s="11"/>
      <c r="N9" s="11">
        <v>1</v>
      </c>
      <c r="O9" s="11">
        <f t="shared" si="1"/>
        <v>4</v>
      </c>
      <c r="P9" s="11"/>
      <c r="Q9" s="54">
        <f t="shared" si="2"/>
        <v>40</v>
      </c>
      <c r="R9" s="11">
        <f t="shared" si="3"/>
        <v>10</v>
      </c>
      <c r="S9" s="11" t="s">
        <v>30</v>
      </c>
      <c r="T9" s="11"/>
      <c r="U9" s="54">
        <f t="shared" si="4"/>
        <v>640</v>
      </c>
      <c r="V9" s="11" t="s">
        <v>244</v>
      </c>
      <c r="W9" s="54">
        <v>16</v>
      </c>
      <c r="X9" s="11">
        <v>1</v>
      </c>
      <c r="Y9" s="54">
        <f t="shared" si="0"/>
        <v>160</v>
      </c>
      <c r="Z9" s="11"/>
      <c r="AA9" s="11" t="s">
        <v>448</v>
      </c>
    </row>
    <row r="10" spans="1:28" ht="40.049999999999997" customHeight="1" x14ac:dyDescent="0.3">
      <c r="A10" s="11">
        <v>2</v>
      </c>
      <c r="B10" s="11" t="s">
        <v>693</v>
      </c>
      <c r="E10" s="11" t="s">
        <v>408</v>
      </c>
      <c r="F10" s="11"/>
      <c r="G10" s="11" t="s">
        <v>58</v>
      </c>
      <c r="H10" s="11"/>
      <c r="I10" s="11" t="s">
        <v>391</v>
      </c>
      <c r="J10" s="11" t="s">
        <v>409</v>
      </c>
      <c r="L10" s="11"/>
      <c r="M10" s="11"/>
      <c r="N10" s="11">
        <v>2</v>
      </c>
      <c r="O10" s="11">
        <f t="shared" si="1"/>
        <v>8</v>
      </c>
      <c r="P10" s="11"/>
      <c r="Q10" s="54">
        <f t="shared" si="2"/>
        <v>80</v>
      </c>
      <c r="R10" s="11">
        <f t="shared" si="3"/>
        <v>10</v>
      </c>
      <c r="S10" s="11" t="s">
        <v>65</v>
      </c>
      <c r="T10" s="11"/>
      <c r="U10" s="54">
        <f t="shared" si="4"/>
        <v>82984</v>
      </c>
      <c r="V10" s="11" t="s">
        <v>244</v>
      </c>
      <c r="W10" s="54">
        <f>45.1*23</f>
        <v>1037.3</v>
      </c>
      <c r="X10" s="11">
        <v>1</v>
      </c>
      <c r="Y10" s="54">
        <f t="shared" si="0"/>
        <v>10373</v>
      </c>
      <c r="Z10" s="11"/>
    </row>
    <row r="11" spans="1:28" ht="40.049999999999997" customHeight="1" x14ac:dyDescent="0.3">
      <c r="A11" s="11">
        <v>2</v>
      </c>
      <c r="B11" s="11" t="s">
        <v>693</v>
      </c>
      <c r="E11" s="11" t="s">
        <v>408</v>
      </c>
      <c r="F11" s="11"/>
      <c r="G11" s="11" t="s">
        <v>58</v>
      </c>
      <c r="H11" s="11"/>
      <c r="I11" s="11" t="s">
        <v>391</v>
      </c>
      <c r="J11" s="11" t="s">
        <v>409</v>
      </c>
      <c r="L11" s="11"/>
      <c r="M11" s="11"/>
      <c r="N11" s="11">
        <v>2</v>
      </c>
      <c r="O11" s="11">
        <f t="shared" si="1"/>
        <v>8</v>
      </c>
      <c r="P11" s="11"/>
      <c r="Q11" s="54">
        <f t="shared" si="2"/>
        <v>80</v>
      </c>
      <c r="R11" s="11">
        <f t="shared" si="3"/>
        <v>10</v>
      </c>
      <c r="S11" s="11" t="s">
        <v>30</v>
      </c>
      <c r="T11" s="11"/>
      <c r="U11" s="54">
        <f t="shared" si="4"/>
        <v>1216</v>
      </c>
      <c r="V11" s="11" t="s">
        <v>244</v>
      </c>
      <c r="W11" s="54">
        <v>15.2</v>
      </c>
      <c r="X11" s="11">
        <v>1</v>
      </c>
      <c r="Y11" s="54">
        <f t="shared" si="0"/>
        <v>152</v>
      </c>
      <c r="Z11" s="11"/>
    </row>
    <row r="12" spans="1:28" ht="40.049999999999997" customHeight="1" x14ac:dyDescent="0.3">
      <c r="A12" s="11">
        <v>2</v>
      </c>
      <c r="B12" s="11" t="s">
        <v>693</v>
      </c>
      <c r="E12" s="11" t="s">
        <v>408</v>
      </c>
      <c r="F12" s="11"/>
      <c r="G12" s="11" t="s">
        <v>58</v>
      </c>
      <c r="H12" s="11"/>
      <c r="I12" s="11" t="s">
        <v>391</v>
      </c>
      <c r="J12" s="11" t="s">
        <v>409</v>
      </c>
      <c r="L12" s="11"/>
      <c r="M12" s="11"/>
      <c r="N12" s="11">
        <v>3</v>
      </c>
      <c r="O12" s="11">
        <f t="shared" si="1"/>
        <v>12</v>
      </c>
      <c r="P12" s="11"/>
      <c r="Q12" s="54">
        <f t="shared" si="2"/>
        <v>120</v>
      </c>
      <c r="R12" s="11">
        <f t="shared" si="3"/>
        <v>10</v>
      </c>
      <c r="S12" s="11" t="s">
        <v>65</v>
      </c>
      <c r="T12" s="11"/>
      <c r="U12" s="54">
        <f t="shared" si="4"/>
        <v>120888</v>
      </c>
      <c r="V12" s="11" t="s">
        <v>244</v>
      </c>
      <c r="W12" s="54">
        <f>43.8*23</f>
        <v>1007.4</v>
      </c>
      <c r="X12" s="11">
        <v>1</v>
      </c>
      <c r="Y12" s="54">
        <f t="shared" si="0"/>
        <v>10074</v>
      </c>
      <c r="Z12" s="11"/>
    </row>
    <row r="13" spans="1:28" ht="40.049999999999997" customHeight="1" x14ac:dyDescent="0.3">
      <c r="A13" s="11">
        <v>2</v>
      </c>
      <c r="B13" s="11" t="s">
        <v>693</v>
      </c>
      <c r="E13" s="11" t="s">
        <v>408</v>
      </c>
      <c r="F13" s="11"/>
      <c r="G13" s="11" t="s">
        <v>58</v>
      </c>
      <c r="H13" s="11"/>
      <c r="I13" s="11" t="s">
        <v>391</v>
      </c>
      <c r="J13" s="11" t="s">
        <v>409</v>
      </c>
      <c r="L13" s="11"/>
      <c r="M13" s="11"/>
      <c r="N13" s="11">
        <v>3</v>
      </c>
      <c r="O13" s="11">
        <f t="shared" si="1"/>
        <v>12</v>
      </c>
      <c r="P13" s="11"/>
      <c r="Q13" s="54">
        <f t="shared" si="2"/>
        <v>120</v>
      </c>
      <c r="R13" s="11">
        <f t="shared" si="3"/>
        <v>10</v>
      </c>
      <c r="S13" s="11" t="s">
        <v>30</v>
      </c>
      <c r="T13" s="11"/>
      <c r="U13" s="54">
        <f t="shared" si="4"/>
        <v>2568</v>
      </c>
      <c r="V13" s="11" t="s">
        <v>244</v>
      </c>
      <c r="W13" s="54">
        <v>21.4</v>
      </c>
      <c r="X13" s="11">
        <v>1</v>
      </c>
      <c r="Y13" s="54">
        <f t="shared" si="0"/>
        <v>214</v>
      </c>
      <c r="Z13" s="11"/>
    </row>
    <row r="14" spans="1:28" ht="40.049999999999997" customHeight="1" x14ac:dyDescent="0.3">
      <c r="A14" s="11">
        <v>2</v>
      </c>
      <c r="B14" s="11" t="s">
        <v>693</v>
      </c>
      <c r="E14" s="11" t="s">
        <v>408</v>
      </c>
      <c r="F14" s="11"/>
      <c r="G14" s="11" t="s">
        <v>58</v>
      </c>
      <c r="H14" s="11"/>
      <c r="I14" s="11" t="s">
        <v>435</v>
      </c>
      <c r="J14" s="11" t="s">
        <v>409</v>
      </c>
      <c r="L14" s="11"/>
      <c r="M14" s="11"/>
      <c r="N14" s="11">
        <v>4</v>
      </c>
      <c r="O14" s="11">
        <f t="shared" si="1"/>
        <v>16</v>
      </c>
      <c r="P14" s="11"/>
      <c r="Q14" s="54">
        <f t="shared" si="2"/>
        <v>160</v>
      </c>
      <c r="R14" s="11">
        <f t="shared" si="3"/>
        <v>10</v>
      </c>
      <c r="S14" s="11" t="s">
        <v>65</v>
      </c>
      <c r="T14" s="11"/>
      <c r="U14" s="54">
        <f t="shared" si="4"/>
        <v>147200</v>
      </c>
      <c r="V14" s="11" t="s">
        <v>244</v>
      </c>
      <c r="W14" s="54">
        <f>40*23</f>
        <v>920</v>
      </c>
      <c r="X14" s="11">
        <v>3</v>
      </c>
      <c r="Y14" s="54">
        <f t="shared" si="0"/>
        <v>9200</v>
      </c>
      <c r="Z14" s="11"/>
    </row>
    <row r="15" spans="1:28" ht="40.049999999999997" customHeight="1" x14ac:dyDescent="0.3">
      <c r="A15" s="11">
        <v>2</v>
      </c>
      <c r="B15" s="11" t="s">
        <v>693</v>
      </c>
      <c r="E15" s="11" t="s">
        <v>408</v>
      </c>
      <c r="F15" s="11"/>
      <c r="G15" s="11" t="s">
        <v>58</v>
      </c>
      <c r="H15" s="11"/>
      <c r="I15" s="11" t="s">
        <v>435</v>
      </c>
      <c r="J15" s="11" t="s">
        <v>409</v>
      </c>
      <c r="L15" s="11"/>
      <c r="M15" s="11"/>
      <c r="N15" s="11">
        <v>4</v>
      </c>
      <c r="O15" s="11">
        <f t="shared" si="1"/>
        <v>16</v>
      </c>
      <c r="P15" s="11"/>
      <c r="Q15" s="54">
        <f t="shared" si="2"/>
        <v>160</v>
      </c>
      <c r="R15" s="11">
        <f t="shared" si="3"/>
        <v>10</v>
      </c>
      <c r="S15" s="11" t="s">
        <v>30</v>
      </c>
      <c r="T15" s="11"/>
      <c r="U15" s="54">
        <f t="shared" si="4"/>
        <v>3392</v>
      </c>
      <c r="V15" s="11" t="s">
        <v>244</v>
      </c>
      <c r="W15" s="54">
        <v>21.2</v>
      </c>
      <c r="X15" s="11">
        <v>3</v>
      </c>
      <c r="Y15" s="54">
        <f t="shared" si="0"/>
        <v>212</v>
      </c>
      <c r="Z15" s="11"/>
    </row>
    <row r="16" spans="1:28" ht="40.049999999999997" customHeight="1" x14ac:dyDescent="0.3">
      <c r="A16" s="11">
        <v>2</v>
      </c>
      <c r="B16" s="11" t="s">
        <v>693</v>
      </c>
      <c r="E16" s="11" t="s">
        <v>408</v>
      </c>
      <c r="F16" s="11"/>
      <c r="G16" s="11" t="s">
        <v>58</v>
      </c>
      <c r="H16" s="11"/>
      <c r="I16" s="11" t="s">
        <v>391</v>
      </c>
      <c r="J16" s="11" t="s">
        <v>409</v>
      </c>
      <c r="L16" s="11"/>
      <c r="M16" s="11"/>
      <c r="N16" s="11">
        <v>1</v>
      </c>
      <c r="O16" s="11">
        <f t="shared" si="1"/>
        <v>4</v>
      </c>
      <c r="P16" s="11"/>
      <c r="Q16" s="54">
        <f t="shared" si="2"/>
        <v>40</v>
      </c>
      <c r="R16" s="11">
        <f t="shared" si="3"/>
        <v>10</v>
      </c>
      <c r="S16" s="11" t="s">
        <v>65</v>
      </c>
      <c r="T16" s="11"/>
      <c r="U16" s="54">
        <f t="shared" si="4"/>
        <v>16800</v>
      </c>
      <c r="V16" s="11" t="s">
        <v>244</v>
      </c>
      <c r="W16" s="54">
        <f>60*7</f>
        <v>420</v>
      </c>
      <c r="X16" s="11">
        <v>1</v>
      </c>
      <c r="Y16" s="54">
        <f t="shared" si="0"/>
        <v>4200</v>
      </c>
      <c r="Z16" s="11"/>
      <c r="AA16" s="11" t="s">
        <v>447</v>
      </c>
    </row>
    <row r="17" spans="1:27" ht="40.049999999999997" customHeight="1" x14ac:dyDescent="0.3">
      <c r="A17" s="11">
        <v>2</v>
      </c>
      <c r="B17" s="11" t="s">
        <v>693</v>
      </c>
      <c r="E17" s="11" t="s">
        <v>408</v>
      </c>
      <c r="F17" s="11"/>
      <c r="G17" s="11" t="s">
        <v>58</v>
      </c>
      <c r="H17" s="11"/>
      <c r="I17" s="11" t="s">
        <v>391</v>
      </c>
      <c r="J17" s="11" t="s">
        <v>409</v>
      </c>
      <c r="L17" s="11"/>
      <c r="M17" s="11"/>
      <c r="N17" s="11">
        <v>1</v>
      </c>
      <c r="O17" s="11">
        <f t="shared" si="1"/>
        <v>4</v>
      </c>
      <c r="P17" s="11"/>
      <c r="Q17" s="54">
        <f t="shared" si="2"/>
        <v>40</v>
      </c>
      <c r="R17" s="11">
        <f t="shared" si="3"/>
        <v>10</v>
      </c>
      <c r="S17" s="11" t="s">
        <v>30</v>
      </c>
      <c r="T17" s="11"/>
      <c r="U17" s="54">
        <f t="shared" si="4"/>
        <v>640</v>
      </c>
      <c r="V17" s="11" t="s">
        <v>244</v>
      </c>
      <c r="W17" s="54">
        <v>16</v>
      </c>
      <c r="X17" s="11">
        <v>1</v>
      </c>
      <c r="Y17" s="54">
        <f t="shared" si="0"/>
        <v>160</v>
      </c>
      <c r="Z17" s="11"/>
    </row>
    <row r="18" spans="1:27" ht="40.049999999999997" customHeight="1" x14ac:dyDescent="0.3">
      <c r="A18" s="11">
        <v>2</v>
      </c>
      <c r="B18" s="11" t="s">
        <v>693</v>
      </c>
      <c r="E18" s="11" t="s">
        <v>408</v>
      </c>
      <c r="F18" s="11"/>
      <c r="G18" s="11" t="s">
        <v>58</v>
      </c>
      <c r="H18" s="11"/>
      <c r="I18" s="11" t="s">
        <v>391</v>
      </c>
      <c r="J18" s="11" t="s">
        <v>409</v>
      </c>
      <c r="L18" s="11"/>
      <c r="M18" s="11"/>
      <c r="N18" s="11">
        <v>2</v>
      </c>
      <c r="O18" s="11">
        <f t="shared" si="1"/>
        <v>8</v>
      </c>
      <c r="P18" s="11"/>
      <c r="Q18" s="54">
        <f t="shared" si="2"/>
        <v>80</v>
      </c>
      <c r="R18" s="11">
        <f t="shared" si="3"/>
        <v>10</v>
      </c>
      <c r="S18" s="11" t="s">
        <v>65</v>
      </c>
      <c r="T18" s="11"/>
      <c r="U18" s="54">
        <f t="shared" si="4"/>
        <v>25256</v>
      </c>
      <c r="V18" s="11" t="s">
        <v>244</v>
      </c>
      <c r="W18" s="54">
        <f>45.1*7</f>
        <v>315.7</v>
      </c>
      <c r="X18" s="11">
        <v>1</v>
      </c>
      <c r="Y18" s="54">
        <f t="shared" si="0"/>
        <v>3157</v>
      </c>
      <c r="Z18" s="11"/>
    </row>
    <row r="19" spans="1:27" ht="40.049999999999997" customHeight="1" x14ac:dyDescent="0.3">
      <c r="A19" s="11">
        <v>2</v>
      </c>
      <c r="B19" s="11" t="s">
        <v>693</v>
      </c>
      <c r="E19" s="11" t="s">
        <v>408</v>
      </c>
      <c r="F19" s="11"/>
      <c r="G19" s="11" t="s">
        <v>58</v>
      </c>
      <c r="H19" s="11"/>
      <c r="I19" s="11" t="s">
        <v>391</v>
      </c>
      <c r="J19" s="11" t="s">
        <v>409</v>
      </c>
      <c r="L19" s="11"/>
      <c r="M19" s="11"/>
      <c r="N19" s="11">
        <v>2</v>
      </c>
      <c r="O19" s="11">
        <f t="shared" si="1"/>
        <v>8</v>
      </c>
      <c r="P19" s="11"/>
      <c r="Q19" s="54">
        <f t="shared" si="2"/>
        <v>80</v>
      </c>
      <c r="R19" s="11">
        <f t="shared" si="3"/>
        <v>10</v>
      </c>
      <c r="S19" s="11" t="s">
        <v>30</v>
      </c>
      <c r="T19" s="11"/>
      <c r="U19" s="54">
        <f t="shared" si="4"/>
        <v>1216</v>
      </c>
      <c r="V19" s="11" t="s">
        <v>244</v>
      </c>
      <c r="W19" s="54">
        <v>15.2</v>
      </c>
      <c r="X19" s="11">
        <v>1</v>
      </c>
      <c r="Y19" s="54">
        <f t="shared" ref="Y19:Y37" si="5">U19/O19</f>
        <v>152</v>
      </c>
      <c r="Z19" s="11"/>
    </row>
    <row r="20" spans="1:27" ht="40.049999999999997" customHeight="1" x14ac:dyDescent="0.3">
      <c r="A20" s="11">
        <v>2</v>
      </c>
      <c r="B20" s="11" t="s">
        <v>693</v>
      </c>
      <c r="E20" s="11" t="s">
        <v>408</v>
      </c>
      <c r="F20" s="11"/>
      <c r="G20" s="11" t="s">
        <v>58</v>
      </c>
      <c r="H20" s="11"/>
      <c r="I20" s="11" t="s">
        <v>391</v>
      </c>
      <c r="J20" s="11" t="s">
        <v>409</v>
      </c>
      <c r="L20" s="11"/>
      <c r="M20" s="11"/>
      <c r="N20" s="11">
        <v>3</v>
      </c>
      <c r="O20" s="11">
        <f t="shared" si="1"/>
        <v>12</v>
      </c>
      <c r="P20" s="11"/>
      <c r="Q20" s="54">
        <f t="shared" si="2"/>
        <v>120</v>
      </c>
      <c r="R20" s="11">
        <f t="shared" si="3"/>
        <v>10</v>
      </c>
      <c r="S20" s="11" t="s">
        <v>65</v>
      </c>
      <c r="T20" s="11"/>
      <c r="U20" s="54">
        <f t="shared" si="4"/>
        <v>36791.999999999993</v>
      </c>
      <c r="V20" s="11" t="s">
        <v>244</v>
      </c>
      <c r="W20" s="54">
        <f>43.8*7</f>
        <v>306.59999999999997</v>
      </c>
      <c r="X20" s="11">
        <v>1</v>
      </c>
      <c r="Y20" s="54">
        <f t="shared" si="5"/>
        <v>3065.9999999999995</v>
      </c>
      <c r="Z20" s="11"/>
    </row>
    <row r="21" spans="1:27" ht="40.049999999999997" customHeight="1" x14ac:dyDescent="0.3">
      <c r="A21" s="11">
        <v>2</v>
      </c>
      <c r="B21" s="11" t="s">
        <v>693</v>
      </c>
      <c r="E21" s="11" t="s">
        <v>408</v>
      </c>
      <c r="F21" s="11"/>
      <c r="G21" s="11" t="s">
        <v>58</v>
      </c>
      <c r="H21" s="11"/>
      <c r="I21" s="11" t="s">
        <v>391</v>
      </c>
      <c r="J21" s="11" t="s">
        <v>409</v>
      </c>
      <c r="L21" s="11"/>
      <c r="M21" s="11"/>
      <c r="N21" s="11">
        <v>3</v>
      </c>
      <c r="O21" s="11">
        <f t="shared" si="1"/>
        <v>12</v>
      </c>
      <c r="P21" s="11"/>
      <c r="Q21" s="54">
        <f t="shared" si="2"/>
        <v>120</v>
      </c>
      <c r="R21" s="11">
        <f t="shared" si="3"/>
        <v>10</v>
      </c>
      <c r="S21" s="11" t="s">
        <v>30</v>
      </c>
      <c r="T21" s="11"/>
      <c r="U21" s="54">
        <f t="shared" si="4"/>
        <v>2568</v>
      </c>
      <c r="V21" s="11" t="s">
        <v>244</v>
      </c>
      <c r="W21" s="54">
        <v>21.4</v>
      </c>
      <c r="X21" s="11">
        <v>1</v>
      </c>
      <c r="Y21" s="54">
        <f t="shared" si="5"/>
        <v>214</v>
      </c>
      <c r="Z21" s="11"/>
    </row>
    <row r="22" spans="1:27" ht="40.049999999999997" customHeight="1" x14ac:dyDescent="0.3">
      <c r="A22" s="11">
        <v>2</v>
      </c>
      <c r="B22" s="11" t="s">
        <v>693</v>
      </c>
      <c r="E22" s="11" t="s">
        <v>408</v>
      </c>
      <c r="F22" s="11"/>
      <c r="G22" s="11" t="s">
        <v>58</v>
      </c>
      <c r="H22" s="11"/>
      <c r="I22" s="11" t="s">
        <v>441</v>
      </c>
      <c r="J22" s="11" t="s">
        <v>409</v>
      </c>
      <c r="L22" s="11"/>
      <c r="M22" s="11"/>
      <c r="N22" s="11">
        <v>4</v>
      </c>
      <c r="O22" s="11">
        <f t="shared" si="1"/>
        <v>16</v>
      </c>
      <c r="P22" s="11"/>
      <c r="Q22" s="54">
        <f t="shared" si="2"/>
        <v>160</v>
      </c>
      <c r="R22" s="11">
        <f t="shared" si="3"/>
        <v>10</v>
      </c>
      <c r="S22" s="11" t="s">
        <v>65</v>
      </c>
      <c r="T22" s="11"/>
      <c r="U22" s="54">
        <f t="shared" si="4"/>
        <v>44800</v>
      </c>
      <c r="V22" s="11" t="s">
        <v>244</v>
      </c>
      <c r="W22" s="54">
        <f>40*7</f>
        <v>280</v>
      </c>
      <c r="X22" s="11">
        <v>3</v>
      </c>
      <c r="Y22" s="54">
        <f t="shared" si="5"/>
        <v>2800</v>
      </c>
      <c r="Z22" s="11"/>
    </row>
    <row r="23" spans="1:27" ht="40.049999999999997" customHeight="1" x14ac:dyDescent="0.3">
      <c r="A23" s="11">
        <v>2</v>
      </c>
      <c r="B23" s="11" t="s">
        <v>693</v>
      </c>
      <c r="E23" s="11" t="s">
        <v>408</v>
      </c>
      <c r="F23" s="11"/>
      <c r="G23" s="11" t="s">
        <v>58</v>
      </c>
      <c r="H23" s="11"/>
      <c r="I23" s="11" t="s">
        <v>441</v>
      </c>
      <c r="J23" s="11" t="s">
        <v>409</v>
      </c>
      <c r="L23" s="11"/>
      <c r="M23" s="11"/>
      <c r="N23" s="11">
        <v>4</v>
      </c>
      <c r="O23" s="11">
        <f t="shared" si="1"/>
        <v>16</v>
      </c>
      <c r="P23" s="11"/>
      <c r="Q23" s="54">
        <f t="shared" si="2"/>
        <v>160</v>
      </c>
      <c r="R23" s="11">
        <f t="shared" si="3"/>
        <v>10</v>
      </c>
      <c r="S23" s="11" t="s">
        <v>30</v>
      </c>
      <c r="T23" s="11"/>
      <c r="U23" s="54">
        <f t="shared" si="4"/>
        <v>3392</v>
      </c>
      <c r="V23" s="11" t="s">
        <v>244</v>
      </c>
      <c r="W23" s="54">
        <v>21.2</v>
      </c>
      <c r="X23" s="11">
        <v>3</v>
      </c>
      <c r="Y23" s="54">
        <f t="shared" si="5"/>
        <v>212</v>
      </c>
      <c r="Z23" s="11"/>
    </row>
    <row r="24" spans="1:27" ht="40.049999999999997" customHeight="1" x14ac:dyDescent="0.3">
      <c r="A24" s="11">
        <v>2</v>
      </c>
      <c r="B24" s="11" t="s">
        <v>693</v>
      </c>
      <c r="E24" s="11" t="s">
        <v>408</v>
      </c>
      <c r="F24" s="11"/>
      <c r="G24" s="11" t="s">
        <v>58</v>
      </c>
      <c r="H24" s="11"/>
      <c r="I24" s="11" t="s">
        <v>391</v>
      </c>
      <c r="J24" s="11" t="s">
        <v>409</v>
      </c>
      <c r="L24" s="11"/>
      <c r="M24" s="11"/>
      <c r="N24" s="11">
        <v>1</v>
      </c>
      <c r="O24" s="11">
        <f t="shared" ref="O24:O41" si="6">4*N24</f>
        <v>4</v>
      </c>
      <c r="P24" s="11"/>
      <c r="Q24" s="54">
        <f t="shared" ref="Q24:Q43" si="7">AVERAGE(20,60)*N24</f>
        <v>40</v>
      </c>
      <c r="R24" s="11">
        <f t="shared" ref="R24:R41" si="8">Q24/O24</f>
        <v>10</v>
      </c>
      <c r="S24" s="11" t="s">
        <v>30</v>
      </c>
      <c r="T24" s="11"/>
      <c r="U24" s="54">
        <f t="shared" ref="U24:U43" si="9">W24*Q24</f>
        <v>640</v>
      </c>
      <c r="V24" s="11" t="s">
        <v>244</v>
      </c>
      <c r="W24" s="54">
        <v>16</v>
      </c>
      <c r="X24" s="11">
        <v>1</v>
      </c>
      <c r="Y24" s="54">
        <f t="shared" si="5"/>
        <v>160</v>
      </c>
      <c r="Z24" s="11"/>
    </row>
    <row r="25" spans="1:27" ht="40.049999999999997" customHeight="1" x14ac:dyDescent="0.3">
      <c r="A25" s="11">
        <v>2</v>
      </c>
      <c r="B25" s="11" t="s">
        <v>693</v>
      </c>
      <c r="E25" s="11" t="s">
        <v>408</v>
      </c>
      <c r="F25" s="11"/>
      <c r="G25" s="11" t="s">
        <v>58</v>
      </c>
      <c r="H25" s="11"/>
      <c r="I25" s="11" t="s">
        <v>391</v>
      </c>
      <c r="J25" s="11" t="s">
        <v>409</v>
      </c>
      <c r="L25" s="11"/>
      <c r="M25" s="11"/>
      <c r="N25" s="11">
        <v>2</v>
      </c>
      <c r="O25" s="11">
        <f t="shared" si="6"/>
        <v>8</v>
      </c>
      <c r="P25" s="11"/>
      <c r="Q25" s="54">
        <f t="shared" si="7"/>
        <v>80</v>
      </c>
      <c r="R25" s="11">
        <f t="shared" si="8"/>
        <v>10</v>
      </c>
      <c r="S25" s="11" t="s">
        <v>30</v>
      </c>
      <c r="T25" s="11"/>
      <c r="U25" s="54">
        <f t="shared" si="9"/>
        <v>1216</v>
      </c>
      <c r="V25" s="11" t="s">
        <v>244</v>
      </c>
      <c r="W25" s="54">
        <v>15.2</v>
      </c>
      <c r="X25" s="11">
        <v>1</v>
      </c>
      <c r="Y25" s="54">
        <f t="shared" si="5"/>
        <v>152</v>
      </c>
      <c r="Z25" s="11"/>
    </row>
    <row r="26" spans="1:27" ht="40.049999999999997" customHeight="1" x14ac:dyDescent="0.3">
      <c r="A26" s="11">
        <v>2</v>
      </c>
      <c r="B26" s="11" t="s">
        <v>693</v>
      </c>
      <c r="E26" s="11" t="s">
        <v>408</v>
      </c>
      <c r="F26" s="11"/>
      <c r="G26" s="11" t="s">
        <v>58</v>
      </c>
      <c r="H26" s="11"/>
      <c r="I26" s="11" t="s">
        <v>391</v>
      </c>
      <c r="J26" s="11" t="s">
        <v>409</v>
      </c>
      <c r="L26" s="11"/>
      <c r="M26" s="11"/>
      <c r="N26" s="11">
        <v>3</v>
      </c>
      <c r="O26" s="11">
        <f t="shared" si="6"/>
        <v>12</v>
      </c>
      <c r="P26" s="11"/>
      <c r="Q26" s="54">
        <f t="shared" si="7"/>
        <v>120</v>
      </c>
      <c r="R26" s="11">
        <f t="shared" si="8"/>
        <v>10</v>
      </c>
      <c r="S26" s="11" t="s">
        <v>30</v>
      </c>
      <c r="T26" s="11"/>
      <c r="U26" s="54">
        <f t="shared" si="9"/>
        <v>2568</v>
      </c>
      <c r="V26" s="11" t="s">
        <v>244</v>
      </c>
      <c r="W26" s="54">
        <v>21.4</v>
      </c>
      <c r="X26" s="11">
        <v>1</v>
      </c>
      <c r="Y26" s="54">
        <f t="shared" si="5"/>
        <v>214</v>
      </c>
      <c r="Z26" s="11"/>
    </row>
    <row r="27" spans="1:27" ht="40.049999999999997" customHeight="1" x14ac:dyDescent="0.3">
      <c r="A27" s="11">
        <v>2</v>
      </c>
      <c r="B27" s="11" t="s">
        <v>693</v>
      </c>
      <c r="E27" s="11" t="s">
        <v>408</v>
      </c>
      <c r="F27" s="11"/>
      <c r="G27" s="11" t="s">
        <v>58</v>
      </c>
      <c r="H27" s="11"/>
      <c r="I27" s="11" t="s">
        <v>435</v>
      </c>
      <c r="J27" s="11" t="s">
        <v>409</v>
      </c>
      <c r="L27" s="11"/>
      <c r="M27" s="11"/>
      <c r="N27" s="11">
        <v>4</v>
      </c>
      <c r="O27" s="11">
        <f t="shared" si="6"/>
        <v>16</v>
      </c>
      <c r="P27" s="11"/>
      <c r="Q27" s="54">
        <f t="shared" si="7"/>
        <v>160</v>
      </c>
      <c r="R27" s="11">
        <f t="shared" si="8"/>
        <v>10</v>
      </c>
      <c r="S27" s="11" t="s">
        <v>30</v>
      </c>
      <c r="T27" s="11"/>
      <c r="U27" s="54">
        <f t="shared" si="9"/>
        <v>3392</v>
      </c>
      <c r="V27" s="11" t="s">
        <v>244</v>
      </c>
      <c r="W27" s="54">
        <v>21.2</v>
      </c>
      <c r="X27" s="11">
        <v>3</v>
      </c>
      <c r="Y27" s="54">
        <f t="shared" si="5"/>
        <v>212</v>
      </c>
      <c r="Z27" s="11"/>
    </row>
    <row r="28" spans="1:27" ht="40.049999999999997" customHeight="1" x14ac:dyDescent="0.3">
      <c r="A28" s="11">
        <v>2</v>
      </c>
      <c r="B28" s="11" t="s">
        <v>693</v>
      </c>
      <c r="E28" s="11" t="s">
        <v>408</v>
      </c>
      <c r="F28" s="11"/>
      <c r="G28" s="11" t="s">
        <v>58</v>
      </c>
      <c r="H28" s="11"/>
      <c r="I28" s="11" t="s">
        <v>391</v>
      </c>
      <c r="J28" s="11" t="s">
        <v>409</v>
      </c>
      <c r="L28" s="11"/>
      <c r="M28" s="11"/>
      <c r="N28" s="11">
        <v>1</v>
      </c>
      <c r="O28" s="11">
        <f t="shared" si="6"/>
        <v>4</v>
      </c>
      <c r="P28" s="11"/>
      <c r="Q28" s="54">
        <f t="shared" si="7"/>
        <v>40</v>
      </c>
      <c r="R28" s="11">
        <f t="shared" si="8"/>
        <v>10</v>
      </c>
      <c r="S28" s="11" t="s">
        <v>65</v>
      </c>
      <c r="T28" s="11"/>
      <c r="U28" s="54">
        <f t="shared" si="9"/>
        <v>109200</v>
      </c>
      <c r="V28" s="11" t="s">
        <v>244</v>
      </c>
      <c r="W28" s="54">
        <f>105*26</f>
        <v>2730</v>
      </c>
      <c r="X28" s="11">
        <v>1</v>
      </c>
      <c r="Y28" s="54">
        <f t="shared" si="5"/>
        <v>27300</v>
      </c>
      <c r="Z28" s="11"/>
      <c r="AA28" s="11" t="s">
        <v>948</v>
      </c>
    </row>
    <row r="29" spans="1:27" ht="40.049999999999997" customHeight="1" x14ac:dyDescent="0.3">
      <c r="A29" s="11">
        <v>2</v>
      </c>
      <c r="B29" s="11" t="s">
        <v>693</v>
      </c>
      <c r="E29" s="11" t="s">
        <v>408</v>
      </c>
      <c r="F29" s="11"/>
      <c r="G29" s="11" t="s">
        <v>58</v>
      </c>
      <c r="H29" s="11"/>
      <c r="I29" s="11" t="s">
        <v>391</v>
      </c>
      <c r="J29" s="11" t="s">
        <v>409</v>
      </c>
      <c r="L29" s="11"/>
      <c r="M29" s="11"/>
      <c r="N29" s="11">
        <v>1</v>
      </c>
      <c r="O29" s="11">
        <f t="shared" si="6"/>
        <v>4</v>
      </c>
      <c r="P29" s="11"/>
      <c r="Q29" s="54">
        <f t="shared" si="7"/>
        <v>40</v>
      </c>
      <c r="R29" s="11">
        <f t="shared" si="8"/>
        <v>10</v>
      </c>
      <c r="S29" s="11" t="s">
        <v>30</v>
      </c>
      <c r="T29" s="11"/>
      <c r="U29" s="54">
        <f t="shared" si="9"/>
        <v>640</v>
      </c>
      <c r="V29" s="11" t="s">
        <v>244</v>
      </c>
      <c r="W29" s="54">
        <v>16</v>
      </c>
      <c r="X29" s="11">
        <v>1</v>
      </c>
      <c r="Y29" s="54">
        <f t="shared" si="5"/>
        <v>160</v>
      </c>
      <c r="Z29" s="11"/>
    </row>
    <row r="30" spans="1:27" ht="40.049999999999997" customHeight="1" x14ac:dyDescent="0.3">
      <c r="A30" s="11">
        <v>2</v>
      </c>
      <c r="B30" s="11" t="s">
        <v>693</v>
      </c>
      <c r="E30" s="11" t="s">
        <v>408</v>
      </c>
      <c r="F30" s="11"/>
      <c r="G30" s="11" t="s">
        <v>58</v>
      </c>
      <c r="H30" s="11"/>
      <c r="I30" s="11" t="s">
        <v>391</v>
      </c>
      <c r="J30" s="11" t="s">
        <v>409</v>
      </c>
      <c r="L30" s="11"/>
      <c r="M30" s="11"/>
      <c r="N30" s="11">
        <v>2</v>
      </c>
      <c r="O30" s="11">
        <f t="shared" si="6"/>
        <v>8</v>
      </c>
      <c r="P30" s="11"/>
      <c r="Q30" s="54">
        <f t="shared" si="7"/>
        <v>80</v>
      </c>
      <c r="R30" s="11">
        <f t="shared" si="8"/>
        <v>10</v>
      </c>
      <c r="S30" s="11" t="s">
        <v>65</v>
      </c>
      <c r="T30" s="11"/>
      <c r="U30" s="54">
        <f t="shared" si="9"/>
        <v>164112</v>
      </c>
      <c r="V30" s="11" t="s">
        <v>244</v>
      </c>
      <c r="W30" s="54">
        <f>78.9*26</f>
        <v>2051.4</v>
      </c>
      <c r="X30" s="11">
        <v>1</v>
      </c>
      <c r="Y30" s="54">
        <f t="shared" si="5"/>
        <v>20514</v>
      </c>
      <c r="Z30" s="11"/>
    </row>
    <row r="31" spans="1:27" ht="40.049999999999997" customHeight="1" x14ac:dyDescent="0.3">
      <c r="A31" s="11">
        <v>2</v>
      </c>
      <c r="B31" s="11" t="s">
        <v>693</v>
      </c>
      <c r="E31" s="11" t="s">
        <v>408</v>
      </c>
      <c r="F31" s="11"/>
      <c r="G31" s="11" t="s">
        <v>58</v>
      </c>
      <c r="H31" s="11"/>
      <c r="I31" s="11" t="s">
        <v>391</v>
      </c>
      <c r="J31" s="11" t="s">
        <v>409</v>
      </c>
      <c r="L31" s="11"/>
      <c r="M31" s="11"/>
      <c r="N31" s="11">
        <v>2</v>
      </c>
      <c r="O31" s="11">
        <f t="shared" si="6"/>
        <v>8</v>
      </c>
      <c r="P31" s="11"/>
      <c r="Q31" s="54">
        <f t="shared" si="7"/>
        <v>80</v>
      </c>
      <c r="R31" s="11">
        <f t="shared" si="8"/>
        <v>10</v>
      </c>
      <c r="S31" s="11" t="s">
        <v>30</v>
      </c>
      <c r="T31" s="11"/>
      <c r="U31" s="54">
        <f t="shared" si="9"/>
        <v>1216</v>
      </c>
      <c r="V31" s="11" t="s">
        <v>244</v>
      </c>
      <c r="W31" s="54">
        <v>15.2</v>
      </c>
      <c r="X31" s="11">
        <v>1</v>
      </c>
      <c r="Y31" s="54">
        <f t="shared" si="5"/>
        <v>152</v>
      </c>
      <c r="Z31" s="11"/>
    </row>
    <row r="32" spans="1:27" ht="40.049999999999997" customHeight="1" x14ac:dyDescent="0.3">
      <c r="A32" s="11">
        <v>2</v>
      </c>
      <c r="B32" s="11" t="s">
        <v>693</v>
      </c>
      <c r="E32" s="11" t="s">
        <v>408</v>
      </c>
      <c r="F32" s="11"/>
      <c r="G32" s="11" t="s">
        <v>58</v>
      </c>
      <c r="H32" s="11"/>
      <c r="I32" s="11" t="s">
        <v>391</v>
      </c>
      <c r="J32" s="11" t="s">
        <v>409</v>
      </c>
      <c r="L32" s="11"/>
      <c r="M32" s="11"/>
      <c r="N32" s="11">
        <v>3</v>
      </c>
      <c r="O32" s="11">
        <f t="shared" si="6"/>
        <v>12</v>
      </c>
      <c r="P32" s="11"/>
      <c r="Q32" s="54">
        <f t="shared" si="7"/>
        <v>120</v>
      </c>
      <c r="R32" s="11">
        <f t="shared" si="8"/>
        <v>10</v>
      </c>
      <c r="S32" s="11" t="s">
        <v>65</v>
      </c>
      <c r="T32" s="11"/>
      <c r="U32" s="54">
        <f t="shared" si="9"/>
        <v>238992</v>
      </c>
      <c r="V32" s="11" t="s">
        <v>244</v>
      </c>
      <c r="W32" s="54">
        <f>76.6*26</f>
        <v>1991.6</v>
      </c>
      <c r="X32" s="11">
        <v>1</v>
      </c>
      <c r="Y32" s="54">
        <f t="shared" si="5"/>
        <v>19916</v>
      </c>
      <c r="Z32" s="11"/>
    </row>
    <row r="33" spans="1:26" ht="40.049999999999997" customHeight="1" x14ac:dyDescent="0.3">
      <c r="A33" s="11">
        <v>2</v>
      </c>
      <c r="B33" s="11" t="s">
        <v>693</v>
      </c>
      <c r="E33" s="11" t="s">
        <v>408</v>
      </c>
      <c r="F33" s="11"/>
      <c r="G33" s="11" t="s">
        <v>58</v>
      </c>
      <c r="H33" s="11"/>
      <c r="I33" s="11" t="s">
        <v>391</v>
      </c>
      <c r="J33" s="11" t="s">
        <v>409</v>
      </c>
      <c r="L33" s="11"/>
      <c r="M33" s="11"/>
      <c r="N33" s="11">
        <v>3</v>
      </c>
      <c r="O33" s="11">
        <f t="shared" si="6"/>
        <v>12</v>
      </c>
      <c r="P33" s="11"/>
      <c r="Q33" s="54">
        <f t="shared" si="7"/>
        <v>120</v>
      </c>
      <c r="R33" s="11">
        <f t="shared" si="8"/>
        <v>10</v>
      </c>
      <c r="S33" s="11" t="s">
        <v>30</v>
      </c>
      <c r="T33" s="11"/>
      <c r="U33" s="54">
        <f t="shared" si="9"/>
        <v>2568</v>
      </c>
      <c r="V33" s="11" t="s">
        <v>244</v>
      </c>
      <c r="W33" s="54">
        <v>21.4</v>
      </c>
      <c r="X33" s="11">
        <v>1</v>
      </c>
      <c r="Y33" s="54">
        <f t="shared" si="5"/>
        <v>214</v>
      </c>
      <c r="Z33" s="11"/>
    </row>
    <row r="34" spans="1:26" ht="40.049999999999997" customHeight="1" x14ac:dyDescent="0.3">
      <c r="A34" s="11">
        <v>2</v>
      </c>
      <c r="B34" s="11" t="s">
        <v>693</v>
      </c>
      <c r="E34" s="11" t="s">
        <v>408</v>
      </c>
      <c r="F34" s="11"/>
      <c r="G34" s="11" t="s">
        <v>58</v>
      </c>
      <c r="H34" s="11"/>
      <c r="I34" s="11" t="s">
        <v>435</v>
      </c>
      <c r="J34" s="11" t="s">
        <v>409</v>
      </c>
      <c r="L34" s="11"/>
      <c r="M34" s="11"/>
      <c r="N34" s="11">
        <v>4</v>
      </c>
      <c r="O34" s="11">
        <f t="shared" si="6"/>
        <v>16</v>
      </c>
      <c r="P34" s="11"/>
      <c r="Q34" s="54">
        <f t="shared" si="7"/>
        <v>160</v>
      </c>
      <c r="R34" s="11">
        <f t="shared" si="8"/>
        <v>10</v>
      </c>
      <c r="S34" s="11" t="s">
        <v>65</v>
      </c>
      <c r="T34" s="11"/>
      <c r="U34" s="54">
        <f t="shared" si="9"/>
        <v>290784</v>
      </c>
      <c r="V34" s="11" t="s">
        <v>244</v>
      </c>
      <c r="W34" s="54">
        <f>69.9*26</f>
        <v>1817.4</v>
      </c>
      <c r="X34" s="11">
        <v>3</v>
      </c>
      <c r="Y34" s="54">
        <f t="shared" si="5"/>
        <v>18174</v>
      </c>
      <c r="Z34" s="11"/>
    </row>
    <row r="35" spans="1:26" ht="40.049999999999997" customHeight="1" x14ac:dyDescent="0.3">
      <c r="A35" s="11">
        <v>2</v>
      </c>
      <c r="B35" s="11" t="s">
        <v>693</v>
      </c>
      <c r="E35" s="11" t="s">
        <v>408</v>
      </c>
      <c r="F35" s="11"/>
      <c r="G35" s="11" t="s">
        <v>58</v>
      </c>
      <c r="H35" s="11"/>
      <c r="I35" s="11" t="s">
        <v>435</v>
      </c>
      <c r="J35" s="11" t="s">
        <v>409</v>
      </c>
      <c r="L35" s="11"/>
      <c r="M35" s="11"/>
      <c r="N35" s="11">
        <v>4</v>
      </c>
      <c r="O35" s="11">
        <f t="shared" si="6"/>
        <v>16</v>
      </c>
      <c r="P35" s="11"/>
      <c r="Q35" s="54">
        <f t="shared" si="7"/>
        <v>160</v>
      </c>
      <c r="R35" s="11">
        <f t="shared" si="8"/>
        <v>10</v>
      </c>
      <c r="S35" s="11" t="s">
        <v>30</v>
      </c>
      <c r="T35" s="11"/>
      <c r="U35" s="54">
        <f t="shared" si="9"/>
        <v>3392</v>
      </c>
      <c r="V35" s="11" t="s">
        <v>244</v>
      </c>
      <c r="W35" s="54">
        <v>21.2</v>
      </c>
      <c r="X35" s="11">
        <v>3</v>
      </c>
      <c r="Y35" s="54">
        <f t="shared" si="5"/>
        <v>212</v>
      </c>
      <c r="Z35" s="11"/>
    </row>
    <row r="36" spans="1:26" ht="40.049999999999997" customHeight="1" x14ac:dyDescent="0.3">
      <c r="A36" s="11">
        <v>2</v>
      </c>
      <c r="B36" s="11" t="s">
        <v>693</v>
      </c>
      <c r="E36" s="11" t="s">
        <v>408</v>
      </c>
      <c r="F36" s="11"/>
      <c r="G36" s="11" t="s">
        <v>58</v>
      </c>
      <c r="H36" s="11"/>
      <c r="I36" s="11" t="s">
        <v>391</v>
      </c>
      <c r="J36" s="11" t="s">
        <v>412</v>
      </c>
      <c r="L36" s="11"/>
      <c r="M36" s="11"/>
      <c r="N36" s="11">
        <v>1</v>
      </c>
      <c r="O36" s="11">
        <f t="shared" si="6"/>
        <v>4</v>
      </c>
      <c r="P36" s="11"/>
      <c r="Q36" s="54">
        <f t="shared" si="7"/>
        <v>40</v>
      </c>
      <c r="R36" s="11">
        <f t="shared" si="8"/>
        <v>10</v>
      </c>
      <c r="S36" s="11" t="s">
        <v>30</v>
      </c>
      <c r="T36" s="11"/>
      <c r="U36" s="54">
        <f t="shared" si="9"/>
        <v>640</v>
      </c>
      <c r="V36" s="11" t="s">
        <v>244</v>
      </c>
      <c r="W36" s="54">
        <v>16</v>
      </c>
      <c r="X36" s="11">
        <v>1</v>
      </c>
      <c r="Y36" s="54">
        <f t="shared" si="5"/>
        <v>160</v>
      </c>
      <c r="Z36" s="11"/>
    </row>
    <row r="37" spans="1:26" ht="40.049999999999997" customHeight="1" x14ac:dyDescent="0.3">
      <c r="A37" s="11">
        <v>2</v>
      </c>
      <c r="B37" s="11" t="s">
        <v>693</v>
      </c>
      <c r="E37" s="11" t="s">
        <v>408</v>
      </c>
      <c r="F37" s="11"/>
      <c r="G37" s="11" t="s">
        <v>58</v>
      </c>
      <c r="H37" s="11"/>
      <c r="I37" s="11" t="s">
        <v>391</v>
      </c>
      <c r="J37" s="11" t="s">
        <v>412</v>
      </c>
      <c r="L37" s="11"/>
      <c r="M37" s="11"/>
      <c r="N37" s="11">
        <v>2</v>
      </c>
      <c r="O37" s="11">
        <f t="shared" si="6"/>
        <v>8</v>
      </c>
      <c r="P37" s="11"/>
      <c r="Q37" s="54">
        <f t="shared" si="7"/>
        <v>80</v>
      </c>
      <c r="R37" s="11">
        <f t="shared" si="8"/>
        <v>10</v>
      </c>
      <c r="S37" s="11" t="s">
        <v>30</v>
      </c>
      <c r="T37" s="11"/>
      <c r="U37" s="54">
        <f t="shared" si="9"/>
        <v>1216</v>
      </c>
      <c r="V37" s="11" t="s">
        <v>244</v>
      </c>
      <c r="W37" s="54">
        <v>15.2</v>
      </c>
      <c r="X37" s="11">
        <v>1</v>
      </c>
      <c r="Y37" s="54">
        <f t="shared" si="5"/>
        <v>152</v>
      </c>
      <c r="Z37" s="11"/>
    </row>
    <row r="38" spans="1:26" ht="40.049999999999997" customHeight="1" x14ac:dyDescent="0.3">
      <c r="A38" s="11">
        <v>2</v>
      </c>
      <c r="B38" s="11" t="s">
        <v>693</v>
      </c>
      <c r="E38" s="11" t="s">
        <v>408</v>
      </c>
      <c r="F38" s="11"/>
      <c r="G38" s="11" t="s">
        <v>58</v>
      </c>
      <c r="H38" s="11"/>
      <c r="I38" s="11" t="s">
        <v>391</v>
      </c>
      <c r="J38" s="11" t="s">
        <v>412</v>
      </c>
      <c r="L38" s="11"/>
      <c r="M38" s="11"/>
      <c r="N38" s="11">
        <v>3</v>
      </c>
      <c r="O38" s="11">
        <f t="shared" si="6"/>
        <v>12</v>
      </c>
      <c r="P38" s="11"/>
      <c r="Q38" s="54">
        <f t="shared" si="7"/>
        <v>120</v>
      </c>
      <c r="R38" s="11">
        <f t="shared" si="8"/>
        <v>10</v>
      </c>
      <c r="S38" s="11" t="s">
        <v>30</v>
      </c>
      <c r="T38" s="11"/>
      <c r="U38" s="54">
        <f t="shared" si="9"/>
        <v>2568</v>
      </c>
      <c r="V38" s="11" t="s">
        <v>244</v>
      </c>
      <c r="W38" s="54">
        <v>21.4</v>
      </c>
      <c r="X38" s="11">
        <v>1</v>
      </c>
      <c r="Y38" s="54">
        <f t="shared" ref="Y38:Y52" si="10">U38/O38</f>
        <v>214</v>
      </c>
      <c r="Z38" s="11"/>
    </row>
    <row r="39" spans="1:26" ht="40.049999999999997" customHeight="1" x14ac:dyDescent="0.3">
      <c r="A39" s="11">
        <v>2</v>
      </c>
      <c r="B39" s="11" t="s">
        <v>693</v>
      </c>
      <c r="E39" s="11" t="s">
        <v>408</v>
      </c>
      <c r="F39" s="11"/>
      <c r="G39" s="11" t="s">
        <v>58</v>
      </c>
      <c r="H39" s="11"/>
      <c r="I39" s="11" t="s">
        <v>441</v>
      </c>
      <c r="J39" s="11" t="s">
        <v>412</v>
      </c>
      <c r="L39" s="11"/>
      <c r="M39" s="11"/>
      <c r="N39" s="11">
        <v>4</v>
      </c>
      <c r="O39" s="11">
        <f t="shared" si="6"/>
        <v>16</v>
      </c>
      <c r="P39" s="11"/>
      <c r="Q39" s="54">
        <f t="shared" si="7"/>
        <v>160</v>
      </c>
      <c r="R39" s="11">
        <f t="shared" si="8"/>
        <v>10</v>
      </c>
      <c r="S39" s="11" t="s">
        <v>30</v>
      </c>
      <c r="T39" s="11"/>
      <c r="U39" s="54">
        <f t="shared" si="9"/>
        <v>3392</v>
      </c>
      <c r="V39" s="11" t="s">
        <v>244</v>
      </c>
      <c r="W39" s="54">
        <v>21.2</v>
      </c>
      <c r="X39" s="11">
        <v>3</v>
      </c>
      <c r="Y39" s="54">
        <f t="shared" si="10"/>
        <v>212</v>
      </c>
      <c r="Z39" s="11"/>
    </row>
    <row r="40" spans="1:26" ht="40.049999999999997" customHeight="1" x14ac:dyDescent="0.3">
      <c r="A40" s="11">
        <v>2</v>
      </c>
      <c r="B40" s="11" t="s">
        <v>693</v>
      </c>
      <c r="E40" s="11" t="s">
        <v>408</v>
      </c>
      <c r="F40" s="11"/>
      <c r="G40" s="11" t="s">
        <v>58</v>
      </c>
      <c r="H40" s="11"/>
      <c r="I40" s="11" t="s">
        <v>428</v>
      </c>
      <c r="J40" s="11" t="s">
        <v>413</v>
      </c>
      <c r="L40" s="11"/>
      <c r="M40" s="11"/>
      <c r="N40" s="11">
        <v>1</v>
      </c>
      <c r="O40" s="11">
        <f t="shared" si="6"/>
        <v>4</v>
      </c>
      <c r="P40" s="11"/>
      <c r="Q40" s="54">
        <f t="shared" si="7"/>
        <v>40</v>
      </c>
      <c r="R40" s="11">
        <f t="shared" si="8"/>
        <v>10</v>
      </c>
      <c r="S40" s="11" t="s">
        <v>30</v>
      </c>
      <c r="T40" s="11"/>
      <c r="U40" s="54">
        <f t="shared" si="9"/>
        <v>640</v>
      </c>
      <c r="V40" s="11" t="s">
        <v>244</v>
      </c>
      <c r="W40" s="54">
        <v>16</v>
      </c>
      <c r="X40" s="11">
        <v>1</v>
      </c>
      <c r="Y40" s="54">
        <f t="shared" si="10"/>
        <v>160</v>
      </c>
      <c r="Z40" s="11"/>
    </row>
    <row r="41" spans="1:26" ht="40.049999999999997" customHeight="1" x14ac:dyDescent="0.3">
      <c r="A41" s="11">
        <v>2</v>
      </c>
      <c r="B41" s="11" t="s">
        <v>693</v>
      </c>
      <c r="E41" s="11" t="s">
        <v>408</v>
      </c>
      <c r="F41" s="11"/>
      <c r="G41" s="11" t="s">
        <v>58</v>
      </c>
      <c r="H41" s="11"/>
      <c r="I41" s="11" t="s">
        <v>428</v>
      </c>
      <c r="J41" s="11" t="s">
        <v>413</v>
      </c>
      <c r="L41" s="11"/>
      <c r="M41" s="11"/>
      <c r="N41" s="11">
        <v>2</v>
      </c>
      <c r="O41" s="11">
        <f t="shared" si="6"/>
        <v>8</v>
      </c>
      <c r="P41" s="11"/>
      <c r="Q41" s="54">
        <f t="shared" si="7"/>
        <v>80</v>
      </c>
      <c r="R41" s="11">
        <f t="shared" si="8"/>
        <v>10</v>
      </c>
      <c r="S41" s="11" t="s">
        <v>30</v>
      </c>
      <c r="T41" s="11"/>
      <c r="U41" s="54">
        <f t="shared" si="9"/>
        <v>1216</v>
      </c>
      <c r="V41" s="11" t="s">
        <v>244</v>
      </c>
      <c r="W41" s="54">
        <v>15.2</v>
      </c>
      <c r="X41" s="11">
        <v>1</v>
      </c>
      <c r="Y41" s="54">
        <f t="shared" si="10"/>
        <v>152</v>
      </c>
      <c r="Z41" s="11"/>
    </row>
    <row r="42" spans="1:26" ht="40.049999999999997" customHeight="1" x14ac:dyDescent="0.3">
      <c r="A42" s="11">
        <v>2</v>
      </c>
      <c r="B42" s="11" t="s">
        <v>693</v>
      </c>
      <c r="E42" s="11" t="s">
        <v>408</v>
      </c>
      <c r="F42" s="11"/>
      <c r="G42" s="11" t="s">
        <v>58</v>
      </c>
      <c r="H42" s="11"/>
      <c r="I42" s="11" t="s">
        <v>428</v>
      </c>
      <c r="J42" s="11" t="s">
        <v>413</v>
      </c>
      <c r="L42" s="11"/>
      <c r="M42" s="11"/>
      <c r="N42" s="11">
        <v>3</v>
      </c>
      <c r="O42" s="11">
        <f t="shared" ref="O42:O46" si="11">4*N42</f>
        <v>12</v>
      </c>
      <c r="P42" s="11"/>
      <c r="Q42" s="54">
        <f t="shared" si="7"/>
        <v>120</v>
      </c>
      <c r="R42" s="11">
        <f t="shared" ref="R42:R49" si="12">Q42/O42</f>
        <v>10</v>
      </c>
      <c r="S42" s="11" t="s">
        <v>30</v>
      </c>
      <c r="T42" s="11"/>
      <c r="U42" s="54">
        <f t="shared" si="9"/>
        <v>2568</v>
      </c>
      <c r="V42" s="11" t="s">
        <v>244</v>
      </c>
      <c r="W42" s="54">
        <v>21.4</v>
      </c>
      <c r="X42" s="11">
        <v>1</v>
      </c>
      <c r="Y42" s="54">
        <f t="shared" si="10"/>
        <v>214</v>
      </c>
      <c r="Z42" s="11"/>
    </row>
    <row r="43" spans="1:26" ht="40.049999999999997" customHeight="1" x14ac:dyDescent="0.3">
      <c r="A43" s="11">
        <v>2</v>
      </c>
      <c r="B43" s="11" t="s">
        <v>693</v>
      </c>
      <c r="E43" s="11" t="s">
        <v>408</v>
      </c>
      <c r="F43" s="11"/>
      <c r="G43" s="11" t="s">
        <v>58</v>
      </c>
      <c r="H43" s="11"/>
      <c r="I43" s="11" t="s">
        <v>441</v>
      </c>
      <c r="J43" s="11" t="s">
        <v>413</v>
      </c>
      <c r="L43" s="11"/>
      <c r="M43" s="11"/>
      <c r="N43" s="11">
        <v>4</v>
      </c>
      <c r="O43" s="11">
        <f t="shared" si="11"/>
        <v>16</v>
      </c>
      <c r="P43" s="11"/>
      <c r="Q43" s="54">
        <f t="shared" si="7"/>
        <v>160</v>
      </c>
      <c r="R43" s="11">
        <f t="shared" si="12"/>
        <v>10</v>
      </c>
      <c r="S43" s="11" t="s">
        <v>30</v>
      </c>
      <c r="T43" s="11"/>
      <c r="U43" s="54">
        <f t="shared" si="9"/>
        <v>3392</v>
      </c>
      <c r="V43" s="11" t="s">
        <v>244</v>
      </c>
      <c r="W43" s="54">
        <v>21.2</v>
      </c>
      <c r="X43" s="11">
        <v>3</v>
      </c>
      <c r="Y43" s="54">
        <f t="shared" si="10"/>
        <v>212</v>
      </c>
      <c r="Z43" s="11"/>
    </row>
    <row r="44" spans="1:26" ht="40.049999999999997" customHeight="1" x14ac:dyDescent="0.3">
      <c r="A44" s="11">
        <v>3</v>
      </c>
      <c r="B44" s="11" t="s">
        <v>696</v>
      </c>
      <c r="C44" s="11" t="s">
        <v>569</v>
      </c>
      <c r="D44" s="11" t="s">
        <v>835</v>
      </c>
      <c r="E44" s="11" t="s">
        <v>570</v>
      </c>
      <c r="F44" s="11"/>
      <c r="G44" s="11" t="s">
        <v>58</v>
      </c>
      <c r="H44" s="11"/>
      <c r="I44" s="11" t="s">
        <v>391</v>
      </c>
      <c r="J44" s="11" t="s">
        <v>561</v>
      </c>
      <c r="L44" s="11"/>
      <c r="M44" s="11">
        <v>2</v>
      </c>
      <c r="N44" s="11">
        <v>1</v>
      </c>
      <c r="O44" s="11">
        <f t="shared" si="11"/>
        <v>4</v>
      </c>
      <c r="P44" s="11">
        <v>146</v>
      </c>
      <c r="Q44" s="54">
        <f>P44*0.9</f>
        <v>131.4</v>
      </c>
      <c r="R44" s="11">
        <f t="shared" si="12"/>
        <v>32.85</v>
      </c>
      <c r="S44" s="11" t="s">
        <v>30</v>
      </c>
      <c r="T44" s="11"/>
      <c r="U44" s="54">
        <f>5680.5+540</f>
        <v>6220.5</v>
      </c>
      <c r="V44" s="11" t="s">
        <v>244</v>
      </c>
      <c r="W44" s="54">
        <f>U44/Q44</f>
        <v>47.340182648401822</v>
      </c>
      <c r="X44" s="11">
        <v>1</v>
      </c>
      <c r="Y44" s="11">
        <f t="shared" si="10"/>
        <v>1555.125</v>
      </c>
      <c r="Z44" s="11"/>
    </row>
    <row r="45" spans="1:26" ht="40.049999999999997" customHeight="1" x14ac:dyDescent="0.3">
      <c r="A45" s="11">
        <v>3</v>
      </c>
      <c r="B45" s="11" t="s">
        <v>695</v>
      </c>
      <c r="E45" s="11" t="s">
        <v>570</v>
      </c>
      <c r="F45" s="11"/>
      <c r="G45" s="11" t="s">
        <v>58</v>
      </c>
      <c r="H45" s="11"/>
      <c r="I45" s="11" t="s">
        <v>391</v>
      </c>
      <c r="J45" s="11" t="s">
        <v>561</v>
      </c>
      <c r="L45" s="11"/>
      <c r="M45" s="11">
        <v>2</v>
      </c>
      <c r="N45" s="11">
        <v>1</v>
      </c>
      <c r="O45" s="11">
        <f t="shared" si="11"/>
        <v>4</v>
      </c>
      <c r="P45" s="11">
        <v>146</v>
      </c>
      <c r="Q45" s="54">
        <f t="shared" ref="Q45:Q49" si="13">P45*0.9</f>
        <v>131.4</v>
      </c>
      <c r="R45" s="11">
        <f t="shared" si="12"/>
        <v>32.85</v>
      </c>
      <c r="S45" s="11" t="s">
        <v>67</v>
      </c>
      <c r="T45" s="11">
        <v>450</v>
      </c>
      <c r="U45" s="54">
        <v>2</v>
      </c>
      <c r="V45" s="11" t="s">
        <v>1</v>
      </c>
      <c r="W45" s="54">
        <f>T45*U45/Q45</f>
        <v>6.8493150684931505</v>
      </c>
      <c r="X45" s="11">
        <v>1</v>
      </c>
      <c r="Y45" s="11">
        <f t="shared" si="10"/>
        <v>0.5</v>
      </c>
      <c r="Z45" s="11"/>
    </row>
    <row r="46" spans="1:26" ht="40.049999999999997" customHeight="1" x14ac:dyDescent="0.3">
      <c r="A46" s="11">
        <v>3</v>
      </c>
      <c r="B46" s="11" t="s">
        <v>695</v>
      </c>
      <c r="E46" s="11" t="s">
        <v>570</v>
      </c>
      <c r="F46" s="11"/>
      <c r="G46" s="11" t="s">
        <v>215</v>
      </c>
      <c r="H46" s="11"/>
      <c r="I46" s="11" t="s">
        <v>391</v>
      </c>
      <c r="J46" s="11" t="s">
        <v>561</v>
      </c>
      <c r="L46" s="11"/>
      <c r="M46" s="11">
        <v>2</v>
      </c>
      <c r="N46" s="11">
        <v>1</v>
      </c>
      <c r="O46" s="11">
        <f t="shared" si="11"/>
        <v>4</v>
      </c>
      <c r="P46" s="11">
        <v>145</v>
      </c>
      <c r="Q46" s="54">
        <f t="shared" si="13"/>
        <v>130.5</v>
      </c>
      <c r="R46" s="54">
        <f t="shared" si="12"/>
        <v>32.625</v>
      </c>
      <c r="S46" s="11" t="s">
        <v>67</v>
      </c>
      <c r="T46" s="11">
        <v>450</v>
      </c>
      <c r="U46" s="54">
        <v>11.6</v>
      </c>
      <c r="V46" s="11" t="s">
        <v>1</v>
      </c>
      <c r="W46" s="54">
        <f>U46*T46/Q46</f>
        <v>40</v>
      </c>
      <c r="X46" s="11">
        <v>1</v>
      </c>
      <c r="Y46" s="11">
        <f t="shared" si="10"/>
        <v>2.9</v>
      </c>
      <c r="Z46" s="11"/>
    </row>
    <row r="47" spans="1:26" ht="40.049999999999997" customHeight="1" x14ac:dyDescent="0.3">
      <c r="A47" s="11">
        <v>4</v>
      </c>
      <c r="B47" s="11" t="s">
        <v>698</v>
      </c>
      <c r="C47" s="11" t="s">
        <v>571</v>
      </c>
      <c r="D47" s="11" t="s">
        <v>836</v>
      </c>
      <c r="E47" s="11" t="s">
        <v>408</v>
      </c>
      <c r="F47" s="11"/>
      <c r="G47" s="11" t="s">
        <v>58</v>
      </c>
      <c r="H47" s="11"/>
      <c r="I47" s="11" t="s">
        <v>391</v>
      </c>
      <c r="J47" s="11" t="s">
        <v>561</v>
      </c>
      <c r="L47" s="11"/>
      <c r="M47" s="11">
        <v>1</v>
      </c>
      <c r="N47" s="11">
        <v>1</v>
      </c>
      <c r="O47" s="11">
        <f t="shared" ref="O47:O52" si="14">4*N47</f>
        <v>4</v>
      </c>
      <c r="P47" s="11">
        <v>85.5</v>
      </c>
      <c r="Q47" s="54">
        <f t="shared" si="13"/>
        <v>76.95</v>
      </c>
      <c r="R47" s="54">
        <f t="shared" si="12"/>
        <v>19.237500000000001</v>
      </c>
      <c r="S47" s="11" t="s">
        <v>30</v>
      </c>
      <c r="T47" s="11"/>
      <c r="U47" s="54">
        <f>4.82*1000</f>
        <v>4820</v>
      </c>
      <c r="V47" s="11" t="s">
        <v>244</v>
      </c>
      <c r="W47" s="54">
        <f>U47/Q47</f>
        <v>62.638076673164392</v>
      </c>
      <c r="X47" s="11">
        <v>1</v>
      </c>
      <c r="Y47" s="11">
        <f t="shared" si="10"/>
        <v>1205</v>
      </c>
      <c r="Z47" s="11" t="s">
        <v>572</v>
      </c>
    </row>
    <row r="48" spans="1:26" ht="40.049999999999997" customHeight="1" x14ac:dyDescent="0.3">
      <c r="A48" s="11">
        <v>4</v>
      </c>
      <c r="B48" s="11" t="s">
        <v>697</v>
      </c>
      <c r="E48" s="11" t="s">
        <v>408</v>
      </c>
      <c r="F48" s="11"/>
      <c r="G48" s="11" t="s">
        <v>58</v>
      </c>
      <c r="H48" s="11"/>
      <c r="I48" s="11" t="s">
        <v>391</v>
      </c>
      <c r="J48" s="11" t="s">
        <v>561</v>
      </c>
      <c r="L48" s="11"/>
      <c r="M48" s="11">
        <v>1</v>
      </c>
      <c r="N48" s="11">
        <v>1</v>
      </c>
      <c r="O48" s="11">
        <f t="shared" si="14"/>
        <v>4</v>
      </c>
      <c r="P48" s="11">
        <v>85.5</v>
      </c>
      <c r="Q48" s="54">
        <f t="shared" si="13"/>
        <v>76.95</v>
      </c>
      <c r="R48" s="54">
        <f t="shared" si="12"/>
        <v>19.237500000000001</v>
      </c>
      <c r="S48" s="11" t="s">
        <v>437</v>
      </c>
      <c r="T48" s="11"/>
      <c r="U48" s="54">
        <f>0.2*1000</f>
        <v>200</v>
      </c>
      <c r="V48" s="11" t="s">
        <v>244</v>
      </c>
      <c r="W48" s="54">
        <f t="shared" ref="W48:W52" si="15">U48/Q48</f>
        <v>2.5990903183885639</v>
      </c>
      <c r="X48" s="11">
        <v>1</v>
      </c>
      <c r="Y48" s="11">
        <f t="shared" si="10"/>
        <v>50</v>
      </c>
      <c r="Z48" s="11"/>
    </row>
    <row r="49" spans="1:27" ht="40.049999999999997" customHeight="1" x14ac:dyDescent="0.3">
      <c r="A49" s="11">
        <v>4</v>
      </c>
      <c r="B49" s="11" t="s">
        <v>697</v>
      </c>
      <c r="E49" s="11" t="s">
        <v>408</v>
      </c>
      <c r="F49" s="11"/>
      <c r="G49" s="11" t="s">
        <v>58</v>
      </c>
      <c r="H49" s="11"/>
      <c r="I49" s="11" t="s">
        <v>391</v>
      </c>
      <c r="J49" s="11" t="s">
        <v>561</v>
      </c>
      <c r="L49" s="11"/>
      <c r="M49" s="11">
        <v>1</v>
      </c>
      <c r="N49" s="11">
        <v>1</v>
      </c>
      <c r="O49" s="11">
        <f t="shared" si="14"/>
        <v>4</v>
      </c>
      <c r="P49" s="11">
        <v>85.5</v>
      </c>
      <c r="Q49" s="54">
        <f t="shared" si="13"/>
        <v>76.95</v>
      </c>
      <c r="R49" s="54">
        <f t="shared" si="12"/>
        <v>19.237500000000001</v>
      </c>
      <c r="S49" s="11" t="s">
        <v>414</v>
      </c>
      <c r="T49" s="11"/>
      <c r="U49" s="54">
        <f>0.295*1000</f>
        <v>295</v>
      </c>
      <c r="V49" s="11" t="s">
        <v>244</v>
      </c>
      <c r="W49" s="54">
        <f t="shared" si="15"/>
        <v>3.8336582196231319</v>
      </c>
      <c r="X49" s="11">
        <v>1</v>
      </c>
      <c r="Y49" s="11">
        <f t="shared" si="10"/>
        <v>73.75</v>
      </c>
      <c r="Z49" s="11"/>
    </row>
    <row r="50" spans="1:27" ht="40.049999999999997" customHeight="1" x14ac:dyDescent="0.3">
      <c r="A50" s="11">
        <v>5</v>
      </c>
      <c r="B50" s="11" t="s">
        <v>700</v>
      </c>
      <c r="C50" s="11" t="s">
        <v>575</v>
      </c>
      <c r="D50" s="11" t="s">
        <v>837</v>
      </c>
      <c r="E50" s="11" t="s">
        <v>574</v>
      </c>
      <c r="F50" s="11" t="s">
        <v>573</v>
      </c>
      <c r="G50" s="11" t="s">
        <v>58</v>
      </c>
      <c r="H50" s="11"/>
      <c r="I50" s="11" t="s">
        <v>391</v>
      </c>
      <c r="J50" s="11"/>
      <c r="L50" s="11"/>
      <c r="M50" s="11">
        <v>1</v>
      </c>
      <c r="N50" s="11">
        <v>1</v>
      </c>
      <c r="O50" s="11">
        <f t="shared" si="14"/>
        <v>4</v>
      </c>
      <c r="P50" s="11">
        <v>120</v>
      </c>
      <c r="Q50" s="54">
        <f>P50*0.9</f>
        <v>108</v>
      </c>
      <c r="R50" s="11">
        <f>Q50/O50</f>
        <v>27</v>
      </c>
      <c r="S50" s="11" t="s">
        <v>65</v>
      </c>
      <c r="T50" s="11"/>
      <c r="U50" s="54">
        <f>4.587*1000</f>
        <v>4587</v>
      </c>
      <c r="V50" s="11" t="s">
        <v>244</v>
      </c>
      <c r="W50" s="54">
        <f t="shared" si="15"/>
        <v>42.472222222222221</v>
      </c>
      <c r="X50" s="11">
        <v>1</v>
      </c>
      <c r="Y50" s="11">
        <f t="shared" si="10"/>
        <v>1146.75</v>
      </c>
      <c r="Z50" s="11"/>
      <c r="AA50" s="11" t="s">
        <v>494</v>
      </c>
    </row>
    <row r="51" spans="1:27" ht="40.049999999999997" customHeight="1" x14ac:dyDescent="0.3">
      <c r="A51" s="11">
        <v>5</v>
      </c>
      <c r="B51" s="11" t="s">
        <v>699</v>
      </c>
      <c r="E51" s="11" t="s">
        <v>574</v>
      </c>
      <c r="F51" s="11"/>
      <c r="G51" s="11" t="s">
        <v>58</v>
      </c>
      <c r="H51" s="11"/>
      <c r="I51" s="11" t="s">
        <v>391</v>
      </c>
      <c r="J51" s="11"/>
      <c r="L51" s="11"/>
      <c r="M51" s="11">
        <v>1</v>
      </c>
      <c r="N51" s="11">
        <v>1</v>
      </c>
      <c r="O51" s="11">
        <f t="shared" si="14"/>
        <v>4</v>
      </c>
      <c r="P51" s="11">
        <v>120</v>
      </c>
      <c r="Q51" s="54">
        <f>P51*0.9</f>
        <v>108</v>
      </c>
      <c r="R51" s="11">
        <f>Q51/O51</f>
        <v>27</v>
      </c>
      <c r="S51" s="11" t="s">
        <v>67</v>
      </c>
      <c r="T51" s="11"/>
      <c r="U51" s="54">
        <f>0.627*1000</f>
        <v>627</v>
      </c>
      <c r="V51" s="11" t="s">
        <v>244</v>
      </c>
      <c r="W51" s="54">
        <f t="shared" si="15"/>
        <v>5.8055555555555554</v>
      </c>
      <c r="X51" s="11">
        <v>1</v>
      </c>
      <c r="Y51" s="11">
        <f t="shared" si="10"/>
        <v>156.75</v>
      </c>
      <c r="Z51" s="11"/>
    </row>
    <row r="52" spans="1:27" ht="40.049999999999997" customHeight="1" x14ac:dyDescent="0.3">
      <c r="A52" s="11">
        <v>5</v>
      </c>
      <c r="B52" s="11" t="s">
        <v>699</v>
      </c>
      <c r="E52" s="11" t="s">
        <v>574</v>
      </c>
      <c r="F52" s="11"/>
      <c r="G52" s="11" t="s">
        <v>58</v>
      </c>
      <c r="H52" s="11"/>
      <c r="I52" s="11" t="s">
        <v>391</v>
      </c>
      <c r="J52" s="11"/>
      <c r="L52" s="11"/>
      <c r="M52" s="11">
        <v>1</v>
      </c>
      <c r="N52" s="11">
        <v>1</v>
      </c>
      <c r="O52" s="11">
        <f t="shared" si="14"/>
        <v>4</v>
      </c>
      <c r="P52" s="11">
        <v>120</v>
      </c>
      <c r="Q52" s="54">
        <f>P52*0.9</f>
        <v>108</v>
      </c>
      <c r="R52" s="11">
        <f>Q52/O52</f>
        <v>27</v>
      </c>
      <c r="S52" s="11" t="s">
        <v>414</v>
      </c>
      <c r="T52" s="11"/>
      <c r="U52" s="54">
        <f>0.022*1000</f>
        <v>22</v>
      </c>
      <c r="V52" s="11" t="s">
        <v>244</v>
      </c>
      <c r="W52" s="54">
        <f t="shared" si="15"/>
        <v>0.20370370370370369</v>
      </c>
      <c r="X52" s="11">
        <v>1</v>
      </c>
      <c r="Y52" s="11">
        <f t="shared" si="10"/>
        <v>5.5</v>
      </c>
      <c r="Z52" s="11"/>
    </row>
    <row r="53" spans="1:27" ht="40.049999999999997" customHeight="1" x14ac:dyDescent="0.3">
      <c r="A53" s="11">
        <v>6</v>
      </c>
      <c r="B53" s="11" t="s">
        <v>941</v>
      </c>
      <c r="C53" s="11" t="s">
        <v>943</v>
      </c>
      <c r="D53" s="11" t="s">
        <v>942</v>
      </c>
      <c r="E53" s="11" t="s">
        <v>408</v>
      </c>
      <c r="F53" s="11"/>
      <c r="G53" s="11" t="s">
        <v>58</v>
      </c>
      <c r="H53" s="11"/>
      <c r="I53" s="11" t="s">
        <v>391</v>
      </c>
      <c r="J53" s="11" t="s">
        <v>261</v>
      </c>
      <c r="L53" s="11"/>
      <c r="M53" s="11">
        <v>1</v>
      </c>
      <c r="N53" s="11"/>
      <c r="O53" s="11"/>
      <c r="P53" s="11"/>
      <c r="Q53" s="54"/>
      <c r="R53" s="11"/>
      <c r="S53" s="11" t="s">
        <v>65</v>
      </c>
      <c r="T53" s="11"/>
      <c r="U53" s="54"/>
      <c r="V53" s="11" t="s">
        <v>0</v>
      </c>
      <c r="W53" s="54">
        <v>790</v>
      </c>
      <c r="X53" s="11">
        <v>1</v>
      </c>
      <c r="Y53" s="11"/>
      <c r="Z53" s="11"/>
    </row>
    <row r="54" spans="1:27" ht="40.049999999999997" customHeight="1" x14ac:dyDescent="0.3">
      <c r="A54" s="11">
        <v>6</v>
      </c>
      <c r="B54" s="11" t="s">
        <v>937</v>
      </c>
      <c r="E54" s="11" t="s">
        <v>408</v>
      </c>
      <c r="F54" s="11"/>
      <c r="G54" s="11" t="s">
        <v>58</v>
      </c>
      <c r="H54" s="11"/>
      <c r="I54" s="11" t="s">
        <v>391</v>
      </c>
      <c r="J54" s="11" t="s">
        <v>261</v>
      </c>
      <c r="L54" s="11"/>
      <c r="M54" s="11">
        <v>2</v>
      </c>
      <c r="N54" s="11"/>
      <c r="O54" s="11"/>
      <c r="P54" s="11"/>
      <c r="Q54" s="54"/>
      <c r="R54" s="11"/>
      <c r="S54" s="11" t="s">
        <v>65</v>
      </c>
      <c r="T54" s="11"/>
      <c r="U54" s="54"/>
      <c r="V54" s="11" t="s">
        <v>0</v>
      </c>
      <c r="W54" s="54">
        <v>814</v>
      </c>
      <c r="X54" s="11">
        <v>1</v>
      </c>
      <c r="Y54" s="11"/>
      <c r="Z54" s="11"/>
    </row>
    <row r="55" spans="1:27" ht="40.049999999999997" customHeight="1" x14ac:dyDescent="0.3">
      <c r="A55" s="11">
        <v>6</v>
      </c>
      <c r="B55" s="11" t="s">
        <v>938</v>
      </c>
      <c r="E55" s="11" t="s">
        <v>408</v>
      </c>
      <c r="F55" s="11"/>
      <c r="G55" s="11" t="s">
        <v>58</v>
      </c>
      <c r="H55" s="11"/>
      <c r="I55" s="11" t="s">
        <v>391</v>
      </c>
      <c r="J55" s="11" t="s">
        <v>261</v>
      </c>
      <c r="L55" s="11"/>
      <c r="M55" s="11">
        <v>2</v>
      </c>
      <c r="N55" s="11"/>
      <c r="O55" s="11"/>
      <c r="P55" s="11"/>
      <c r="Q55" s="54"/>
      <c r="R55" s="11"/>
      <c r="S55" s="11" t="s">
        <v>67</v>
      </c>
      <c r="T55" s="11"/>
      <c r="U55" s="54"/>
      <c r="V55" s="11" t="s">
        <v>0</v>
      </c>
      <c r="W55" s="54">
        <v>17</v>
      </c>
      <c r="X55" s="11">
        <v>1</v>
      </c>
      <c r="Y55" s="11"/>
      <c r="Z55" s="11"/>
    </row>
    <row r="56" spans="1:27" ht="40.049999999999997" customHeight="1" x14ac:dyDescent="0.3">
      <c r="A56" s="11">
        <v>6</v>
      </c>
      <c r="B56" s="11" t="s">
        <v>939</v>
      </c>
      <c r="E56" s="11" t="s">
        <v>408</v>
      </c>
      <c r="F56" s="11"/>
      <c r="G56" s="11" t="s">
        <v>58</v>
      </c>
      <c r="H56" s="11"/>
      <c r="I56" s="11" t="s">
        <v>391</v>
      </c>
      <c r="J56" s="11" t="s">
        <v>931</v>
      </c>
      <c r="L56" s="11"/>
      <c r="M56" s="11">
        <v>3</v>
      </c>
      <c r="N56" s="11"/>
      <c r="O56" s="11"/>
      <c r="P56" s="11"/>
      <c r="Q56" s="54"/>
      <c r="R56" s="11"/>
      <c r="S56" s="11" t="s">
        <v>65</v>
      </c>
      <c r="T56" s="11"/>
      <c r="U56" s="54"/>
      <c r="V56" s="11" t="s">
        <v>0</v>
      </c>
      <c r="W56" s="54">
        <v>1017</v>
      </c>
      <c r="X56" s="11">
        <v>1</v>
      </c>
      <c r="Y56" s="11"/>
      <c r="Z56" s="11"/>
    </row>
  </sheetData>
  <hyperlinks>
    <hyperlink ref="AA8" r:id="rId1" xr:uid="{00000000-0004-0000-1900-000000000000}"/>
    <hyperlink ref="D53" r:id="rId2" xr:uid="{00000000-0004-0000-1900-000001000000}"/>
  </hyperlinks>
  <pageMargins left="0.7" right="0.7" top="0.75" bottom="0.75" header="0.3" footer="0.3"/>
  <ignoredErrors>
    <ignoredError sqref="W45" formula="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AB26"/>
  <sheetViews>
    <sheetView zoomScaleNormal="100" workbookViewId="0">
      <selection activeCell="F10" sqref="F10"/>
    </sheetView>
  </sheetViews>
  <sheetFormatPr defaultColWidth="9.21875" defaultRowHeight="14.4" x14ac:dyDescent="0.3"/>
  <cols>
    <col min="1" max="1" width="4.77734375" style="12" customWidth="1"/>
    <col min="2" max="2" width="10.77734375" style="12" customWidth="1"/>
    <col min="3" max="3" width="43" style="12" customWidth="1"/>
    <col min="4" max="4" width="22" style="12" customWidth="1"/>
    <col min="5" max="6" width="25" style="12" customWidth="1"/>
    <col min="7" max="7" width="11.44140625" style="12" customWidth="1"/>
    <col min="8" max="8" width="16.21875" style="12" customWidth="1"/>
    <col min="9" max="9" width="27.77734375" style="12" customWidth="1"/>
    <col min="10" max="10" width="16" style="12" customWidth="1"/>
    <col min="11" max="11" width="12.44140625" style="12" customWidth="1"/>
    <col min="12" max="13" width="22.44140625" style="12" customWidth="1"/>
    <col min="14" max="14" width="23" style="12" customWidth="1"/>
    <col min="15" max="15" width="13.21875" style="12" customWidth="1"/>
    <col min="16" max="16" width="13.44140625" style="12" customWidth="1"/>
    <col min="17" max="17" width="12.21875" style="12" customWidth="1"/>
    <col min="18" max="18" width="13.21875" style="12" customWidth="1"/>
    <col min="19" max="19" width="13" style="12" customWidth="1"/>
    <col min="20" max="20" width="9.21875" style="12"/>
    <col min="21" max="21" width="12.21875" style="12" customWidth="1"/>
    <col min="22" max="22" width="9.21875" style="12"/>
    <col min="23" max="23" width="12.77734375" style="34" customWidth="1"/>
    <col min="24" max="25" width="10.21875" style="12" customWidth="1"/>
    <col min="26" max="26" width="9.21875" style="12"/>
    <col min="27" max="27" width="20.44140625" style="11" customWidth="1"/>
    <col min="28" max="28" width="11.77734375" style="12" customWidth="1"/>
    <col min="29" max="16384" width="9.21875" style="12"/>
  </cols>
  <sheetData>
    <row r="1" spans="1:28"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7" t="s">
        <v>195</v>
      </c>
      <c r="P1" s="56" t="s">
        <v>194</v>
      </c>
      <c r="Q1" s="56" t="s">
        <v>415</v>
      </c>
      <c r="R1" s="56" t="s">
        <v>416</v>
      </c>
      <c r="S1" s="56" t="s">
        <v>193</v>
      </c>
      <c r="T1" s="56" t="s">
        <v>421</v>
      </c>
      <c r="U1" s="56" t="s">
        <v>521</v>
      </c>
      <c r="V1" s="56" t="s">
        <v>192</v>
      </c>
      <c r="W1" s="56" t="s">
        <v>497</v>
      </c>
      <c r="X1" s="56" t="s">
        <v>418</v>
      </c>
      <c r="Y1" s="56" t="s">
        <v>242</v>
      </c>
      <c r="Z1" s="56" t="s">
        <v>499</v>
      </c>
      <c r="AA1" s="56" t="s">
        <v>190</v>
      </c>
      <c r="AB1" s="56" t="s">
        <v>190</v>
      </c>
    </row>
    <row r="2" spans="1:28" ht="40.049999999999997" customHeight="1" x14ac:dyDescent="0.3">
      <c r="A2" s="11">
        <v>1</v>
      </c>
      <c r="B2" s="11" t="s">
        <v>702</v>
      </c>
      <c r="C2" s="11" t="s">
        <v>501</v>
      </c>
      <c r="D2" s="11" t="s">
        <v>838</v>
      </c>
      <c r="E2" s="11" t="s">
        <v>500</v>
      </c>
      <c r="F2" s="11"/>
      <c r="G2" s="11" t="s">
        <v>58</v>
      </c>
      <c r="H2" s="11"/>
      <c r="I2" s="11" t="s">
        <v>70</v>
      </c>
      <c r="J2" s="11" t="s">
        <v>502</v>
      </c>
      <c r="K2" s="11" t="s">
        <v>503</v>
      </c>
      <c r="L2" s="11"/>
      <c r="M2" s="11">
        <v>8</v>
      </c>
      <c r="N2" s="11">
        <v>15</v>
      </c>
      <c r="O2" s="11">
        <f>4*N2</f>
        <v>60</v>
      </c>
      <c r="P2" s="54">
        <v>2235.09</v>
      </c>
      <c r="Q2" s="54">
        <f>P2*0.9</f>
        <v>2011.5810000000001</v>
      </c>
      <c r="R2" s="54">
        <f>Q2/O2</f>
        <v>33.526350000000001</v>
      </c>
      <c r="S2" s="11" t="s">
        <v>65</v>
      </c>
      <c r="T2" s="11">
        <v>2320</v>
      </c>
      <c r="U2" s="54">
        <v>1138.3800000000001</v>
      </c>
      <c r="V2" s="11" t="s">
        <v>1</v>
      </c>
      <c r="W2" s="54">
        <f>(U2*T2)/Q2</f>
        <v>1312.9183463156592</v>
      </c>
      <c r="X2" s="11">
        <v>4</v>
      </c>
      <c r="Y2" s="54">
        <f>((U2*T2)+U3)/O2</f>
        <v>44104.36</v>
      </c>
      <c r="Z2" s="11"/>
      <c r="AA2" s="11" t="s">
        <v>504</v>
      </c>
      <c r="AB2" s="11"/>
    </row>
    <row r="3" spans="1:28" ht="40.049999999999997" customHeight="1" x14ac:dyDescent="0.3">
      <c r="A3" s="11">
        <v>1</v>
      </c>
      <c r="B3" s="11" t="s">
        <v>701</v>
      </c>
      <c r="C3" s="11"/>
      <c r="D3" s="11"/>
      <c r="E3" s="11" t="s">
        <v>500</v>
      </c>
      <c r="F3" s="11"/>
      <c r="G3" s="11" t="s">
        <v>58</v>
      </c>
      <c r="H3" s="11"/>
      <c r="I3" s="11" t="s">
        <v>70</v>
      </c>
      <c r="J3" s="11" t="s">
        <v>502</v>
      </c>
      <c r="K3" s="11"/>
      <c r="L3" s="11"/>
      <c r="M3" s="11">
        <v>8</v>
      </c>
      <c r="N3" s="11">
        <v>15</v>
      </c>
      <c r="O3" s="11">
        <f>4*N3</f>
        <v>60</v>
      </c>
      <c r="P3" s="54">
        <v>2235.09</v>
      </c>
      <c r="Q3" s="54">
        <f t="shared" ref="Q3:Q25" si="0">P3*0.9</f>
        <v>2011.5810000000001</v>
      </c>
      <c r="R3" s="54">
        <f t="shared" ref="R3:R26" si="1">Q3/O3</f>
        <v>33.526350000000001</v>
      </c>
      <c r="S3" s="11" t="s">
        <v>65</v>
      </c>
      <c r="T3" s="11"/>
      <c r="U3" s="54">
        <f xml:space="preserve"> 5.22*1000</f>
        <v>5220</v>
      </c>
      <c r="V3" s="11" t="s">
        <v>244</v>
      </c>
      <c r="W3" s="54">
        <f>U3/Q3</f>
        <v>2.5949738041868557</v>
      </c>
      <c r="X3" s="11">
        <v>4</v>
      </c>
      <c r="Y3" s="54">
        <f>((U3*T3)+U4)/O3</f>
        <v>1518.6666666666667</v>
      </c>
      <c r="Z3" s="11"/>
      <c r="AA3" s="11" t="s">
        <v>505</v>
      </c>
      <c r="AB3" s="11"/>
    </row>
    <row r="4" spans="1:28" ht="40.049999999999997" customHeight="1" x14ac:dyDescent="0.3">
      <c r="A4" s="11">
        <v>1</v>
      </c>
      <c r="B4" s="11" t="s">
        <v>701</v>
      </c>
      <c r="C4" s="11"/>
      <c r="D4" s="11"/>
      <c r="E4" s="11" t="s">
        <v>500</v>
      </c>
      <c r="F4" s="11"/>
      <c r="G4" s="11" t="s">
        <v>58</v>
      </c>
      <c r="H4" s="11"/>
      <c r="I4" s="11" t="s">
        <v>70</v>
      </c>
      <c r="J4" s="11" t="s">
        <v>502</v>
      </c>
      <c r="K4" s="11"/>
      <c r="L4" s="11"/>
      <c r="M4" s="11">
        <v>8</v>
      </c>
      <c r="N4" s="11">
        <v>15</v>
      </c>
      <c r="O4" s="11">
        <f>4*N4</f>
        <v>60</v>
      </c>
      <c r="P4" s="54">
        <v>2235.09</v>
      </c>
      <c r="Q4" s="54">
        <f t="shared" si="0"/>
        <v>2011.5810000000001</v>
      </c>
      <c r="R4" s="54">
        <f t="shared" si="1"/>
        <v>33.526350000000001</v>
      </c>
      <c r="S4" s="11" t="s">
        <v>30</v>
      </c>
      <c r="T4" s="11"/>
      <c r="U4" s="54">
        <f xml:space="preserve"> 91.12*1000</f>
        <v>91120</v>
      </c>
      <c r="V4" s="11" t="s">
        <v>244</v>
      </c>
      <c r="W4" s="54">
        <f>U4/Q4</f>
        <v>45.297703647031859</v>
      </c>
      <c r="X4" s="11">
        <v>4</v>
      </c>
      <c r="Y4" s="54">
        <f>U4/O4</f>
        <v>1518.6666666666667</v>
      </c>
      <c r="Z4" s="11"/>
      <c r="AB4" s="11"/>
    </row>
    <row r="5" spans="1:28" ht="40.049999999999997" customHeight="1" x14ac:dyDescent="0.3">
      <c r="A5" s="11">
        <v>1</v>
      </c>
      <c r="B5" s="11" t="s">
        <v>701</v>
      </c>
      <c r="C5" s="11"/>
      <c r="D5" s="11"/>
      <c r="E5" s="11" t="s">
        <v>500</v>
      </c>
      <c r="F5" s="11"/>
      <c r="G5" s="11" t="s">
        <v>58</v>
      </c>
      <c r="H5" s="11"/>
      <c r="I5" s="11" t="s">
        <v>70</v>
      </c>
      <c r="J5" s="11" t="s">
        <v>502</v>
      </c>
      <c r="K5" s="11"/>
      <c r="L5" s="11"/>
      <c r="M5" s="11">
        <v>8</v>
      </c>
      <c r="N5" s="11">
        <v>15</v>
      </c>
      <c r="O5" s="11">
        <f>4*N5</f>
        <v>60</v>
      </c>
      <c r="P5" s="54">
        <v>2235.09</v>
      </c>
      <c r="Q5" s="54">
        <f t="shared" si="0"/>
        <v>2011.5810000000001</v>
      </c>
      <c r="R5" s="54">
        <f t="shared" si="1"/>
        <v>33.526350000000001</v>
      </c>
      <c r="S5" s="11" t="s">
        <v>437</v>
      </c>
      <c r="T5" s="11"/>
      <c r="U5" s="54">
        <f>11.97*1000</f>
        <v>11970</v>
      </c>
      <c r="V5" s="11" t="s">
        <v>244</v>
      </c>
      <c r="W5" s="54">
        <f>U5/Q5</f>
        <v>5.9505433785664108</v>
      </c>
      <c r="X5" s="11">
        <v>4</v>
      </c>
      <c r="Y5" s="54">
        <f>U5/O5</f>
        <v>199.5</v>
      </c>
      <c r="Z5" s="11"/>
      <c r="AB5" s="11"/>
    </row>
    <row r="6" spans="1:28" ht="40.049999999999997" customHeight="1" x14ac:dyDescent="0.3">
      <c r="A6" s="11">
        <v>2</v>
      </c>
      <c r="B6" s="11" t="s">
        <v>704</v>
      </c>
      <c r="C6" s="11" t="s">
        <v>576</v>
      </c>
      <c r="D6" s="11" t="s">
        <v>839</v>
      </c>
      <c r="E6" s="11" t="s">
        <v>500</v>
      </c>
      <c r="F6" s="11" t="s">
        <v>578</v>
      </c>
      <c r="G6" s="11" t="s">
        <v>58</v>
      </c>
      <c r="H6" s="11"/>
      <c r="I6" s="11" t="s">
        <v>435</v>
      </c>
      <c r="J6" s="11" t="s">
        <v>577</v>
      </c>
      <c r="K6" s="11"/>
      <c r="L6" s="11"/>
      <c r="M6" s="11"/>
      <c r="N6" s="11">
        <v>1</v>
      </c>
      <c r="O6" s="11">
        <v>2</v>
      </c>
      <c r="P6" s="54">
        <v>29.9</v>
      </c>
      <c r="Q6" s="54">
        <f t="shared" si="0"/>
        <v>26.91</v>
      </c>
      <c r="R6" s="54">
        <f t="shared" si="1"/>
        <v>13.455</v>
      </c>
      <c r="S6" s="11" t="s">
        <v>65</v>
      </c>
      <c r="T6" s="11"/>
      <c r="U6" s="54">
        <v>58119.3</v>
      </c>
      <c r="V6" s="11" t="s">
        <v>244</v>
      </c>
      <c r="W6" s="54">
        <f>U6/Q6</f>
        <v>2159.7658862876256</v>
      </c>
      <c r="X6" s="11">
        <v>3</v>
      </c>
      <c r="Y6" s="54">
        <f>U6/O6</f>
        <v>29059.65</v>
      </c>
      <c r="Z6" s="11"/>
      <c r="AA6" s="11" t="s">
        <v>579</v>
      </c>
      <c r="AB6" s="11"/>
    </row>
    <row r="7" spans="1:28" ht="40.049999999999997" customHeight="1" x14ac:dyDescent="0.3">
      <c r="A7" s="11">
        <v>2</v>
      </c>
      <c r="B7" s="11" t="s">
        <v>703</v>
      </c>
      <c r="C7" s="11"/>
      <c r="D7" s="11"/>
      <c r="E7" s="11" t="s">
        <v>500</v>
      </c>
      <c r="F7" s="11"/>
      <c r="G7" s="11" t="s">
        <v>58</v>
      </c>
      <c r="H7" s="11"/>
      <c r="I7" s="11" t="s">
        <v>435</v>
      </c>
      <c r="J7" s="11" t="s">
        <v>577</v>
      </c>
      <c r="K7" s="11"/>
      <c r="L7" s="11"/>
      <c r="M7" s="11"/>
      <c r="N7" s="11">
        <v>1</v>
      </c>
      <c r="O7" s="11">
        <v>2</v>
      </c>
      <c r="P7" s="54">
        <v>29.9</v>
      </c>
      <c r="Q7" s="54">
        <f t="shared" si="0"/>
        <v>26.91</v>
      </c>
      <c r="R7" s="54">
        <f t="shared" si="1"/>
        <v>13.455</v>
      </c>
      <c r="S7" s="11" t="s">
        <v>30</v>
      </c>
      <c r="T7" s="11"/>
      <c r="U7" s="54">
        <v>2510.8000000000002</v>
      </c>
      <c r="V7" s="11" t="s">
        <v>244</v>
      </c>
      <c r="W7" s="54">
        <f>U7/Q7</f>
        <v>93.303604607952437</v>
      </c>
      <c r="X7" s="11">
        <v>3</v>
      </c>
      <c r="Y7" s="54">
        <f t="shared" ref="Y7:Y26" si="2">U7/O7</f>
        <v>1255.4000000000001</v>
      </c>
      <c r="Z7" s="11"/>
      <c r="AA7" s="11" t="s">
        <v>504</v>
      </c>
      <c r="AB7" s="11"/>
    </row>
    <row r="8" spans="1:28" ht="40.049999999999997" customHeight="1" x14ac:dyDescent="0.3">
      <c r="A8" s="11">
        <v>2</v>
      </c>
      <c r="B8" s="11" t="s">
        <v>703</v>
      </c>
      <c r="C8" s="11"/>
      <c r="D8" s="11"/>
      <c r="E8" s="11" t="s">
        <v>500</v>
      </c>
      <c r="F8" s="11"/>
      <c r="G8" s="11" t="s">
        <v>58</v>
      </c>
      <c r="H8" s="11"/>
      <c r="I8" s="11" t="s">
        <v>435</v>
      </c>
      <c r="J8" s="11" t="s">
        <v>577</v>
      </c>
      <c r="K8" s="11"/>
      <c r="L8" s="11"/>
      <c r="M8" s="11"/>
      <c r="N8" s="11">
        <v>1</v>
      </c>
      <c r="O8" s="11">
        <v>2</v>
      </c>
      <c r="P8" s="54">
        <v>29.9</v>
      </c>
      <c r="Q8" s="54">
        <f t="shared" si="0"/>
        <v>26.91</v>
      </c>
      <c r="R8" s="54">
        <f t="shared" si="1"/>
        <v>13.455</v>
      </c>
      <c r="S8" s="11" t="s">
        <v>414</v>
      </c>
      <c r="T8" s="11"/>
      <c r="U8" s="54">
        <v>5</v>
      </c>
      <c r="V8" s="11" t="s">
        <v>244</v>
      </c>
      <c r="W8" s="54">
        <f t="shared" ref="W8:W23" si="3">U8/Q8</f>
        <v>0.18580453363062058</v>
      </c>
      <c r="X8" s="11">
        <v>3</v>
      </c>
      <c r="Y8" s="54">
        <f t="shared" si="2"/>
        <v>2.5</v>
      </c>
      <c r="Z8" s="11"/>
      <c r="AB8" s="11"/>
    </row>
    <row r="9" spans="1:28" ht="40.049999999999997" customHeight="1" x14ac:dyDescent="0.3">
      <c r="A9" s="11">
        <v>2</v>
      </c>
      <c r="B9" s="11" t="s">
        <v>703</v>
      </c>
      <c r="C9" s="11"/>
      <c r="D9" s="11"/>
      <c r="E9" s="11" t="s">
        <v>500</v>
      </c>
      <c r="F9" s="11"/>
      <c r="G9" s="11" t="s">
        <v>58</v>
      </c>
      <c r="H9" s="11"/>
      <c r="I9" s="11" t="s">
        <v>435</v>
      </c>
      <c r="J9" s="11" t="s">
        <v>580</v>
      </c>
      <c r="K9" s="11"/>
      <c r="L9" s="11"/>
      <c r="M9" s="11"/>
      <c r="N9" s="11">
        <v>1</v>
      </c>
      <c r="O9" s="11">
        <v>4</v>
      </c>
      <c r="P9" s="54">
        <v>46.2</v>
      </c>
      <c r="Q9" s="54">
        <f t="shared" si="0"/>
        <v>41.580000000000005</v>
      </c>
      <c r="R9" s="54">
        <f t="shared" si="1"/>
        <v>10.395000000000001</v>
      </c>
      <c r="S9" s="11" t="s">
        <v>65</v>
      </c>
      <c r="T9" s="11"/>
      <c r="U9" s="54">
        <v>84169.4</v>
      </c>
      <c r="V9" s="11" t="s">
        <v>244</v>
      </c>
      <c r="W9" s="54">
        <f t="shared" si="3"/>
        <v>2024.2760942760938</v>
      </c>
      <c r="X9" s="11">
        <v>3</v>
      </c>
      <c r="Y9" s="54">
        <f t="shared" si="2"/>
        <v>21042.35</v>
      </c>
      <c r="Z9" s="11"/>
      <c r="AB9" s="11"/>
    </row>
    <row r="10" spans="1:28" ht="40.049999999999997" customHeight="1" x14ac:dyDescent="0.3">
      <c r="A10" s="11">
        <v>2</v>
      </c>
      <c r="B10" s="11" t="s">
        <v>703</v>
      </c>
      <c r="C10" s="11"/>
      <c r="D10" s="11"/>
      <c r="E10" s="11" t="s">
        <v>500</v>
      </c>
      <c r="F10" s="11"/>
      <c r="G10" s="11" t="s">
        <v>58</v>
      </c>
      <c r="H10" s="11"/>
      <c r="I10" s="11" t="s">
        <v>435</v>
      </c>
      <c r="J10" s="11" t="s">
        <v>580</v>
      </c>
      <c r="K10" s="11"/>
      <c r="L10" s="11"/>
      <c r="M10" s="11"/>
      <c r="N10" s="11">
        <v>1</v>
      </c>
      <c r="O10" s="11">
        <v>4</v>
      </c>
      <c r="P10" s="54">
        <v>46.2</v>
      </c>
      <c r="Q10" s="54">
        <f t="shared" si="0"/>
        <v>41.580000000000005</v>
      </c>
      <c r="R10" s="54">
        <f t="shared" si="1"/>
        <v>10.395000000000001</v>
      </c>
      <c r="S10" s="11" t="s">
        <v>30</v>
      </c>
      <c r="T10" s="11"/>
      <c r="U10" s="54">
        <v>4173.1000000000004</v>
      </c>
      <c r="V10" s="11" t="s">
        <v>244</v>
      </c>
      <c r="W10" s="54">
        <f t="shared" si="3"/>
        <v>100.36315536315536</v>
      </c>
      <c r="X10" s="11">
        <v>3</v>
      </c>
      <c r="Y10" s="54">
        <f t="shared" si="2"/>
        <v>1043.2750000000001</v>
      </c>
      <c r="Z10" s="11"/>
      <c r="AB10" s="11"/>
    </row>
    <row r="11" spans="1:28" ht="40.049999999999997" customHeight="1" x14ac:dyDescent="0.3">
      <c r="A11" s="11">
        <v>2</v>
      </c>
      <c r="B11" s="11" t="s">
        <v>703</v>
      </c>
      <c r="C11" s="11"/>
      <c r="D11" s="11"/>
      <c r="E11" s="11" t="s">
        <v>500</v>
      </c>
      <c r="F11" s="11"/>
      <c r="G11" s="11" t="s">
        <v>58</v>
      </c>
      <c r="H11" s="11"/>
      <c r="I11" s="11" t="s">
        <v>435</v>
      </c>
      <c r="J11" s="11" t="s">
        <v>580</v>
      </c>
      <c r="K11" s="11"/>
      <c r="L11" s="11"/>
      <c r="M11" s="11"/>
      <c r="N11" s="11">
        <v>1</v>
      </c>
      <c r="O11" s="11">
        <v>4</v>
      </c>
      <c r="P11" s="54">
        <v>46.2</v>
      </c>
      <c r="Q11" s="54">
        <f t="shared" si="0"/>
        <v>41.580000000000005</v>
      </c>
      <c r="R11" s="54">
        <f t="shared" si="1"/>
        <v>10.395000000000001</v>
      </c>
      <c r="S11" s="11" t="s">
        <v>414</v>
      </c>
      <c r="T11" s="11"/>
      <c r="U11" s="54">
        <v>11.6</v>
      </c>
      <c r="V11" s="11" t="s">
        <v>244</v>
      </c>
      <c r="W11" s="54">
        <f t="shared" si="3"/>
        <v>0.27898027898027894</v>
      </c>
      <c r="X11" s="11">
        <v>3</v>
      </c>
      <c r="Y11" s="54">
        <f t="shared" si="2"/>
        <v>2.9</v>
      </c>
      <c r="Z11" s="11"/>
      <c r="AB11" s="11"/>
    </row>
    <row r="12" spans="1:28" ht="40.049999999999997" customHeight="1" x14ac:dyDescent="0.3">
      <c r="A12" s="11">
        <v>2</v>
      </c>
      <c r="B12" s="11" t="s">
        <v>703</v>
      </c>
      <c r="C12" s="11"/>
      <c r="D12" s="11"/>
      <c r="E12" s="11" t="s">
        <v>500</v>
      </c>
      <c r="F12" s="11"/>
      <c r="G12" s="11" t="s">
        <v>58</v>
      </c>
      <c r="H12" s="11"/>
      <c r="I12" s="11" t="s">
        <v>435</v>
      </c>
      <c r="J12" s="11" t="s">
        <v>581</v>
      </c>
      <c r="K12" s="11"/>
      <c r="L12" s="11"/>
      <c r="M12" s="11"/>
      <c r="N12" s="11">
        <v>1</v>
      </c>
      <c r="O12" s="11">
        <v>4</v>
      </c>
      <c r="P12" s="54">
        <v>59.6</v>
      </c>
      <c r="Q12" s="54">
        <f t="shared" si="0"/>
        <v>53.64</v>
      </c>
      <c r="R12" s="54">
        <f t="shared" si="1"/>
        <v>13.41</v>
      </c>
      <c r="S12" s="11" t="s">
        <v>65</v>
      </c>
      <c r="T12" s="11"/>
      <c r="U12" s="54">
        <v>148488.79999999999</v>
      </c>
      <c r="V12" s="11" t="s">
        <v>244</v>
      </c>
      <c r="W12" s="54">
        <f t="shared" si="3"/>
        <v>2768.2475764354958</v>
      </c>
      <c r="X12" s="11">
        <v>3</v>
      </c>
      <c r="Y12" s="54">
        <f t="shared" si="2"/>
        <v>37122.199999999997</v>
      </c>
      <c r="Z12" s="11"/>
      <c r="AB12" s="11"/>
    </row>
    <row r="13" spans="1:28" ht="40.049999999999997" customHeight="1" x14ac:dyDescent="0.3">
      <c r="A13" s="11">
        <v>2</v>
      </c>
      <c r="B13" s="11" t="s">
        <v>703</v>
      </c>
      <c r="C13" s="11"/>
      <c r="D13" s="11"/>
      <c r="E13" s="11" t="s">
        <v>500</v>
      </c>
      <c r="F13" s="11"/>
      <c r="G13" s="11" t="s">
        <v>58</v>
      </c>
      <c r="H13" s="11"/>
      <c r="I13" s="11" t="s">
        <v>435</v>
      </c>
      <c r="J13" s="11" t="s">
        <v>581</v>
      </c>
      <c r="K13" s="11"/>
      <c r="L13" s="11"/>
      <c r="M13" s="11"/>
      <c r="N13" s="11">
        <v>1</v>
      </c>
      <c r="O13" s="11">
        <v>4</v>
      </c>
      <c r="P13" s="54">
        <v>59.6</v>
      </c>
      <c r="Q13" s="54">
        <f t="shared" si="0"/>
        <v>53.64</v>
      </c>
      <c r="R13" s="54">
        <f t="shared" si="1"/>
        <v>13.41</v>
      </c>
      <c r="S13" s="11" t="s">
        <v>30</v>
      </c>
      <c r="T13" s="11"/>
      <c r="U13" s="54">
        <v>7102.6</v>
      </c>
      <c r="V13" s="11" t="s">
        <v>244</v>
      </c>
      <c r="W13" s="54">
        <f t="shared" si="3"/>
        <v>132.41237882177481</v>
      </c>
      <c r="X13" s="11">
        <v>3</v>
      </c>
      <c r="Y13" s="54">
        <f t="shared" si="2"/>
        <v>1775.65</v>
      </c>
      <c r="Z13" s="11"/>
      <c r="AB13" s="11"/>
    </row>
    <row r="14" spans="1:28" ht="40.049999999999997" customHeight="1" x14ac:dyDescent="0.3">
      <c r="A14" s="11">
        <v>2</v>
      </c>
      <c r="B14" s="11" t="s">
        <v>703</v>
      </c>
      <c r="C14" s="11"/>
      <c r="D14" s="11"/>
      <c r="E14" s="11" t="s">
        <v>500</v>
      </c>
      <c r="F14" s="11"/>
      <c r="G14" s="11" t="s">
        <v>58</v>
      </c>
      <c r="H14" s="11"/>
      <c r="I14" s="11" t="s">
        <v>435</v>
      </c>
      <c r="J14" s="11" t="s">
        <v>581</v>
      </c>
      <c r="K14" s="11"/>
      <c r="L14" s="11"/>
      <c r="M14" s="11"/>
      <c r="N14" s="11">
        <v>1</v>
      </c>
      <c r="O14" s="11">
        <v>4</v>
      </c>
      <c r="P14" s="54">
        <v>59.6</v>
      </c>
      <c r="Q14" s="54">
        <f t="shared" si="0"/>
        <v>53.64</v>
      </c>
      <c r="R14" s="54">
        <f t="shared" si="1"/>
        <v>13.41</v>
      </c>
      <c r="S14" s="11" t="s">
        <v>414</v>
      </c>
      <c r="T14" s="11"/>
      <c r="U14" s="54">
        <v>47.9</v>
      </c>
      <c r="V14" s="11" t="s">
        <v>244</v>
      </c>
      <c r="W14" s="54">
        <f t="shared" si="3"/>
        <v>0.89299030574198357</v>
      </c>
      <c r="X14" s="11">
        <v>3</v>
      </c>
      <c r="Y14" s="54">
        <f t="shared" si="2"/>
        <v>11.975</v>
      </c>
      <c r="Z14" s="11"/>
      <c r="AB14" s="11"/>
    </row>
    <row r="15" spans="1:28" ht="40.049999999999997" customHeight="1" x14ac:dyDescent="0.3">
      <c r="A15" s="11">
        <v>2</v>
      </c>
      <c r="B15" s="11" t="s">
        <v>703</v>
      </c>
      <c r="C15" s="11"/>
      <c r="D15" s="11"/>
      <c r="E15" s="11" t="s">
        <v>500</v>
      </c>
      <c r="F15" s="11"/>
      <c r="G15" s="11" t="s">
        <v>58</v>
      </c>
      <c r="H15" s="11"/>
      <c r="I15" s="11" t="s">
        <v>435</v>
      </c>
      <c r="J15" s="11" t="s">
        <v>582</v>
      </c>
      <c r="K15" s="11"/>
      <c r="L15" s="11"/>
      <c r="M15" s="11"/>
      <c r="N15" s="11">
        <v>1</v>
      </c>
      <c r="O15" s="11">
        <v>5</v>
      </c>
      <c r="P15" s="54">
        <v>84.9</v>
      </c>
      <c r="Q15" s="54">
        <f t="shared" si="0"/>
        <v>76.410000000000011</v>
      </c>
      <c r="R15" s="54">
        <f t="shared" si="1"/>
        <v>15.282000000000002</v>
      </c>
      <c r="S15" s="11" t="s">
        <v>65</v>
      </c>
      <c r="T15" s="11"/>
      <c r="U15" s="54">
        <v>165108.70000000001</v>
      </c>
      <c r="V15" s="11" t="s">
        <v>244</v>
      </c>
      <c r="W15" s="54">
        <f t="shared" si="3"/>
        <v>2160.8258081402955</v>
      </c>
      <c r="X15" s="11">
        <v>3</v>
      </c>
      <c r="Y15" s="54">
        <f t="shared" si="2"/>
        <v>33021.740000000005</v>
      </c>
      <c r="Z15" s="11"/>
      <c r="AB15" s="11"/>
    </row>
    <row r="16" spans="1:28" ht="40.049999999999997" customHeight="1" x14ac:dyDescent="0.3">
      <c r="A16" s="11">
        <v>2</v>
      </c>
      <c r="B16" s="11" t="s">
        <v>703</v>
      </c>
      <c r="C16" s="11"/>
      <c r="D16" s="11"/>
      <c r="E16" s="11" t="s">
        <v>500</v>
      </c>
      <c r="F16" s="11"/>
      <c r="G16" s="11" t="s">
        <v>58</v>
      </c>
      <c r="H16" s="11"/>
      <c r="I16" s="11" t="s">
        <v>435</v>
      </c>
      <c r="J16" s="11" t="s">
        <v>582</v>
      </c>
      <c r="K16" s="11"/>
      <c r="L16" s="11"/>
      <c r="M16" s="11"/>
      <c r="N16" s="11">
        <v>1</v>
      </c>
      <c r="O16" s="11">
        <v>5</v>
      </c>
      <c r="P16" s="54">
        <v>84.9</v>
      </c>
      <c r="Q16" s="54">
        <f t="shared" si="0"/>
        <v>76.410000000000011</v>
      </c>
      <c r="R16" s="54">
        <f t="shared" si="1"/>
        <v>15.282000000000002</v>
      </c>
      <c r="S16" s="11" t="s">
        <v>30</v>
      </c>
      <c r="T16" s="11"/>
      <c r="U16" s="54">
        <v>7357.8</v>
      </c>
      <c r="V16" s="11" t="s">
        <v>244</v>
      </c>
      <c r="W16" s="54">
        <f t="shared" si="3"/>
        <v>96.293678837848432</v>
      </c>
      <c r="X16" s="11">
        <v>3</v>
      </c>
      <c r="Y16" s="54">
        <f t="shared" si="2"/>
        <v>1471.56</v>
      </c>
      <c r="Z16" s="11"/>
      <c r="AB16" s="11"/>
    </row>
    <row r="17" spans="1:28" ht="40.049999999999997" customHeight="1" x14ac:dyDescent="0.3">
      <c r="A17" s="11">
        <v>2</v>
      </c>
      <c r="B17" s="11" t="s">
        <v>703</v>
      </c>
      <c r="C17" s="11"/>
      <c r="D17" s="11"/>
      <c r="E17" s="11" t="s">
        <v>500</v>
      </c>
      <c r="F17" s="11"/>
      <c r="G17" s="11" t="s">
        <v>58</v>
      </c>
      <c r="H17" s="11"/>
      <c r="I17" s="11" t="s">
        <v>435</v>
      </c>
      <c r="J17" s="11" t="s">
        <v>582</v>
      </c>
      <c r="K17" s="11"/>
      <c r="L17" s="11"/>
      <c r="M17" s="11"/>
      <c r="N17" s="11">
        <v>1</v>
      </c>
      <c r="O17" s="11">
        <v>5</v>
      </c>
      <c r="P17" s="54">
        <v>84.9</v>
      </c>
      <c r="Q17" s="54">
        <f t="shared" si="0"/>
        <v>76.410000000000011</v>
      </c>
      <c r="R17" s="54">
        <f t="shared" si="1"/>
        <v>15.282000000000002</v>
      </c>
      <c r="S17" s="11" t="s">
        <v>414</v>
      </c>
      <c r="T17" s="11"/>
      <c r="U17" s="54">
        <v>57.2</v>
      </c>
      <c r="V17" s="11" t="s">
        <v>244</v>
      </c>
      <c r="W17" s="54">
        <f t="shared" si="3"/>
        <v>0.74859311608428214</v>
      </c>
      <c r="X17" s="11">
        <v>3</v>
      </c>
      <c r="Y17" s="54">
        <f t="shared" si="2"/>
        <v>11.440000000000001</v>
      </c>
      <c r="Z17" s="11"/>
      <c r="AB17" s="11"/>
    </row>
    <row r="18" spans="1:28" ht="40.049999999999997" customHeight="1" x14ac:dyDescent="0.3">
      <c r="A18" s="11">
        <v>2</v>
      </c>
      <c r="B18" s="11" t="s">
        <v>703</v>
      </c>
      <c r="C18" s="11"/>
      <c r="D18" s="11"/>
      <c r="E18" s="11" t="s">
        <v>500</v>
      </c>
      <c r="F18" s="11"/>
      <c r="G18" s="11" t="s">
        <v>58</v>
      </c>
      <c r="H18" s="11"/>
      <c r="I18" s="11" t="s">
        <v>435</v>
      </c>
      <c r="J18" s="11" t="s">
        <v>583</v>
      </c>
      <c r="K18" s="11"/>
      <c r="L18" s="11"/>
      <c r="M18" s="11"/>
      <c r="N18" s="11">
        <v>1</v>
      </c>
      <c r="O18" s="11">
        <v>5</v>
      </c>
      <c r="P18" s="54">
        <v>102.5</v>
      </c>
      <c r="Q18" s="54">
        <f t="shared" si="0"/>
        <v>92.25</v>
      </c>
      <c r="R18" s="54">
        <f t="shared" si="1"/>
        <v>18.45</v>
      </c>
      <c r="S18" s="11" t="s">
        <v>65</v>
      </c>
      <c r="T18" s="11"/>
      <c r="U18" s="54">
        <v>237930.2</v>
      </c>
      <c r="V18" s="11" t="s">
        <v>244</v>
      </c>
      <c r="W18" s="54">
        <f t="shared" si="3"/>
        <v>2579.189159891599</v>
      </c>
      <c r="X18" s="11">
        <v>3</v>
      </c>
      <c r="Y18" s="54">
        <f t="shared" si="2"/>
        <v>47586.04</v>
      </c>
      <c r="Z18" s="11"/>
      <c r="AB18" s="11"/>
    </row>
    <row r="19" spans="1:28" ht="40.049999999999997" customHeight="1" x14ac:dyDescent="0.3">
      <c r="A19" s="11">
        <v>2</v>
      </c>
      <c r="B19" s="11" t="s">
        <v>703</v>
      </c>
      <c r="C19" s="11"/>
      <c r="D19" s="11"/>
      <c r="E19" s="11" t="s">
        <v>500</v>
      </c>
      <c r="F19" s="11"/>
      <c r="G19" s="11" t="s">
        <v>58</v>
      </c>
      <c r="H19" s="11"/>
      <c r="I19" s="11" t="s">
        <v>435</v>
      </c>
      <c r="J19" s="11" t="s">
        <v>583</v>
      </c>
      <c r="K19" s="11"/>
      <c r="L19" s="11"/>
      <c r="M19" s="11"/>
      <c r="N19" s="11">
        <v>1</v>
      </c>
      <c r="O19" s="11">
        <v>5</v>
      </c>
      <c r="P19" s="54">
        <v>102.5</v>
      </c>
      <c r="Q19" s="54">
        <f t="shared" si="0"/>
        <v>92.25</v>
      </c>
      <c r="R19" s="54">
        <f t="shared" si="1"/>
        <v>18.45</v>
      </c>
      <c r="S19" s="11" t="s">
        <v>30</v>
      </c>
      <c r="T19" s="11"/>
      <c r="U19" s="54">
        <v>10134.6</v>
      </c>
      <c r="V19" s="11" t="s">
        <v>244</v>
      </c>
      <c r="W19" s="54">
        <f t="shared" si="3"/>
        <v>109.86016260162602</v>
      </c>
      <c r="X19" s="11">
        <v>3</v>
      </c>
      <c r="Y19" s="54">
        <f t="shared" si="2"/>
        <v>2026.92</v>
      </c>
      <c r="Z19" s="11"/>
      <c r="AB19" s="11"/>
    </row>
    <row r="20" spans="1:28" ht="40.049999999999997" customHeight="1" x14ac:dyDescent="0.3">
      <c r="A20" s="11">
        <v>2</v>
      </c>
      <c r="B20" s="11" t="s">
        <v>703</v>
      </c>
      <c r="C20" s="11"/>
      <c r="D20" s="11"/>
      <c r="E20" s="11" t="s">
        <v>500</v>
      </c>
      <c r="F20" s="11"/>
      <c r="G20" s="11" t="s">
        <v>58</v>
      </c>
      <c r="H20" s="11"/>
      <c r="I20" s="11" t="s">
        <v>435</v>
      </c>
      <c r="J20" s="11" t="s">
        <v>583</v>
      </c>
      <c r="K20" s="11"/>
      <c r="L20" s="11"/>
      <c r="M20" s="11"/>
      <c r="N20" s="11">
        <v>1</v>
      </c>
      <c r="O20" s="11">
        <v>5</v>
      </c>
      <c r="P20" s="54">
        <v>102.5</v>
      </c>
      <c r="Q20" s="54">
        <f t="shared" si="0"/>
        <v>92.25</v>
      </c>
      <c r="R20" s="54">
        <f t="shared" si="1"/>
        <v>18.45</v>
      </c>
      <c r="S20" s="11" t="s">
        <v>414</v>
      </c>
      <c r="T20" s="11"/>
      <c r="U20" s="54">
        <v>118.2</v>
      </c>
      <c r="V20" s="11" t="s">
        <v>244</v>
      </c>
      <c r="W20" s="54">
        <f t="shared" si="3"/>
        <v>1.28130081300813</v>
      </c>
      <c r="X20" s="11">
        <v>3</v>
      </c>
      <c r="Y20" s="54">
        <f t="shared" si="2"/>
        <v>23.64</v>
      </c>
      <c r="Z20" s="11"/>
      <c r="AB20" s="11"/>
    </row>
    <row r="21" spans="1:28" ht="40.049999999999997" customHeight="1" x14ac:dyDescent="0.3">
      <c r="A21" s="11">
        <v>2</v>
      </c>
      <c r="B21" s="11" t="s">
        <v>703</v>
      </c>
      <c r="C21" s="11"/>
      <c r="D21" s="11"/>
      <c r="E21" s="11" t="s">
        <v>500</v>
      </c>
      <c r="F21" s="11"/>
      <c r="G21" s="11" t="s">
        <v>58</v>
      </c>
      <c r="H21" s="11"/>
      <c r="I21" s="11" t="s">
        <v>435</v>
      </c>
      <c r="J21" s="11" t="s">
        <v>584</v>
      </c>
      <c r="K21" s="11"/>
      <c r="L21" s="11"/>
      <c r="M21" s="11"/>
      <c r="N21" s="11">
        <v>1</v>
      </c>
      <c r="O21" s="11">
        <v>5</v>
      </c>
      <c r="P21" s="54">
        <v>149.5</v>
      </c>
      <c r="Q21" s="54">
        <f t="shared" si="0"/>
        <v>134.55000000000001</v>
      </c>
      <c r="R21" s="54">
        <f t="shared" si="1"/>
        <v>26.910000000000004</v>
      </c>
      <c r="S21" s="11" t="s">
        <v>65</v>
      </c>
      <c r="T21" s="11"/>
      <c r="U21" s="54">
        <v>299071.8</v>
      </c>
      <c r="V21" s="11" t="s">
        <v>244</v>
      </c>
      <c r="W21" s="54">
        <f t="shared" si="3"/>
        <v>2222.755852842809</v>
      </c>
      <c r="X21" s="11">
        <v>3</v>
      </c>
      <c r="Y21" s="54">
        <f t="shared" si="2"/>
        <v>59814.36</v>
      </c>
      <c r="Z21" s="11"/>
      <c r="AB21" s="11"/>
    </row>
    <row r="22" spans="1:28" ht="40.049999999999997" customHeight="1" x14ac:dyDescent="0.3">
      <c r="A22" s="11">
        <v>2</v>
      </c>
      <c r="B22" s="11" t="s">
        <v>703</v>
      </c>
      <c r="C22" s="11"/>
      <c r="D22" s="11"/>
      <c r="E22" s="11" t="s">
        <v>500</v>
      </c>
      <c r="F22" s="11"/>
      <c r="G22" s="11" t="s">
        <v>58</v>
      </c>
      <c r="H22" s="11"/>
      <c r="I22" s="11" t="s">
        <v>435</v>
      </c>
      <c r="J22" s="11" t="s">
        <v>584</v>
      </c>
      <c r="K22" s="11"/>
      <c r="L22" s="11"/>
      <c r="M22" s="11"/>
      <c r="N22" s="11">
        <v>1</v>
      </c>
      <c r="O22" s="11">
        <v>5</v>
      </c>
      <c r="P22" s="54">
        <v>149.5</v>
      </c>
      <c r="Q22" s="54">
        <f t="shared" si="0"/>
        <v>134.55000000000001</v>
      </c>
      <c r="R22" s="54">
        <f t="shared" si="1"/>
        <v>26.910000000000004</v>
      </c>
      <c r="S22" s="11" t="s">
        <v>30</v>
      </c>
      <c r="T22" s="11"/>
      <c r="U22" s="54">
        <v>14375.2</v>
      </c>
      <c r="V22" s="11" t="s">
        <v>244</v>
      </c>
      <c r="W22" s="54">
        <f t="shared" si="3"/>
        <v>106.83909327387587</v>
      </c>
      <c r="X22" s="11">
        <v>3</v>
      </c>
      <c r="Y22" s="54">
        <f t="shared" si="2"/>
        <v>2875.04</v>
      </c>
      <c r="Z22" s="11"/>
      <c r="AB22" s="11"/>
    </row>
    <row r="23" spans="1:28" ht="40.049999999999997" customHeight="1" x14ac:dyDescent="0.3">
      <c r="A23" s="11">
        <v>2</v>
      </c>
      <c r="B23" s="11" t="s">
        <v>703</v>
      </c>
      <c r="C23" s="11"/>
      <c r="D23" s="11"/>
      <c r="E23" s="11" t="s">
        <v>500</v>
      </c>
      <c r="F23" s="11"/>
      <c r="G23" s="11" t="s">
        <v>58</v>
      </c>
      <c r="H23" s="11"/>
      <c r="I23" s="11" t="s">
        <v>435</v>
      </c>
      <c r="J23" s="11" t="s">
        <v>584</v>
      </c>
      <c r="K23" s="11"/>
      <c r="L23" s="11"/>
      <c r="M23" s="11"/>
      <c r="N23" s="11">
        <v>1</v>
      </c>
      <c r="O23" s="11">
        <v>5</v>
      </c>
      <c r="P23" s="54">
        <v>149.5</v>
      </c>
      <c r="Q23" s="54">
        <f t="shared" si="0"/>
        <v>134.55000000000001</v>
      </c>
      <c r="R23" s="54">
        <f t="shared" si="1"/>
        <v>26.910000000000004</v>
      </c>
      <c r="S23" s="11" t="s">
        <v>414</v>
      </c>
      <c r="T23" s="11"/>
      <c r="U23" s="54">
        <v>135.80000000000001</v>
      </c>
      <c r="V23" s="11" t="s">
        <v>244</v>
      </c>
      <c r="W23" s="54">
        <f t="shared" si="3"/>
        <v>1.0092902266815311</v>
      </c>
      <c r="X23" s="11">
        <v>3</v>
      </c>
      <c r="Y23" s="54">
        <f t="shared" si="2"/>
        <v>27.160000000000004</v>
      </c>
      <c r="Z23" s="11"/>
      <c r="AB23" s="11"/>
    </row>
    <row r="24" spans="1:28" ht="40.049999999999997" customHeight="1" x14ac:dyDescent="0.3">
      <c r="A24" s="11">
        <v>3</v>
      </c>
      <c r="B24" s="11" t="s">
        <v>706</v>
      </c>
      <c r="C24" s="11" t="s">
        <v>841</v>
      </c>
      <c r="D24" s="11" t="s">
        <v>840</v>
      </c>
      <c r="E24" s="11" t="s">
        <v>500</v>
      </c>
      <c r="F24" s="11"/>
      <c r="G24" s="11" t="s">
        <v>58</v>
      </c>
      <c r="H24" s="11"/>
      <c r="I24" s="11" t="s">
        <v>70</v>
      </c>
      <c r="J24" s="11" t="s">
        <v>585</v>
      </c>
      <c r="K24" s="11"/>
      <c r="L24" s="11"/>
      <c r="M24" s="11">
        <v>18</v>
      </c>
      <c r="N24" s="11">
        <f>3*18</f>
        <v>54</v>
      </c>
      <c r="O24" s="11">
        <f>4*N24</f>
        <v>216</v>
      </c>
      <c r="P24" s="54">
        <v>5313.9</v>
      </c>
      <c r="Q24" s="11">
        <f t="shared" si="0"/>
        <v>4782.51</v>
      </c>
      <c r="R24" s="54">
        <f t="shared" si="1"/>
        <v>22.141249999999999</v>
      </c>
      <c r="S24" s="11" t="s">
        <v>65</v>
      </c>
      <c r="T24" s="10">
        <v>2320</v>
      </c>
      <c r="U24" s="54">
        <v>3055.7330000000002</v>
      </c>
      <c r="V24" s="11" t="s">
        <v>1</v>
      </c>
      <c r="W24" s="54">
        <f>(T24*U24)/Q24</f>
        <v>1482.3388889934365</v>
      </c>
      <c r="X24" s="11">
        <v>4</v>
      </c>
      <c r="Y24" s="54">
        <f t="shared" si="2"/>
        <v>14.146912037037039</v>
      </c>
      <c r="Z24" s="11">
        <v>40</v>
      </c>
      <c r="AA24" s="11" t="s">
        <v>586</v>
      </c>
      <c r="AB24" s="11"/>
    </row>
    <row r="25" spans="1:28" ht="40.049999999999997" customHeight="1" x14ac:dyDescent="0.3">
      <c r="A25" s="11">
        <v>3</v>
      </c>
      <c r="B25" s="11" t="s">
        <v>705</v>
      </c>
      <c r="C25" s="11"/>
      <c r="D25" s="11"/>
      <c r="E25" s="11" t="s">
        <v>500</v>
      </c>
      <c r="F25" s="11"/>
      <c r="G25" s="11" t="s">
        <v>58</v>
      </c>
      <c r="H25" s="11"/>
      <c r="I25" s="11" t="s">
        <v>70</v>
      </c>
      <c r="J25" s="11" t="s">
        <v>585</v>
      </c>
      <c r="K25" s="11"/>
      <c r="L25" s="11"/>
      <c r="M25" s="11">
        <v>18</v>
      </c>
      <c r="N25" s="11">
        <f>3*18</f>
        <v>54</v>
      </c>
      <c r="O25" s="11">
        <f>4*N25</f>
        <v>216</v>
      </c>
      <c r="P25" s="54">
        <v>5313.9</v>
      </c>
      <c r="Q25" s="11">
        <f t="shared" si="0"/>
        <v>4782.51</v>
      </c>
      <c r="R25" s="54">
        <f t="shared" si="1"/>
        <v>22.141249999999999</v>
      </c>
      <c r="S25" s="11" t="s">
        <v>437</v>
      </c>
      <c r="T25" s="11">
        <v>2500</v>
      </c>
      <c r="U25" s="54">
        <v>23.995999999999999</v>
      </c>
      <c r="V25" s="11" t="s">
        <v>1</v>
      </c>
      <c r="W25" s="54">
        <f>(T25*U25)/Q25</f>
        <v>12.543622491118679</v>
      </c>
      <c r="X25" s="11">
        <v>4</v>
      </c>
      <c r="Y25" s="54">
        <f t="shared" si="2"/>
        <v>0.11109259259259259</v>
      </c>
      <c r="Z25" s="11"/>
      <c r="AA25" s="39" t="s">
        <v>589</v>
      </c>
      <c r="AB25" s="11"/>
    </row>
    <row r="26" spans="1:28" ht="40.049999999999997" customHeight="1" x14ac:dyDescent="0.3">
      <c r="A26" s="11">
        <v>3</v>
      </c>
      <c r="B26" s="11" t="s">
        <v>705</v>
      </c>
      <c r="C26" s="11"/>
      <c r="D26" s="11"/>
      <c r="E26" s="11" t="s">
        <v>500</v>
      </c>
      <c r="F26" s="11"/>
      <c r="G26" s="11" t="s">
        <v>58</v>
      </c>
      <c r="H26" s="11"/>
      <c r="I26" s="11" t="s">
        <v>70</v>
      </c>
      <c r="J26" s="11" t="s">
        <v>585</v>
      </c>
      <c r="K26" s="11"/>
      <c r="L26" s="11"/>
      <c r="M26" s="11">
        <v>18</v>
      </c>
      <c r="N26" s="11">
        <f>3*18</f>
        <v>54</v>
      </c>
      <c r="O26" s="11">
        <f>4*N26</f>
        <v>216</v>
      </c>
      <c r="P26" s="54">
        <v>5314.9</v>
      </c>
      <c r="Q26" s="11">
        <f>P26*0.9</f>
        <v>4783.41</v>
      </c>
      <c r="R26" s="54">
        <f t="shared" si="1"/>
        <v>22.145416666666666</v>
      </c>
      <c r="S26" s="11" t="s">
        <v>30</v>
      </c>
      <c r="T26" s="11"/>
      <c r="U26" s="54">
        <f>389.04*1000</f>
        <v>389040</v>
      </c>
      <c r="V26" s="11" t="s">
        <v>244</v>
      </c>
      <c r="W26" s="54">
        <f>U26/Q26</f>
        <v>81.331100616505807</v>
      </c>
      <c r="X26" s="11">
        <v>4</v>
      </c>
      <c r="Y26" s="54">
        <f t="shared" si="2"/>
        <v>1801.1111111111111</v>
      </c>
      <c r="Z26" s="11"/>
      <c r="AA26" s="11" t="s">
        <v>587</v>
      </c>
      <c r="AB26" s="11"/>
    </row>
  </sheetData>
  <hyperlinks>
    <hyperlink ref="AA25" r:id="rId1" xr:uid="{00000000-0004-0000-1A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A1:AA50"/>
  <sheetViews>
    <sheetView zoomScaleNormal="100" workbookViewId="0">
      <selection activeCell="AA14" sqref="AA14"/>
    </sheetView>
  </sheetViews>
  <sheetFormatPr defaultColWidth="8.77734375" defaultRowHeight="14.4" x14ac:dyDescent="0.3"/>
  <cols>
    <col min="1" max="1" width="4" style="12" customWidth="1"/>
    <col min="2" max="2" width="10.77734375" style="11" customWidth="1"/>
    <col min="3" max="3" width="40.77734375" style="11" customWidth="1"/>
    <col min="4" max="4" width="20.77734375" style="11" customWidth="1"/>
    <col min="5" max="6" width="25" style="12" customWidth="1"/>
    <col min="7" max="7" width="13" style="12" customWidth="1"/>
    <col min="8" max="8" width="18.44140625" style="12" customWidth="1"/>
    <col min="9" max="9" width="27.77734375" style="12" customWidth="1"/>
    <col min="10" max="10" width="20.21875" style="12" customWidth="1"/>
    <col min="11" max="11" width="19.21875" style="12" customWidth="1"/>
    <col min="12" max="13" width="22.44140625" style="12" customWidth="1"/>
    <col min="14" max="14" width="23" style="12" customWidth="1"/>
    <col min="15" max="15" width="13.21875" style="12" customWidth="1"/>
    <col min="16" max="16" width="13.44140625" style="12" customWidth="1"/>
    <col min="17" max="17" width="12.21875" style="12" customWidth="1"/>
    <col min="18" max="18" width="13.21875" style="12" customWidth="1"/>
    <col min="19" max="19" width="12.44140625" style="12" customWidth="1"/>
    <col min="20" max="20" width="9.21875" style="12"/>
    <col min="21" max="21" width="12.21875" style="12" customWidth="1"/>
    <col min="22" max="22" width="9.21875" style="12"/>
    <col min="23" max="23" width="12.44140625" style="34" customWidth="1"/>
    <col min="24" max="24" width="10.21875" style="12" customWidth="1"/>
    <col min="25" max="25" width="10.44140625" style="12" bestFit="1" customWidth="1"/>
    <col min="26" max="26" width="11.77734375" style="12" customWidth="1"/>
    <col min="27" max="27" width="61" style="11" customWidth="1"/>
  </cols>
  <sheetData>
    <row r="1" spans="1:27" ht="40.049999999999997"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415</v>
      </c>
      <c r="R1" s="56" t="s">
        <v>416</v>
      </c>
      <c r="S1" s="56" t="s">
        <v>193</v>
      </c>
      <c r="T1" s="56" t="s">
        <v>421</v>
      </c>
      <c r="U1" s="56" t="s">
        <v>521</v>
      </c>
      <c r="V1" s="56" t="s">
        <v>192</v>
      </c>
      <c r="W1" s="56" t="s">
        <v>386</v>
      </c>
      <c r="X1" s="56" t="s">
        <v>461</v>
      </c>
      <c r="Y1" s="56" t="s">
        <v>242</v>
      </c>
      <c r="Z1" s="56" t="s">
        <v>191</v>
      </c>
      <c r="AA1" s="56" t="s">
        <v>190</v>
      </c>
    </row>
    <row r="2" spans="1:27" ht="40.049999999999997" customHeight="1" x14ac:dyDescent="0.3">
      <c r="A2" s="11">
        <v>1</v>
      </c>
      <c r="B2" s="11" t="s">
        <v>708</v>
      </c>
      <c r="C2" s="11" t="s">
        <v>460</v>
      </c>
      <c r="D2" s="11" t="s">
        <v>842</v>
      </c>
      <c r="E2" s="11" t="s">
        <v>588</v>
      </c>
      <c r="F2" s="11"/>
      <c r="G2" s="11" t="s">
        <v>58</v>
      </c>
      <c r="H2" s="11"/>
      <c r="I2" s="11" t="s">
        <v>70</v>
      </c>
      <c r="J2" s="11" t="s">
        <v>459</v>
      </c>
      <c r="K2" s="11"/>
      <c r="L2" s="11">
        <v>1992</v>
      </c>
      <c r="M2" s="11">
        <v>40</v>
      </c>
      <c r="N2" s="11">
        <f>16*M2</f>
        <v>640</v>
      </c>
      <c r="O2" s="11">
        <f t="shared" ref="O2:O11" si="0">4*N2</f>
        <v>2560</v>
      </c>
      <c r="P2" s="11"/>
      <c r="Q2" s="11">
        <v>39040</v>
      </c>
      <c r="R2" s="54">
        <f t="shared" ref="R2:R34" si="1">Q2/O2</f>
        <v>15.25</v>
      </c>
      <c r="S2" s="11" t="s">
        <v>65</v>
      </c>
      <c r="T2" s="11"/>
      <c r="U2" s="11">
        <f>7110*1000</f>
        <v>7110000</v>
      </c>
      <c r="V2" s="11" t="s">
        <v>244</v>
      </c>
      <c r="W2" s="54">
        <f t="shared" ref="W2:W11" si="2">U2/Q2</f>
        <v>182.12090163934425</v>
      </c>
      <c r="X2" s="11">
        <v>4</v>
      </c>
      <c r="Y2" s="54">
        <f t="shared" ref="Y2:Y27" si="3">U2/O2</f>
        <v>2777.34375</v>
      </c>
      <c r="Z2" s="11" t="s">
        <v>458</v>
      </c>
      <c r="AA2" s="11" t="s">
        <v>457</v>
      </c>
    </row>
    <row r="3" spans="1:27" ht="40.049999999999997" customHeight="1" x14ac:dyDescent="0.3">
      <c r="A3" s="11">
        <v>1</v>
      </c>
      <c r="B3" s="11" t="s">
        <v>707</v>
      </c>
      <c r="E3" s="11"/>
      <c r="F3" s="11"/>
      <c r="G3" s="11" t="s">
        <v>58</v>
      </c>
      <c r="H3" s="11"/>
      <c r="I3" s="11" t="s">
        <v>70</v>
      </c>
      <c r="J3" s="11" t="s">
        <v>459</v>
      </c>
      <c r="K3" s="11"/>
      <c r="L3" s="11"/>
      <c r="M3" s="11">
        <v>40</v>
      </c>
      <c r="N3" s="11">
        <f>16*M3</f>
        <v>640</v>
      </c>
      <c r="O3" s="11">
        <f t="shared" si="0"/>
        <v>2560</v>
      </c>
      <c r="P3" s="11"/>
      <c r="Q3" s="11">
        <v>39040</v>
      </c>
      <c r="R3" s="54">
        <f t="shared" si="1"/>
        <v>15.25</v>
      </c>
      <c r="S3" s="11" t="s">
        <v>30</v>
      </c>
      <c r="T3" s="11"/>
      <c r="U3" s="11">
        <f>5976*1000</f>
        <v>5976000</v>
      </c>
      <c r="V3" s="11" t="s">
        <v>244</v>
      </c>
      <c r="W3" s="54">
        <f t="shared" si="2"/>
        <v>153.07377049180329</v>
      </c>
      <c r="X3" s="11">
        <v>4</v>
      </c>
      <c r="Y3" s="54">
        <f t="shared" si="3"/>
        <v>2334.375</v>
      </c>
      <c r="Z3" s="11"/>
      <c r="AA3" s="11" t="s">
        <v>453</v>
      </c>
    </row>
    <row r="4" spans="1:27" ht="40.049999999999997" customHeight="1" x14ac:dyDescent="0.3">
      <c r="A4" s="11">
        <v>1</v>
      </c>
      <c r="B4" s="11" t="s">
        <v>707</v>
      </c>
      <c r="E4" s="11"/>
      <c r="F4" s="11"/>
      <c r="G4" s="11" t="s">
        <v>58</v>
      </c>
      <c r="H4" s="11"/>
      <c r="I4" s="11" t="s">
        <v>70</v>
      </c>
      <c r="J4" s="11" t="s">
        <v>459</v>
      </c>
      <c r="K4" s="11"/>
      <c r="L4" s="11"/>
      <c r="M4" s="11">
        <v>40</v>
      </c>
      <c r="N4" s="11">
        <f>16*M4</f>
        <v>640</v>
      </c>
      <c r="O4" s="11">
        <f t="shared" si="0"/>
        <v>2560</v>
      </c>
      <c r="P4" s="11"/>
      <c r="Q4" s="11">
        <v>39040</v>
      </c>
      <c r="R4" s="54">
        <f t="shared" si="1"/>
        <v>15.25</v>
      </c>
      <c r="S4" s="11" t="s">
        <v>290</v>
      </c>
      <c r="T4" s="11"/>
      <c r="U4" s="11">
        <f>86*1000</f>
        <v>86000</v>
      </c>
      <c r="V4" s="11" t="s">
        <v>244</v>
      </c>
      <c r="W4" s="54">
        <f t="shared" si="2"/>
        <v>2.2028688524590163</v>
      </c>
      <c r="X4" s="11">
        <v>4</v>
      </c>
      <c r="Y4" s="54">
        <f t="shared" si="3"/>
        <v>33.59375</v>
      </c>
      <c r="Z4" s="11"/>
    </row>
    <row r="5" spans="1:27" ht="40.049999999999997" customHeight="1" x14ac:dyDescent="0.3">
      <c r="A5" s="11">
        <v>1</v>
      </c>
      <c r="B5" s="11" t="s">
        <v>707</v>
      </c>
      <c r="E5" s="11"/>
      <c r="F5" s="11"/>
      <c r="G5" s="11" t="s">
        <v>58</v>
      </c>
      <c r="H5" s="11"/>
      <c r="I5" s="11" t="s">
        <v>70</v>
      </c>
      <c r="J5" s="11" t="s">
        <v>459</v>
      </c>
      <c r="K5" s="11"/>
      <c r="L5" s="11"/>
      <c r="M5" s="11">
        <v>40</v>
      </c>
      <c r="N5" s="11">
        <f>16*M5</f>
        <v>640</v>
      </c>
      <c r="O5" s="11">
        <f t="shared" si="0"/>
        <v>2560</v>
      </c>
      <c r="P5" s="11"/>
      <c r="Q5" s="11">
        <v>39040</v>
      </c>
      <c r="R5" s="54">
        <f t="shared" si="1"/>
        <v>15.25</v>
      </c>
      <c r="S5" s="11" t="s">
        <v>67</v>
      </c>
      <c r="T5" s="11"/>
      <c r="U5" s="11">
        <f>2440*1000</f>
        <v>2440000</v>
      </c>
      <c r="V5" s="11" t="s">
        <v>244</v>
      </c>
      <c r="W5" s="54">
        <f t="shared" si="2"/>
        <v>62.5</v>
      </c>
      <c r="X5" s="11">
        <v>4</v>
      </c>
      <c r="Y5" s="54">
        <f t="shared" si="3"/>
        <v>953.125</v>
      </c>
      <c r="Z5" s="11"/>
    </row>
    <row r="6" spans="1:27" ht="40.049999999999997" customHeight="1" x14ac:dyDescent="0.3">
      <c r="A6" s="11">
        <v>1</v>
      </c>
      <c r="B6" s="11" t="s">
        <v>707</v>
      </c>
      <c r="E6" s="11"/>
      <c r="F6" s="11"/>
      <c r="G6" s="11" t="s">
        <v>58</v>
      </c>
      <c r="H6" s="11"/>
      <c r="I6" s="11" t="s">
        <v>70</v>
      </c>
      <c r="J6" s="11" t="s">
        <v>459</v>
      </c>
      <c r="K6" s="11"/>
      <c r="L6" s="11"/>
      <c r="M6" s="11">
        <v>40</v>
      </c>
      <c r="N6" s="11">
        <f>16*M6</f>
        <v>640</v>
      </c>
      <c r="O6" s="11">
        <f t="shared" si="0"/>
        <v>2560</v>
      </c>
      <c r="P6" s="11"/>
      <c r="Q6" s="11">
        <v>39040</v>
      </c>
      <c r="R6" s="54">
        <f t="shared" si="1"/>
        <v>15.25</v>
      </c>
      <c r="S6" s="11" t="s">
        <v>437</v>
      </c>
      <c r="T6" s="11"/>
      <c r="U6" s="11">
        <f>73*1000</f>
        <v>73000</v>
      </c>
      <c r="V6" s="11" t="s">
        <v>244</v>
      </c>
      <c r="W6" s="54">
        <f t="shared" si="2"/>
        <v>1.8698770491803278</v>
      </c>
      <c r="X6" s="11">
        <v>4</v>
      </c>
      <c r="Y6" s="54">
        <f t="shared" si="3"/>
        <v>28.515625</v>
      </c>
      <c r="Z6" s="11"/>
    </row>
    <row r="7" spans="1:27" ht="40.049999999999997" customHeight="1" x14ac:dyDescent="0.3">
      <c r="A7" s="11">
        <v>1</v>
      </c>
      <c r="B7" s="11" t="s">
        <v>707</v>
      </c>
      <c r="E7" s="11"/>
      <c r="F7" s="11"/>
      <c r="G7" s="11" t="s">
        <v>58</v>
      </c>
      <c r="H7" s="11"/>
      <c r="I7" s="11" t="s">
        <v>70</v>
      </c>
      <c r="J7" s="11" t="s">
        <v>456</v>
      </c>
      <c r="K7" s="11"/>
      <c r="L7" s="11">
        <v>1984</v>
      </c>
      <c r="M7" s="11">
        <v>40</v>
      </c>
      <c r="N7" s="11">
        <f>10*M7</f>
        <v>400</v>
      </c>
      <c r="O7" s="11">
        <f t="shared" si="0"/>
        <v>1600</v>
      </c>
      <c r="P7" s="11"/>
      <c r="Q7" s="11">
        <v>26600</v>
      </c>
      <c r="R7" s="54">
        <f t="shared" si="1"/>
        <v>16.625</v>
      </c>
      <c r="S7" s="11" t="s">
        <v>65</v>
      </c>
      <c r="T7" s="11"/>
      <c r="U7" s="11">
        <f>4200*1000</f>
        <v>4200000</v>
      </c>
      <c r="V7" s="11" t="s">
        <v>244</v>
      </c>
      <c r="W7" s="54">
        <f t="shared" si="2"/>
        <v>157.89473684210526</v>
      </c>
      <c r="X7" s="11">
        <v>4</v>
      </c>
      <c r="Y7" s="54">
        <f t="shared" si="3"/>
        <v>2625</v>
      </c>
      <c r="Z7" s="11"/>
    </row>
    <row r="8" spans="1:27" ht="40.049999999999997" customHeight="1" x14ac:dyDescent="0.3">
      <c r="A8" s="11">
        <v>1</v>
      </c>
      <c r="B8" s="11" t="s">
        <v>707</v>
      </c>
      <c r="E8" s="11"/>
      <c r="F8" s="11"/>
      <c r="G8" s="11" t="s">
        <v>58</v>
      </c>
      <c r="H8" s="11"/>
      <c r="I8" s="11" t="s">
        <v>70</v>
      </c>
      <c r="J8" s="11" t="s">
        <v>456</v>
      </c>
      <c r="K8" s="11"/>
      <c r="L8" s="11"/>
      <c r="M8" s="11">
        <v>40</v>
      </c>
      <c r="N8" s="11">
        <f>10*M8</f>
        <v>400</v>
      </c>
      <c r="O8" s="11">
        <f t="shared" si="0"/>
        <v>1600</v>
      </c>
      <c r="P8" s="11"/>
      <c r="Q8" s="11">
        <v>26600</v>
      </c>
      <c r="R8" s="54">
        <f t="shared" si="1"/>
        <v>16.625</v>
      </c>
      <c r="S8" s="11" t="s">
        <v>30</v>
      </c>
      <c r="T8" s="11"/>
      <c r="U8" s="11">
        <f>3479*1000</f>
        <v>3479000</v>
      </c>
      <c r="V8" s="11" t="s">
        <v>244</v>
      </c>
      <c r="W8" s="54">
        <f t="shared" si="2"/>
        <v>130.78947368421052</v>
      </c>
      <c r="X8" s="11">
        <v>4</v>
      </c>
      <c r="Y8" s="54">
        <f t="shared" si="3"/>
        <v>2174.375</v>
      </c>
      <c r="Z8" s="11"/>
    </row>
    <row r="9" spans="1:27" ht="40.049999999999997" customHeight="1" x14ac:dyDescent="0.3">
      <c r="A9" s="11">
        <v>1</v>
      </c>
      <c r="B9" s="11" t="s">
        <v>707</v>
      </c>
      <c r="E9" s="11"/>
      <c r="F9" s="11"/>
      <c r="G9" s="11" t="s">
        <v>58</v>
      </c>
      <c r="H9" s="11"/>
      <c r="I9" s="11" t="s">
        <v>70</v>
      </c>
      <c r="J9" s="11" t="s">
        <v>456</v>
      </c>
      <c r="K9" s="11"/>
      <c r="L9" s="11"/>
      <c r="M9" s="11">
        <v>40</v>
      </c>
      <c r="N9" s="11">
        <f>10*M9</f>
        <v>400</v>
      </c>
      <c r="O9" s="11">
        <f t="shared" si="0"/>
        <v>1600</v>
      </c>
      <c r="P9" s="11"/>
      <c r="Q9" s="11">
        <v>26600</v>
      </c>
      <c r="R9" s="54">
        <f t="shared" si="1"/>
        <v>16.625</v>
      </c>
      <c r="S9" s="11" t="s">
        <v>290</v>
      </c>
      <c r="T9" s="11"/>
      <c r="U9" s="11">
        <f>124*1000</f>
        <v>124000</v>
      </c>
      <c r="V9" s="11" t="s">
        <v>244</v>
      </c>
      <c r="W9" s="54">
        <f t="shared" si="2"/>
        <v>4.6616541353383463</v>
      </c>
      <c r="X9" s="11">
        <v>4</v>
      </c>
      <c r="Y9" s="54">
        <f t="shared" si="3"/>
        <v>77.5</v>
      </c>
      <c r="Z9" s="11"/>
    </row>
    <row r="10" spans="1:27" ht="40.049999999999997" customHeight="1" x14ac:dyDescent="0.3">
      <c r="A10" s="11">
        <v>1</v>
      </c>
      <c r="B10" s="11" t="s">
        <v>707</v>
      </c>
      <c r="E10" s="11"/>
      <c r="F10" s="11"/>
      <c r="G10" s="11" t="s">
        <v>58</v>
      </c>
      <c r="H10" s="11"/>
      <c r="I10" s="11" t="s">
        <v>70</v>
      </c>
      <c r="J10" s="11" t="s">
        <v>456</v>
      </c>
      <c r="K10" s="11"/>
      <c r="L10" s="11"/>
      <c r="M10" s="11">
        <v>40</v>
      </c>
      <c r="N10" s="11">
        <f>10*M10</f>
        <v>400</v>
      </c>
      <c r="O10" s="11">
        <f t="shared" si="0"/>
        <v>1600</v>
      </c>
      <c r="P10" s="11"/>
      <c r="Q10" s="11">
        <v>26600</v>
      </c>
      <c r="R10" s="54">
        <f t="shared" si="1"/>
        <v>16.625</v>
      </c>
      <c r="S10" s="11" t="s">
        <v>67</v>
      </c>
      <c r="T10" s="11"/>
      <c r="U10" s="11">
        <f>1630*1000</f>
        <v>1630000</v>
      </c>
      <c r="V10" s="11" t="s">
        <v>244</v>
      </c>
      <c r="W10" s="54">
        <f t="shared" si="2"/>
        <v>61.278195488721806</v>
      </c>
      <c r="X10" s="11">
        <v>4</v>
      </c>
      <c r="Y10" s="54">
        <f t="shared" si="3"/>
        <v>1018.75</v>
      </c>
      <c r="Z10" s="11"/>
    </row>
    <row r="11" spans="1:27" ht="40.049999999999997" customHeight="1" x14ac:dyDescent="0.3">
      <c r="A11" s="11">
        <v>1</v>
      </c>
      <c r="B11" s="11" t="s">
        <v>707</v>
      </c>
      <c r="E11" s="11"/>
      <c r="F11" s="11"/>
      <c r="G11" s="11" t="s">
        <v>58</v>
      </c>
      <c r="H11" s="11"/>
      <c r="I11" s="11" t="s">
        <v>70</v>
      </c>
      <c r="J11" s="11" t="s">
        <v>456</v>
      </c>
      <c r="K11" s="11"/>
      <c r="L11" s="11"/>
      <c r="M11" s="11">
        <v>40</v>
      </c>
      <c r="N11" s="11">
        <f>10*M11</f>
        <v>400</v>
      </c>
      <c r="O11" s="11">
        <f t="shared" si="0"/>
        <v>1600</v>
      </c>
      <c r="P11" s="11"/>
      <c r="Q11" s="11">
        <v>26600</v>
      </c>
      <c r="R11" s="54">
        <f t="shared" si="1"/>
        <v>16.625</v>
      </c>
      <c r="S11" s="11" t="s">
        <v>437</v>
      </c>
      <c r="T11" s="11"/>
      <c r="U11" s="11">
        <f>55*1000</f>
        <v>55000</v>
      </c>
      <c r="V11" s="11" t="s">
        <v>244</v>
      </c>
      <c r="W11" s="54">
        <f t="shared" si="2"/>
        <v>2.0676691729323307</v>
      </c>
      <c r="X11" s="11">
        <v>4</v>
      </c>
      <c r="Y11" s="54">
        <f t="shared" si="3"/>
        <v>34.375</v>
      </c>
      <c r="Z11" s="11"/>
    </row>
    <row r="12" spans="1:27" ht="40.049999999999997" customHeight="1" x14ac:dyDescent="0.3">
      <c r="A12" s="11">
        <v>2</v>
      </c>
      <c r="B12" s="11" t="s">
        <v>710</v>
      </c>
      <c r="C12" s="11" t="s">
        <v>644</v>
      </c>
      <c r="D12" s="11" t="s">
        <v>843</v>
      </c>
      <c r="E12" s="11" t="s">
        <v>455</v>
      </c>
      <c r="F12" s="11"/>
      <c r="G12" s="11" t="s">
        <v>58</v>
      </c>
      <c r="H12" s="11" t="s">
        <v>223</v>
      </c>
      <c r="I12" s="11" t="s">
        <v>391</v>
      </c>
      <c r="J12" s="11"/>
      <c r="K12" s="11" t="s">
        <v>218</v>
      </c>
      <c r="L12" s="11" t="s">
        <v>221</v>
      </c>
      <c r="M12" s="11">
        <v>1</v>
      </c>
      <c r="N12" s="11">
        <v>1</v>
      </c>
      <c r="O12" s="11">
        <v>4</v>
      </c>
      <c r="P12" s="11"/>
      <c r="Q12" s="11">
        <f t="shared" ref="Q12:Q31" si="4">AVERAGE(50,90)</f>
        <v>70</v>
      </c>
      <c r="R12" s="54">
        <f t="shared" si="1"/>
        <v>17.5</v>
      </c>
      <c r="S12" s="11" t="s">
        <v>30</v>
      </c>
      <c r="T12" s="11"/>
      <c r="U12" s="11">
        <f t="shared" ref="U12:U31" si="5">W12*Q12</f>
        <v>980</v>
      </c>
      <c r="V12" s="11" t="s">
        <v>244</v>
      </c>
      <c r="W12" s="54">
        <v>14</v>
      </c>
      <c r="X12" s="11">
        <v>1</v>
      </c>
      <c r="Y12" s="54">
        <f t="shared" si="3"/>
        <v>245</v>
      </c>
      <c r="Z12" s="11"/>
      <c r="AA12" s="11" t="s">
        <v>222</v>
      </c>
    </row>
    <row r="13" spans="1:27" ht="40.049999999999997" customHeight="1" x14ac:dyDescent="0.3">
      <c r="A13" s="11">
        <v>2</v>
      </c>
      <c r="B13" s="11" t="s">
        <v>709</v>
      </c>
      <c r="E13" s="11"/>
      <c r="F13" s="11"/>
      <c r="G13" s="11" t="s">
        <v>58</v>
      </c>
      <c r="H13" s="11"/>
      <c r="I13" s="11" t="s">
        <v>391</v>
      </c>
      <c r="J13" s="11"/>
      <c r="K13" s="11" t="s">
        <v>218</v>
      </c>
      <c r="L13" s="11" t="s">
        <v>221</v>
      </c>
      <c r="M13" s="11">
        <v>1</v>
      </c>
      <c r="N13" s="11">
        <v>1</v>
      </c>
      <c r="O13" s="11">
        <v>4</v>
      </c>
      <c r="P13" s="11"/>
      <c r="Q13" s="11">
        <f t="shared" si="4"/>
        <v>70</v>
      </c>
      <c r="R13" s="54">
        <f t="shared" si="1"/>
        <v>17.5</v>
      </c>
      <c r="S13" s="11" t="s">
        <v>67</v>
      </c>
      <c r="T13" s="11"/>
      <c r="U13" s="11">
        <f t="shared" si="5"/>
        <v>1400</v>
      </c>
      <c r="V13" s="11" t="s">
        <v>244</v>
      </c>
      <c r="W13" s="54">
        <v>20</v>
      </c>
      <c r="X13" s="11">
        <v>1</v>
      </c>
      <c r="Y13" s="54">
        <f t="shared" si="3"/>
        <v>350</v>
      </c>
      <c r="Z13" s="11"/>
      <c r="AA13" s="11" t="s">
        <v>454</v>
      </c>
    </row>
    <row r="14" spans="1:27" ht="40.049999999999997" customHeight="1" x14ac:dyDescent="0.3">
      <c r="A14" s="11">
        <v>2</v>
      </c>
      <c r="B14" s="11" t="s">
        <v>709</v>
      </c>
      <c r="E14" s="11"/>
      <c r="F14" s="11"/>
      <c r="G14" s="11" t="s">
        <v>58</v>
      </c>
      <c r="H14" s="11"/>
      <c r="I14" s="11" t="s">
        <v>391</v>
      </c>
      <c r="J14" s="11"/>
      <c r="K14" s="11" t="s">
        <v>218</v>
      </c>
      <c r="L14" s="11" t="s">
        <v>220</v>
      </c>
      <c r="M14" s="11">
        <v>1</v>
      </c>
      <c r="N14" s="11">
        <v>1</v>
      </c>
      <c r="O14" s="11">
        <v>4</v>
      </c>
      <c r="P14" s="11"/>
      <c r="Q14" s="11">
        <f t="shared" si="4"/>
        <v>70</v>
      </c>
      <c r="R14" s="54">
        <f t="shared" si="1"/>
        <v>17.5</v>
      </c>
      <c r="S14" s="11" t="s">
        <v>30</v>
      </c>
      <c r="T14" s="11"/>
      <c r="U14" s="11">
        <f t="shared" si="5"/>
        <v>1120</v>
      </c>
      <c r="V14" s="11" t="s">
        <v>244</v>
      </c>
      <c r="W14" s="54">
        <v>16</v>
      </c>
      <c r="X14" s="11">
        <v>1</v>
      </c>
      <c r="Y14" s="54">
        <f t="shared" si="3"/>
        <v>280</v>
      </c>
      <c r="Z14" s="11"/>
      <c r="AA14" s="11" t="s">
        <v>453</v>
      </c>
    </row>
    <row r="15" spans="1:27" ht="40.049999999999997" customHeight="1" x14ac:dyDescent="0.3">
      <c r="A15" s="11">
        <v>2</v>
      </c>
      <c r="B15" s="11" t="s">
        <v>709</v>
      </c>
      <c r="E15" s="11"/>
      <c r="F15" s="11"/>
      <c r="G15" s="11" t="s">
        <v>58</v>
      </c>
      <c r="H15" s="11"/>
      <c r="I15" s="11" t="s">
        <v>391</v>
      </c>
      <c r="J15" s="11"/>
      <c r="K15" s="11" t="s">
        <v>218</v>
      </c>
      <c r="L15" s="11" t="s">
        <v>219</v>
      </c>
      <c r="M15" s="11">
        <v>1</v>
      </c>
      <c r="N15" s="11">
        <v>1</v>
      </c>
      <c r="O15" s="11">
        <v>4</v>
      </c>
      <c r="P15" s="11"/>
      <c r="Q15" s="11">
        <f t="shared" si="4"/>
        <v>70</v>
      </c>
      <c r="R15" s="54">
        <f t="shared" si="1"/>
        <v>17.5</v>
      </c>
      <c r="S15" s="11" t="s">
        <v>67</v>
      </c>
      <c r="T15" s="11"/>
      <c r="U15" s="11">
        <f t="shared" si="5"/>
        <v>1540</v>
      </c>
      <c r="V15" s="11" t="s">
        <v>244</v>
      </c>
      <c r="W15" s="54">
        <v>22</v>
      </c>
      <c r="X15" s="11">
        <v>1</v>
      </c>
      <c r="Y15" s="54">
        <f t="shared" si="3"/>
        <v>385</v>
      </c>
      <c r="Z15" s="11"/>
    </row>
    <row r="16" spans="1:27" ht="40.049999999999997" customHeight="1" x14ac:dyDescent="0.3">
      <c r="A16" s="11">
        <v>2</v>
      </c>
      <c r="B16" s="11" t="s">
        <v>709</v>
      </c>
      <c r="E16" s="11"/>
      <c r="F16" s="11"/>
      <c r="G16" s="11" t="s">
        <v>58</v>
      </c>
      <c r="H16" s="11"/>
      <c r="I16" s="11" t="s">
        <v>391</v>
      </c>
      <c r="J16" s="11"/>
      <c r="K16" s="11" t="s">
        <v>218</v>
      </c>
      <c r="L16" s="11" t="s">
        <v>209</v>
      </c>
      <c r="M16" s="11">
        <v>1</v>
      </c>
      <c r="N16" s="11">
        <v>1</v>
      </c>
      <c r="O16" s="11">
        <v>4</v>
      </c>
      <c r="P16" s="11"/>
      <c r="Q16" s="11">
        <f t="shared" si="4"/>
        <v>70</v>
      </c>
      <c r="R16" s="54">
        <f t="shared" si="1"/>
        <v>17.5</v>
      </c>
      <c r="S16" s="11" t="s">
        <v>30</v>
      </c>
      <c r="T16" s="11"/>
      <c r="U16" s="11">
        <f t="shared" si="5"/>
        <v>1470</v>
      </c>
      <c r="V16" s="11" t="s">
        <v>244</v>
      </c>
      <c r="W16" s="54">
        <v>21</v>
      </c>
      <c r="X16" s="11">
        <v>1</v>
      </c>
      <c r="Y16" s="54">
        <f t="shared" si="3"/>
        <v>367.5</v>
      </c>
      <c r="Z16" s="11"/>
    </row>
    <row r="17" spans="1:26" ht="40.049999999999997" customHeight="1" x14ac:dyDescent="0.3">
      <c r="A17" s="11">
        <v>2</v>
      </c>
      <c r="B17" s="11" t="s">
        <v>709</v>
      </c>
      <c r="E17" s="11"/>
      <c r="F17" s="11"/>
      <c r="G17" s="11" t="s">
        <v>58</v>
      </c>
      <c r="H17" s="11"/>
      <c r="I17" s="11" t="s">
        <v>391</v>
      </c>
      <c r="J17" s="11"/>
      <c r="K17" s="11" t="s">
        <v>218</v>
      </c>
      <c r="L17" s="11" t="s">
        <v>209</v>
      </c>
      <c r="M17" s="11">
        <v>1</v>
      </c>
      <c r="N17" s="11">
        <v>1</v>
      </c>
      <c r="O17" s="11">
        <v>4</v>
      </c>
      <c r="P17" s="11"/>
      <c r="Q17" s="11">
        <f t="shared" si="4"/>
        <v>70</v>
      </c>
      <c r="R17" s="54">
        <f t="shared" si="1"/>
        <v>17.5</v>
      </c>
      <c r="S17" s="11" t="s">
        <v>67</v>
      </c>
      <c r="T17" s="11"/>
      <c r="U17" s="11">
        <f t="shared" si="5"/>
        <v>1680</v>
      </c>
      <c r="V17" s="11" t="s">
        <v>244</v>
      </c>
      <c r="W17" s="54">
        <v>24</v>
      </c>
      <c r="X17" s="11">
        <v>1</v>
      </c>
      <c r="Y17" s="54">
        <f t="shared" si="3"/>
        <v>420</v>
      </c>
      <c r="Z17" s="11"/>
    </row>
    <row r="18" spans="1:26" ht="40.049999999999997" customHeight="1" x14ac:dyDescent="0.3">
      <c r="A18" s="11">
        <v>2</v>
      </c>
      <c r="B18" s="11" t="s">
        <v>709</v>
      </c>
      <c r="E18" s="11"/>
      <c r="F18" s="11"/>
      <c r="G18" s="11" t="s">
        <v>58</v>
      </c>
      <c r="H18" s="11"/>
      <c r="I18" s="11" t="s">
        <v>391</v>
      </c>
      <c r="J18" s="11"/>
      <c r="K18" s="11" t="s">
        <v>208</v>
      </c>
      <c r="L18" s="11" t="s">
        <v>217</v>
      </c>
      <c r="M18" s="11">
        <v>1</v>
      </c>
      <c r="N18" s="11">
        <v>1</v>
      </c>
      <c r="O18" s="11">
        <v>4</v>
      </c>
      <c r="P18" s="11"/>
      <c r="Q18" s="11">
        <f t="shared" si="4"/>
        <v>70</v>
      </c>
      <c r="R18" s="54">
        <f t="shared" si="1"/>
        <v>17.5</v>
      </c>
      <c r="S18" s="11" t="s">
        <v>30</v>
      </c>
      <c r="T18" s="11"/>
      <c r="U18" s="11">
        <f t="shared" si="5"/>
        <v>1190</v>
      </c>
      <c r="V18" s="11" t="s">
        <v>244</v>
      </c>
      <c r="W18" s="54">
        <v>17</v>
      </c>
      <c r="X18" s="11">
        <v>1</v>
      </c>
      <c r="Y18" s="54">
        <f t="shared" si="3"/>
        <v>297.5</v>
      </c>
      <c r="Z18" s="11"/>
    </row>
    <row r="19" spans="1:26" ht="40.049999999999997" customHeight="1" x14ac:dyDescent="0.3">
      <c r="A19" s="11">
        <v>2</v>
      </c>
      <c r="B19" s="11" t="s">
        <v>709</v>
      </c>
      <c r="E19" s="11"/>
      <c r="F19" s="11"/>
      <c r="G19" s="11" t="s">
        <v>58</v>
      </c>
      <c r="H19" s="11"/>
      <c r="I19" s="11" t="s">
        <v>391</v>
      </c>
      <c r="J19" s="11"/>
      <c r="K19" s="11" t="s">
        <v>208</v>
      </c>
      <c r="L19" s="11" t="s">
        <v>217</v>
      </c>
      <c r="M19" s="11">
        <v>1</v>
      </c>
      <c r="N19" s="11">
        <v>1</v>
      </c>
      <c r="O19" s="11">
        <v>4</v>
      </c>
      <c r="P19" s="11"/>
      <c r="Q19" s="11">
        <f t="shared" si="4"/>
        <v>70</v>
      </c>
      <c r="R19" s="54">
        <f t="shared" si="1"/>
        <v>17.5</v>
      </c>
      <c r="S19" s="11" t="s">
        <v>67</v>
      </c>
      <c r="T19" s="11"/>
      <c r="U19" s="11">
        <f t="shared" si="5"/>
        <v>1540</v>
      </c>
      <c r="V19" s="11" t="s">
        <v>244</v>
      </c>
      <c r="W19" s="54">
        <v>22</v>
      </c>
      <c r="X19" s="11">
        <v>1</v>
      </c>
      <c r="Y19" s="54">
        <f t="shared" si="3"/>
        <v>385</v>
      </c>
      <c r="Z19" s="11"/>
    </row>
    <row r="20" spans="1:26" ht="40.049999999999997" customHeight="1" x14ac:dyDescent="0.3">
      <c r="A20" s="11">
        <v>2</v>
      </c>
      <c r="B20" s="11" t="s">
        <v>709</v>
      </c>
      <c r="E20" s="11"/>
      <c r="F20" s="11"/>
      <c r="G20" s="11" t="s">
        <v>58</v>
      </c>
      <c r="H20" s="11"/>
      <c r="I20" s="11" t="s">
        <v>391</v>
      </c>
      <c r="J20" s="11"/>
      <c r="K20" s="11" t="s">
        <v>208</v>
      </c>
      <c r="L20" s="11" t="s">
        <v>216</v>
      </c>
      <c r="M20" s="11">
        <v>1</v>
      </c>
      <c r="N20" s="11">
        <v>1</v>
      </c>
      <c r="O20" s="11">
        <v>4</v>
      </c>
      <c r="P20" s="11"/>
      <c r="Q20" s="11">
        <f t="shared" si="4"/>
        <v>70</v>
      </c>
      <c r="R20" s="54">
        <f t="shared" si="1"/>
        <v>17.5</v>
      </c>
      <c r="S20" s="11" t="s">
        <v>30</v>
      </c>
      <c r="T20" s="11"/>
      <c r="U20" s="11">
        <f t="shared" si="5"/>
        <v>2240</v>
      </c>
      <c r="V20" s="11" t="s">
        <v>244</v>
      </c>
      <c r="W20" s="54">
        <v>32</v>
      </c>
      <c r="X20" s="11">
        <v>1</v>
      </c>
      <c r="Y20" s="54">
        <f t="shared" si="3"/>
        <v>560</v>
      </c>
      <c r="Z20" s="11"/>
    </row>
    <row r="21" spans="1:26" ht="40.049999999999997" customHeight="1" x14ac:dyDescent="0.3">
      <c r="A21" s="11">
        <v>2</v>
      </c>
      <c r="B21" s="11" t="s">
        <v>709</v>
      </c>
      <c r="E21" s="11"/>
      <c r="F21" s="11"/>
      <c r="G21" s="11" t="s">
        <v>58</v>
      </c>
      <c r="H21" s="11"/>
      <c r="I21" s="11" t="s">
        <v>391</v>
      </c>
      <c r="J21" s="11"/>
      <c r="K21" s="11" t="s">
        <v>208</v>
      </c>
      <c r="L21" s="11" t="s">
        <v>216</v>
      </c>
      <c r="M21" s="11">
        <v>1</v>
      </c>
      <c r="N21" s="11">
        <v>1</v>
      </c>
      <c r="O21" s="11">
        <v>4</v>
      </c>
      <c r="P21" s="11"/>
      <c r="Q21" s="11">
        <f t="shared" si="4"/>
        <v>70</v>
      </c>
      <c r="R21" s="54">
        <f t="shared" si="1"/>
        <v>17.5</v>
      </c>
      <c r="S21" s="11" t="s">
        <v>67</v>
      </c>
      <c r="T21" s="11"/>
      <c r="U21" s="11">
        <f t="shared" si="5"/>
        <v>1540</v>
      </c>
      <c r="V21" s="11" t="s">
        <v>244</v>
      </c>
      <c r="W21" s="54">
        <v>22</v>
      </c>
      <c r="X21" s="11">
        <v>1</v>
      </c>
      <c r="Y21" s="54">
        <f t="shared" si="3"/>
        <v>385</v>
      </c>
      <c r="Z21" s="11"/>
    </row>
    <row r="22" spans="1:26" ht="40.049999999999997" customHeight="1" x14ac:dyDescent="0.3">
      <c r="A22" s="11">
        <v>2</v>
      </c>
      <c r="B22" s="11" t="s">
        <v>709</v>
      </c>
      <c r="E22" s="11"/>
      <c r="F22" s="11"/>
      <c r="G22" s="11" t="s">
        <v>58</v>
      </c>
      <c r="H22" s="11"/>
      <c r="I22" s="11" t="s">
        <v>391</v>
      </c>
      <c r="J22" s="11"/>
      <c r="K22" s="11" t="s">
        <v>208</v>
      </c>
      <c r="L22" s="11" t="s">
        <v>207</v>
      </c>
      <c r="M22" s="11">
        <v>1</v>
      </c>
      <c r="N22" s="11">
        <v>1</v>
      </c>
      <c r="O22" s="11">
        <v>4</v>
      </c>
      <c r="P22" s="11"/>
      <c r="Q22" s="11">
        <f t="shared" si="4"/>
        <v>70</v>
      </c>
      <c r="R22" s="54">
        <f t="shared" si="1"/>
        <v>17.5</v>
      </c>
      <c r="S22" s="11" t="s">
        <v>30</v>
      </c>
      <c r="T22" s="11"/>
      <c r="U22" s="11">
        <f t="shared" si="5"/>
        <v>5250</v>
      </c>
      <c r="V22" s="11" t="s">
        <v>244</v>
      </c>
      <c r="W22" s="54">
        <v>75</v>
      </c>
      <c r="X22" s="11">
        <v>1</v>
      </c>
      <c r="Y22" s="54">
        <f t="shared" si="3"/>
        <v>1312.5</v>
      </c>
      <c r="Z22" s="11"/>
    </row>
    <row r="23" spans="1:26" ht="40.049999999999997" customHeight="1" x14ac:dyDescent="0.3">
      <c r="A23" s="11">
        <v>2</v>
      </c>
      <c r="B23" s="11" t="s">
        <v>709</v>
      </c>
      <c r="E23" s="11"/>
      <c r="F23" s="11"/>
      <c r="G23" s="11" t="s">
        <v>58</v>
      </c>
      <c r="H23" s="11"/>
      <c r="I23" s="11" t="s">
        <v>391</v>
      </c>
      <c r="J23" s="11"/>
      <c r="K23" s="11" t="s">
        <v>208</v>
      </c>
      <c r="L23" s="11" t="s">
        <v>207</v>
      </c>
      <c r="M23" s="11">
        <v>1</v>
      </c>
      <c r="N23" s="11">
        <v>1</v>
      </c>
      <c r="O23" s="11">
        <v>4</v>
      </c>
      <c r="P23" s="11"/>
      <c r="Q23" s="11">
        <f t="shared" si="4"/>
        <v>70</v>
      </c>
      <c r="R23" s="54">
        <f t="shared" si="1"/>
        <v>17.5</v>
      </c>
      <c r="S23" s="11" t="s">
        <v>67</v>
      </c>
      <c r="T23" s="11"/>
      <c r="U23" s="11">
        <f t="shared" si="5"/>
        <v>1820</v>
      </c>
      <c r="V23" s="11" t="s">
        <v>244</v>
      </c>
      <c r="W23" s="54">
        <v>26</v>
      </c>
      <c r="X23" s="11">
        <v>1</v>
      </c>
      <c r="Y23" s="54">
        <f t="shared" si="3"/>
        <v>455</v>
      </c>
      <c r="Z23" s="11"/>
    </row>
    <row r="24" spans="1:26" ht="40.049999999999997" customHeight="1" x14ac:dyDescent="0.3">
      <c r="A24" s="11">
        <v>2</v>
      </c>
      <c r="B24" s="11" t="s">
        <v>709</v>
      </c>
      <c r="E24" s="11"/>
      <c r="F24" s="11"/>
      <c r="G24" s="11" t="s">
        <v>215</v>
      </c>
      <c r="H24" s="11"/>
      <c r="I24" s="11" t="s">
        <v>391</v>
      </c>
      <c r="J24" s="11"/>
      <c r="K24" s="11" t="s">
        <v>214</v>
      </c>
      <c r="L24" s="11" t="s">
        <v>213</v>
      </c>
      <c r="M24" s="11">
        <v>1</v>
      </c>
      <c r="N24" s="11">
        <v>1</v>
      </c>
      <c r="O24" s="11">
        <v>4</v>
      </c>
      <c r="P24" s="11"/>
      <c r="Q24" s="11">
        <f t="shared" si="4"/>
        <v>70</v>
      </c>
      <c r="R24" s="54">
        <f t="shared" si="1"/>
        <v>17.5</v>
      </c>
      <c r="S24" s="11" t="s">
        <v>30</v>
      </c>
      <c r="T24" s="11"/>
      <c r="U24" s="11">
        <f t="shared" si="5"/>
        <v>6.3</v>
      </c>
      <c r="V24" s="11" t="s">
        <v>244</v>
      </c>
      <c r="W24" s="54">
        <v>0.09</v>
      </c>
      <c r="X24" s="11">
        <v>1</v>
      </c>
      <c r="Y24" s="54">
        <f t="shared" si="3"/>
        <v>1.575</v>
      </c>
      <c r="Z24" s="11"/>
    </row>
    <row r="25" spans="1:26" ht="40.049999999999997" customHeight="1" x14ac:dyDescent="0.3">
      <c r="A25" s="11">
        <v>2</v>
      </c>
      <c r="B25" s="11" t="s">
        <v>709</v>
      </c>
      <c r="E25" s="11"/>
      <c r="F25" s="11"/>
      <c r="G25" s="11" t="s">
        <v>215</v>
      </c>
      <c r="H25" s="11"/>
      <c r="I25" s="11" t="s">
        <v>391</v>
      </c>
      <c r="J25" s="11"/>
      <c r="K25" s="11" t="s">
        <v>214</v>
      </c>
      <c r="L25" s="11" t="s">
        <v>213</v>
      </c>
      <c r="M25" s="11">
        <v>1</v>
      </c>
      <c r="N25" s="11">
        <v>1</v>
      </c>
      <c r="O25" s="11">
        <v>4</v>
      </c>
      <c r="P25" s="11"/>
      <c r="Q25" s="11">
        <f t="shared" si="4"/>
        <v>70</v>
      </c>
      <c r="R25" s="54">
        <f t="shared" si="1"/>
        <v>17.5</v>
      </c>
      <c r="S25" s="11" t="s">
        <v>67</v>
      </c>
      <c r="T25" s="11"/>
      <c r="U25" s="11">
        <f t="shared" si="5"/>
        <v>6020</v>
      </c>
      <c r="V25" s="11" t="s">
        <v>244</v>
      </c>
      <c r="W25" s="54">
        <v>86</v>
      </c>
      <c r="X25" s="11">
        <v>1</v>
      </c>
      <c r="Y25" s="54">
        <f t="shared" si="3"/>
        <v>1505</v>
      </c>
      <c r="Z25" s="11"/>
    </row>
    <row r="26" spans="1:26" ht="40.049999999999997" customHeight="1" x14ac:dyDescent="0.3">
      <c r="A26" s="11">
        <v>2</v>
      </c>
      <c r="B26" s="11" t="s">
        <v>709</v>
      </c>
      <c r="E26" s="11"/>
      <c r="F26" s="11"/>
      <c r="G26" s="11" t="s">
        <v>215</v>
      </c>
      <c r="H26" s="11"/>
      <c r="I26" s="11" t="s">
        <v>391</v>
      </c>
      <c r="J26" s="11"/>
      <c r="K26" s="11" t="s">
        <v>212</v>
      </c>
      <c r="L26" s="11" t="s">
        <v>211</v>
      </c>
      <c r="M26" s="11">
        <v>1</v>
      </c>
      <c r="N26" s="11">
        <v>1</v>
      </c>
      <c r="O26" s="11">
        <v>4</v>
      </c>
      <c r="P26" s="11"/>
      <c r="Q26" s="11">
        <f t="shared" si="4"/>
        <v>70</v>
      </c>
      <c r="R26" s="54">
        <f t="shared" si="1"/>
        <v>17.5</v>
      </c>
      <c r="S26" s="11" t="s">
        <v>30</v>
      </c>
      <c r="T26" s="11"/>
      <c r="U26" s="11">
        <f t="shared" si="5"/>
        <v>700</v>
      </c>
      <c r="V26" s="11" t="s">
        <v>244</v>
      </c>
      <c r="W26" s="54">
        <v>10</v>
      </c>
      <c r="X26" s="11">
        <v>1</v>
      </c>
      <c r="Y26" s="54">
        <f t="shared" si="3"/>
        <v>175</v>
      </c>
      <c r="Z26" s="11"/>
    </row>
    <row r="27" spans="1:26" ht="40.049999999999997" customHeight="1" x14ac:dyDescent="0.3">
      <c r="A27" s="11">
        <v>2</v>
      </c>
      <c r="B27" s="11" t="s">
        <v>709</v>
      </c>
      <c r="E27" s="11"/>
      <c r="F27" s="11"/>
      <c r="G27" s="11" t="s">
        <v>215</v>
      </c>
      <c r="H27" s="11"/>
      <c r="I27" s="11" t="s">
        <v>391</v>
      </c>
      <c r="J27" s="11"/>
      <c r="K27" s="11" t="s">
        <v>212</v>
      </c>
      <c r="L27" s="11" t="s">
        <v>211</v>
      </c>
      <c r="M27" s="11">
        <v>1</v>
      </c>
      <c r="N27" s="11">
        <v>1</v>
      </c>
      <c r="O27" s="11">
        <v>4</v>
      </c>
      <c r="P27" s="11"/>
      <c r="Q27" s="11">
        <f t="shared" si="4"/>
        <v>70</v>
      </c>
      <c r="R27" s="54">
        <f t="shared" si="1"/>
        <v>17.5</v>
      </c>
      <c r="S27" s="11" t="s">
        <v>67</v>
      </c>
      <c r="T27" s="11"/>
      <c r="U27" s="11">
        <f t="shared" si="5"/>
        <v>7490</v>
      </c>
      <c r="V27" s="11" t="s">
        <v>244</v>
      </c>
      <c r="W27" s="54">
        <v>107</v>
      </c>
      <c r="X27" s="11">
        <v>1</v>
      </c>
      <c r="Y27" s="54">
        <f t="shared" si="3"/>
        <v>1872.5</v>
      </c>
      <c r="Z27" s="11"/>
    </row>
    <row r="28" spans="1:26" ht="40.049999999999997" customHeight="1" x14ac:dyDescent="0.3">
      <c r="A28" s="11">
        <v>2</v>
      </c>
      <c r="B28" s="11" t="s">
        <v>709</v>
      </c>
      <c r="E28" s="11"/>
      <c r="F28" s="11"/>
      <c r="G28" s="11" t="s">
        <v>215</v>
      </c>
      <c r="H28" s="11"/>
      <c r="I28" s="11" t="s">
        <v>391</v>
      </c>
      <c r="J28" s="11"/>
      <c r="K28" s="11" t="s">
        <v>210</v>
      </c>
      <c r="L28" s="11" t="s">
        <v>209</v>
      </c>
      <c r="M28" s="11">
        <v>1</v>
      </c>
      <c r="N28" s="11">
        <v>1</v>
      </c>
      <c r="O28" s="11">
        <v>4</v>
      </c>
      <c r="P28" s="11"/>
      <c r="Q28" s="11">
        <f t="shared" si="4"/>
        <v>70</v>
      </c>
      <c r="R28" s="54">
        <f t="shared" si="1"/>
        <v>17.5</v>
      </c>
      <c r="S28" s="11" t="s">
        <v>30</v>
      </c>
      <c r="T28" s="11"/>
      <c r="U28" s="11">
        <f t="shared" si="5"/>
        <v>1470</v>
      </c>
      <c r="V28" s="11" t="s">
        <v>244</v>
      </c>
      <c r="W28" s="54">
        <v>21</v>
      </c>
      <c r="X28" s="11">
        <v>1</v>
      </c>
      <c r="Y28" s="54">
        <f t="shared" ref="Y28:Y45" si="6">U28/O28</f>
        <v>367.5</v>
      </c>
      <c r="Z28" s="11"/>
    </row>
    <row r="29" spans="1:26" ht="40.049999999999997" customHeight="1" x14ac:dyDescent="0.3">
      <c r="A29" s="11">
        <v>2</v>
      </c>
      <c r="B29" s="11" t="s">
        <v>709</v>
      </c>
      <c r="E29" s="11"/>
      <c r="F29" s="11"/>
      <c r="G29" s="11" t="s">
        <v>215</v>
      </c>
      <c r="H29" s="11"/>
      <c r="I29" s="11" t="s">
        <v>391</v>
      </c>
      <c r="J29" s="11"/>
      <c r="K29" s="11" t="s">
        <v>210</v>
      </c>
      <c r="L29" s="11" t="s">
        <v>209</v>
      </c>
      <c r="M29" s="11">
        <v>1</v>
      </c>
      <c r="N29" s="11">
        <v>1</v>
      </c>
      <c r="O29" s="11">
        <v>4</v>
      </c>
      <c r="P29" s="11"/>
      <c r="Q29" s="11">
        <f t="shared" si="4"/>
        <v>70</v>
      </c>
      <c r="R29" s="54">
        <f t="shared" si="1"/>
        <v>17.5</v>
      </c>
      <c r="S29" s="11" t="s">
        <v>67</v>
      </c>
      <c r="T29" s="11"/>
      <c r="U29" s="11">
        <f t="shared" si="5"/>
        <v>1680</v>
      </c>
      <c r="V29" s="11" t="s">
        <v>244</v>
      </c>
      <c r="W29" s="54">
        <v>24</v>
      </c>
      <c r="X29" s="11">
        <v>1</v>
      </c>
      <c r="Y29" s="54">
        <f t="shared" si="6"/>
        <v>420</v>
      </c>
      <c r="Z29" s="11"/>
    </row>
    <row r="30" spans="1:26" ht="40.049999999999997" customHeight="1" x14ac:dyDescent="0.3">
      <c r="A30" s="11">
        <v>2</v>
      </c>
      <c r="B30" s="11" t="s">
        <v>709</v>
      </c>
      <c r="E30" s="11"/>
      <c r="F30" s="11"/>
      <c r="G30" s="11" t="s">
        <v>215</v>
      </c>
      <c r="H30" s="11"/>
      <c r="I30" s="11" t="s">
        <v>391</v>
      </c>
      <c r="J30" s="11"/>
      <c r="K30" s="11" t="s">
        <v>208</v>
      </c>
      <c r="L30" s="11" t="s">
        <v>207</v>
      </c>
      <c r="M30" s="11">
        <v>1</v>
      </c>
      <c r="N30" s="11">
        <v>1</v>
      </c>
      <c r="O30" s="11">
        <v>4</v>
      </c>
      <c r="P30" s="11"/>
      <c r="Q30" s="11">
        <f t="shared" si="4"/>
        <v>70</v>
      </c>
      <c r="R30" s="54">
        <f t="shared" si="1"/>
        <v>17.5</v>
      </c>
      <c r="S30" s="11" t="s">
        <v>30</v>
      </c>
      <c r="T30" s="11"/>
      <c r="U30" s="11">
        <f t="shared" si="5"/>
        <v>5250</v>
      </c>
      <c r="V30" s="11" t="s">
        <v>244</v>
      </c>
      <c r="W30" s="54">
        <v>75</v>
      </c>
      <c r="X30" s="11">
        <v>1</v>
      </c>
      <c r="Y30" s="54">
        <f t="shared" si="6"/>
        <v>1312.5</v>
      </c>
      <c r="Z30" s="11"/>
    </row>
    <row r="31" spans="1:26" ht="40.049999999999997" customHeight="1" x14ac:dyDescent="0.3">
      <c r="A31" s="11">
        <v>2</v>
      </c>
      <c r="B31" s="11" t="s">
        <v>709</v>
      </c>
      <c r="E31" s="11"/>
      <c r="F31" s="11"/>
      <c r="G31" s="11" t="s">
        <v>215</v>
      </c>
      <c r="H31" s="11"/>
      <c r="I31" s="11" t="s">
        <v>391</v>
      </c>
      <c r="J31" s="11"/>
      <c r="K31" s="11" t="s">
        <v>208</v>
      </c>
      <c r="L31" s="11" t="s">
        <v>207</v>
      </c>
      <c r="M31" s="11">
        <v>1</v>
      </c>
      <c r="N31" s="11">
        <v>1</v>
      </c>
      <c r="O31" s="11">
        <v>4</v>
      </c>
      <c r="P31" s="11"/>
      <c r="Q31" s="11">
        <f t="shared" si="4"/>
        <v>70</v>
      </c>
      <c r="R31" s="54">
        <f t="shared" si="1"/>
        <v>17.5</v>
      </c>
      <c r="S31" s="11" t="s">
        <v>67</v>
      </c>
      <c r="T31" s="11"/>
      <c r="U31" s="11">
        <f t="shared" si="5"/>
        <v>1820</v>
      </c>
      <c r="V31" s="11" t="s">
        <v>244</v>
      </c>
      <c r="W31" s="54">
        <v>26</v>
      </c>
      <c r="X31" s="11">
        <v>1</v>
      </c>
      <c r="Y31" s="54">
        <f t="shared" si="6"/>
        <v>455</v>
      </c>
      <c r="Z31" s="11"/>
    </row>
    <row r="32" spans="1:26" ht="40.049999999999997" customHeight="1" x14ac:dyDescent="0.3">
      <c r="A32" s="11">
        <v>3</v>
      </c>
      <c r="B32" s="11" t="s">
        <v>712</v>
      </c>
      <c r="C32" s="11" t="s">
        <v>590</v>
      </c>
      <c r="D32" s="11" t="s">
        <v>844</v>
      </c>
      <c r="E32" s="11" t="s">
        <v>621</v>
      </c>
      <c r="F32" s="11"/>
      <c r="G32" s="11" t="s">
        <v>58</v>
      </c>
      <c r="H32" s="11"/>
      <c r="I32" s="11" t="s">
        <v>441</v>
      </c>
      <c r="J32" s="11"/>
      <c r="K32" s="11" t="s">
        <v>591</v>
      </c>
      <c r="L32" s="11"/>
      <c r="M32" s="11">
        <v>4</v>
      </c>
      <c r="N32" s="11">
        <v>16</v>
      </c>
      <c r="O32" s="11">
        <v>40</v>
      </c>
      <c r="P32" s="11">
        <v>1838.7</v>
      </c>
      <c r="Q32" s="11">
        <f t="shared" ref="Q32:Q45" si="7">P32*0.9</f>
        <v>1654.8300000000002</v>
      </c>
      <c r="R32" s="54">
        <f t="shared" si="1"/>
        <v>41.370750000000001</v>
      </c>
      <c r="S32" s="11" t="s">
        <v>30</v>
      </c>
      <c r="T32" s="11"/>
      <c r="U32" s="11">
        <f>(55.91+1.44+4.59)*10000</f>
        <v>619400</v>
      </c>
      <c r="V32" s="11" t="s">
        <v>244</v>
      </c>
      <c r="W32" s="54">
        <f t="shared" ref="W32:W45" si="8">U32/Q32</f>
        <v>374.29826628717143</v>
      </c>
      <c r="X32" s="11">
        <v>3</v>
      </c>
      <c r="Y32" s="54">
        <f t="shared" si="6"/>
        <v>15485</v>
      </c>
      <c r="Z32" s="11" t="s">
        <v>248</v>
      </c>
    </row>
    <row r="33" spans="1:27" ht="40.049999999999997" customHeight="1" x14ac:dyDescent="0.3">
      <c r="A33" s="11">
        <v>3</v>
      </c>
      <c r="B33" s="11" t="s">
        <v>711</v>
      </c>
      <c r="E33" s="11"/>
      <c r="F33" s="11"/>
      <c r="G33" s="11" t="s">
        <v>58</v>
      </c>
      <c r="H33" s="11"/>
      <c r="I33" s="11" t="s">
        <v>441</v>
      </c>
      <c r="J33" s="11"/>
      <c r="K33" s="11"/>
      <c r="L33" s="11"/>
      <c r="M33" s="11">
        <v>4</v>
      </c>
      <c r="N33" s="11">
        <v>16</v>
      </c>
      <c r="O33" s="11">
        <v>40</v>
      </c>
      <c r="P33" s="11">
        <v>1838.7</v>
      </c>
      <c r="Q33" s="11">
        <f t="shared" si="7"/>
        <v>1654.8300000000002</v>
      </c>
      <c r="R33" s="54">
        <f t="shared" si="1"/>
        <v>41.370750000000001</v>
      </c>
      <c r="S33" s="11" t="s">
        <v>414</v>
      </c>
      <c r="T33" s="11"/>
      <c r="U33" s="11">
        <f>0.42*1000</f>
        <v>420</v>
      </c>
      <c r="V33" s="11" t="s">
        <v>244</v>
      </c>
      <c r="W33" s="54">
        <f t="shared" si="8"/>
        <v>0.25380250539330323</v>
      </c>
      <c r="X33" s="11">
        <v>3</v>
      </c>
      <c r="Y33" s="54">
        <f t="shared" si="6"/>
        <v>10.5</v>
      </c>
      <c r="Z33" s="11"/>
    </row>
    <row r="34" spans="1:27" ht="40.049999999999997" customHeight="1" x14ac:dyDescent="0.3">
      <c r="A34" s="11">
        <v>3</v>
      </c>
      <c r="B34" s="11" t="s">
        <v>711</v>
      </c>
      <c r="E34" s="11"/>
      <c r="F34" s="11"/>
      <c r="G34" s="11" t="s">
        <v>58</v>
      </c>
      <c r="H34" s="11"/>
      <c r="I34" s="11" t="s">
        <v>441</v>
      </c>
      <c r="J34" s="11"/>
      <c r="K34" s="11"/>
      <c r="L34" s="11"/>
      <c r="M34" s="11">
        <v>4</v>
      </c>
      <c r="N34" s="11">
        <v>16</v>
      </c>
      <c r="O34" s="11">
        <v>40</v>
      </c>
      <c r="P34" s="11">
        <v>1838.7</v>
      </c>
      <c r="Q34" s="11">
        <f t="shared" si="7"/>
        <v>1654.8300000000002</v>
      </c>
      <c r="R34" s="54">
        <f t="shared" si="1"/>
        <v>41.370750000000001</v>
      </c>
      <c r="S34" s="11" t="s">
        <v>67</v>
      </c>
      <c r="T34" s="11"/>
      <c r="U34" s="11">
        <f>24.89*1000</f>
        <v>24890</v>
      </c>
      <c r="V34" s="11" t="s">
        <v>244</v>
      </c>
      <c r="W34" s="54">
        <f t="shared" si="8"/>
        <v>15.040819902950755</v>
      </c>
      <c r="X34" s="11">
        <v>3</v>
      </c>
      <c r="Y34" s="54">
        <f t="shared" si="6"/>
        <v>622.25</v>
      </c>
      <c r="Z34" s="11"/>
    </row>
    <row r="35" spans="1:27" ht="40.049999999999997" customHeight="1" x14ac:dyDescent="0.3">
      <c r="A35" s="11">
        <v>4</v>
      </c>
      <c r="B35" s="11" t="s">
        <v>714</v>
      </c>
      <c r="C35" s="11" t="s">
        <v>619</v>
      </c>
      <c r="D35" s="11" t="s">
        <v>845</v>
      </c>
      <c r="E35" s="11" t="s">
        <v>620</v>
      </c>
      <c r="F35" s="11"/>
      <c r="G35" s="11" t="s">
        <v>58</v>
      </c>
      <c r="H35" s="11"/>
      <c r="I35" s="11" t="s">
        <v>70</v>
      </c>
      <c r="J35" s="11" t="s">
        <v>624</v>
      </c>
      <c r="K35" s="11"/>
      <c r="L35" s="11">
        <v>2008</v>
      </c>
      <c r="M35" s="11">
        <v>6</v>
      </c>
      <c r="N35" s="11"/>
      <c r="O35" s="53">
        <f t="shared" ref="O35:O40" si="9">Q35/R35</f>
        <v>120.17403915881074</v>
      </c>
      <c r="P35" s="11">
        <v>5524</v>
      </c>
      <c r="Q35" s="11">
        <f t="shared" si="7"/>
        <v>4971.6000000000004</v>
      </c>
      <c r="R35" s="54">
        <v>41.37</v>
      </c>
      <c r="S35" s="11" t="s">
        <v>30</v>
      </c>
      <c r="T35" s="11"/>
      <c r="U35" s="11">
        <f>(158+167.7+189.4+17.2)*1000</f>
        <v>532300.00000000012</v>
      </c>
      <c r="V35" s="11" t="s">
        <v>244</v>
      </c>
      <c r="W35" s="54">
        <f t="shared" si="8"/>
        <v>107.06814707538823</v>
      </c>
      <c r="X35" s="11">
        <v>4</v>
      </c>
      <c r="Y35" s="54">
        <f t="shared" si="6"/>
        <v>4429.4092445088108</v>
      </c>
      <c r="Z35" s="11"/>
      <c r="AA35" s="11" t="s">
        <v>622</v>
      </c>
    </row>
    <row r="36" spans="1:27" ht="40.049999999999997" customHeight="1" x14ac:dyDescent="0.3">
      <c r="A36" s="11">
        <v>4</v>
      </c>
      <c r="B36" s="11" t="s">
        <v>713</v>
      </c>
      <c r="E36" s="11"/>
      <c r="F36" s="11"/>
      <c r="G36" s="11" t="s">
        <v>58</v>
      </c>
      <c r="H36" s="11"/>
      <c r="I36" s="11" t="s">
        <v>70</v>
      </c>
      <c r="J36" s="11" t="s">
        <v>624</v>
      </c>
      <c r="K36" s="11"/>
      <c r="L36" s="11">
        <v>2008</v>
      </c>
      <c r="M36" s="11">
        <v>6</v>
      </c>
      <c r="N36" s="11"/>
      <c r="O36" s="53">
        <f t="shared" si="9"/>
        <v>120.17403915881074</v>
      </c>
      <c r="P36" s="11">
        <v>5524</v>
      </c>
      <c r="Q36" s="11">
        <f t="shared" si="7"/>
        <v>4971.6000000000004</v>
      </c>
      <c r="R36" s="54">
        <v>41.37</v>
      </c>
      <c r="S36" s="11" t="s">
        <v>65</v>
      </c>
      <c r="T36" s="11"/>
      <c r="U36" s="11">
        <f>1924*1000</f>
        <v>1924000</v>
      </c>
      <c r="V36" s="11" t="s">
        <v>244</v>
      </c>
      <c r="W36" s="54">
        <f t="shared" si="8"/>
        <v>386.99814948909807</v>
      </c>
      <c r="X36" s="11">
        <v>4</v>
      </c>
      <c r="Y36" s="54">
        <f t="shared" si="6"/>
        <v>16010.113444363986</v>
      </c>
      <c r="Z36" s="11"/>
      <c r="AA36" s="11" t="s">
        <v>623</v>
      </c>
    </row>
    <row r="37" spans="1:27" ht="40.049999999999997" customHeight="1" x14ac:dyDescent="0.3">
      <c r="A37" s="11">
        <v>4</v>
      </c>
      <c r="B37" s="11" t="s">
        <v>713</v>
      </c>
      <c r="E37" s="11"/>
      <c r="F37" s="11"/>
      <c r="G37" s="11" t="s">
        <v>58</v>
      </c>
      <c r="H37" s="11"/>
      <c r="I37" s="11" t="s">
        <v>70</v>
      </c>
      <c r="J37" s="11" t="s">
        <v>624</v>
      </c>
      <c r="K37" s="11"/>
      <c r="L37" s="11">
        <v>2008</v>
      </c>
      <c r="M37" s="11">
        <v>11</v>
      </c>
      <c r="N37" s="11"/>
      <c r="O37" s="53">
        <f t="shared" si="9"/>
        <v>120.60913705583758</v>
      </c>
      <c r="P37" s="11">
        <v>5544</v>
      </c>
      <c r="Q37" s="11">
        <f t="shared" si="7"/>
        <v>4989.6000000000004</v>
      </c>
      <c r="R37" s="54">
        <v>41.37</v>
      </c>
      <c r="S37" s="11" t="s">
        <v>30</v>
      </c>
      <c r="T37" s="11"/>
      <c r="U37" s="11">
        <f>(151.8+177.5+ 214.1+52.6)*1000</f>
        <v>596000</v>
      </c>
      <c r="V37" s="11" t="s">
        <v>244</v>
      </c>
      <c r="W37" s="54">
        <f t="shared" si="8"/>
        <v>119.4484527817861</v>
      </c>
      <c r="X37" s="11">
        <v>4</v>
      </c>
      <c r="Y37" s="54">
        <f t="shared" si="6"/>
        <v>4941.5824915824905</v>
      </c>
      <c r="Z37" s="11"/>
    </row>
    <row r="38" spans="1:27" ht="40.049999999999997" customHeight="1" x14ac:dyDescent="0.3">
      <c r="A38" s="11">
        <v>4</v>
      </c>
      <c r="B38" s="11" t="s">
        <v>713</v>
      </c>
      <c r="E38" s="11"/>
      <c r="F38" s="11"/>
      <c r="G38" s="11" t="s">
        <v>58</v>
      </c>
      <c r="H38" s="11"/>
      <c r="I38" s="11" t="s">
        <v>70</v>
      </c>
      <c r="J38" s="11" t="s">
        <v>624</v>
      </c>
      <c r="K38" s="11"/>
      <c r="L38" s="11">
        <v>2008</v>
      </c>
      <c r="M38" s="11">
        <v>11</v>
      </c>
      <c r="N38" s="11"/>
      <c r="O38" s="53">
        <f t="shared" si="9"/>
        <v>120.60913705583758</v>
      </c>
      <c r="P38" s="11">
        <v>5544</v>
      </c>
      <c r="Q38" s="11">
        <f t="shared" si="7"/>
        <v>4989.6000000000004</v>
      </c>
      <c r="R38" s="54">
        <v>41.37</v>
      </c>
      <c r="S38" s="11" t="s">
        <v>65</v>
      </c>
      <c r="T38" s="11"/>
      <c r="U38" s="11">
        <f>2087.9*1000</f>
        <v>2087900</v>
      </c>
      <c r="V38" s="11" t="s">
        <v>244</v>
      </c>
      <c r="W38" s="54">
        <f t="shared" si="8"/>
        <v>418.45037678371011</v>
      </c>
      <c r="X38" s="11">
        <v>4</v>
      </c>
      <c r="Y38" s="54">
        <f t="shared" si="6"/>
        <v>17311.292087542086</v>
      </c>
      <c r="Z38" s="11"/>
    </row>
    <row r="39" spans="1:27" ht="40.049999999999997" customHeight="1" x14ac:dyDescent="0.3">
      <c r="A39" s="11">
        <v>4</v>
      </c>
      <c r="B39" s="11" t="s">
        <v>713</v>
      </c>
      <c r="E39" s="11"/>
      <c r="F39" s="11"/>
      <c r="G39" s="11" t="s">
        <v>58</v>
      </c>
      <c r="H39" s="11"/>
      <c r="I39" s="11" t="s">
        <v>70</v>
      </c>
      <c r="J39" s="11" t="s">
        <v>624</v>
      </c>
      <c r="K39" s="11"/>
      <c r="L39" s="11">
        <v>2008</v>
      </c>
      <c r="M39" s="11">
        <v>18</v>
      </c>
      <c r="N39" s="11"/>
      <c r="O39" s="53">
        <f t="shared" si="9"/>
        <v>208.28136330674403</v>
      </c>
      <c r="P39" s="11">
        <v>9574</v>
      </c>
      <c r="Q39" s="11">
        <f t="shared" si="7"/>
        <v>8616.6</v>
      </c>
      <c r="R39" s="54">
        <v>41.37</v>
      </c>
      <c r="S39" s="11" t="s">
        <v>30</v>
      </c>
      <c r="T39" s="11"/>
      <c r="U39" s="11">
        <f>(270.6+415.5+471.8)*1000</f>
        <v>1157900</v>
      </c>
      <c r="V39" s="11" t="s">
        <v>244</v>
      </c>
      <c r="W39" s="54">
        <f t="shared" si="8"/>
        <v>134.38014994313301</v>
      </c>
      <c r="X39" s="11">
        <v>4</v>
      </c>
      <c r="Y39" s="54">
        <f t="shared" si="6"/>
        <v>5559.3068031474131</v>
      </c>
      <c r="Z39" s="11"/>
    </row>
    <row r="40" spans="1:27" ht="40.049999999999997" customHeight="1" x14ac:dyDescent="0.3">
      <c r="A40" s="11">
        <v>4</v>
      </c>
      <c r="B40" s="11" t="s">
        <v>713</v>
      </c>
      <c r="E40" s="11"/>
      <c r="F40" s="11"/>
      <c r="G40" s="11" t="s">
        <v>58</v>
      </c>
      <c r="H40" s="11"/>
      <c r="I40" s="11" t="s">
        <v>70</v>
      </c>
      <c r="J40" s="11" t="s">
        <v>624</v>
      </c>
      <c r="K40" s="11"/>
      <c r="L40" s="11">
        <v>2008</v>
      </c>
      <c r="M40" s="11">
        <v>18</v>
      </c>
      <c r="N40" s="11"/>
      <c r="O40" s="53">
        <f t="shared" si="9"/>
        <v>208.28136330674403</v>
      </c>
      <c r="P40" s="11">
        <v>9574</v>
      </c>
      <c r="Q40" s="11">
        <f t="shared" si="7"/>
        <v>8616.6</v>
      </c>
      <c r="R40" s="54">
        <v>41.37</v>
      </c>
      <c r="S40" s="11" t="s">
        <v>65</v>
      </c>
      <c r="T40" s="11"/>
      <c r="U40" s="11">
        <f>2839.7*1000</f>
        <v>2839700</v>
      </c>
      <c r="V40" s="11" t="s">
        <v>244</v>
      </c>
      <c r="W40" s="54">
        <f t="shared" si="8"/>
        <v>329.56154399647193</v>
      </c>
      <c r="X40" s="11">
        <v>4</v>
      </c>
      <c r="Y40" s="54">
        <f t="shared" si="6"/>
        <v>13633.961075134042</v>
      </c>
      <c r="Z40" s="11"/>
    </row>
    <row r="41" spans="1:27" ht="40.049999999999997" customHeight="1" x14ac:dyDescent="0.3">
      <c r="A41" s="11">
        <v>5</v>
      </c>
      <c r="B41" s="11" t="s">
        <v>716</v>
      </c>
      <c r="C41" s="11" t="s">
        <v>647</v>
      </c>
      <c r="D41" s="11" t="s">
        <v>846</v>
      </c>
      <c r="E41" s="11" t="s">
        <v>625</v>
      </c>
      <c r="F41" s="11"/>
      <c r="G41" s="11" t="s">
        <v>215</v>
      </c>
      <c r="H41" s="11"/>
      <c r="I41" s="11" t="s">
        <v>391</v>
      </c>
      <c r="J41" s="11"/>
      <c r="K41" s="11"/>
      <c r="L41" s="11"/>
      <c r="M41" s="11">
        <v>2</v>
      </c>
      <c r="N41" s="11">
        <v>2</v>
      </c>
      <c r="O41" s="11">
        <v>6</v>
      </c>
      <c r="P41" s="11">
        <v>423.4</v>
      </c>
      <c r="Q41" s="11">
        <f t="shared" si="7"/>
        <v>381.06</v>
      </c>
      <c r="R41" s="54">
        <f t="shared" ref="R41:R45" si="10">Q41/O41</f>
        <v>63.51</v>
      </c>
      <c r="S41" s="11" t="s">
        <v>67</v>
      </c>
      <c r="T41" s="11">
        <v>450</v>
      </c>
      <c r="U41" s="11">
        <f>487.46+7500+5.26*T41</f>
        <v>10354.459999999999</v>
      </c>
      <c r="V41" s="11" t="s">
        <v>244</v>
      </c>
      <c r="W41" s="54">
        <f t="shared" si="8"/>
        <v>27.172781189314016</v>
      </c>
      <c r="X41" s="11">
        <v>1</v>
      </c>
      <c r="Y41" s="54">
        <f t="shared" si="6"/>
        <v>1725.7433333333331</v>
      </c>
      <c r="Z41" s="11" t="s">
        <v>248</v>
      </c>
      <c r="AA41" s="11" t="s">
        <v>626</v>
      </c>
    </row>
    <row r="42" spans="1:27" ht="40.049999999999997" customHeight="1" x14ac:dyDescent="0.3">
      <c r="A42" s="11">
        <v>5</v>
      </c>
      <c r="B42" s="11" t="s">
        <v>715</v>
      </c>
      <c r="E42" s="11"/>
      <c r="F42" s="11"/>
      <c r="G42" s="11" t="s">
        <v>215</v>
      </c>
      <c r="H42" s="11"/>
      <c r="I42" s="11" t="s">
        <v>391</v>
      </c>
      <c r="J42" s="11"/>
      <c r="K42" s="11"/>
      <c r="L42" s="11"/>
      <c r="M42" s="11">
        <v>2</v>
      </c>
      <c r="N42" s="11">
        <v>2</v>
      </c>
      <c r="O42" s="11">
        <v>6</v>
      </c>
      <c r="P42" s="11">
        <v>423.4</v>
      </c>
      <c r="Q42" s="11">
        <f t="shared" si="7"/>
        <v>381.06</v>
      </c>
      <c r="R42" s="54">
        <f t="shared" si="10"/>
        <v>63.51</v>
      </c>
      <c r="S42" s="11" t="s">
        <v>30</v>
      </c>
      <c r="T42" s="11"/>
      <c r="U42" s="11">
        <f>(0.12+0.19+0.08+0.6+0.04)*1000</f>
        <v>1030</v>
      </c>
      <c r="V42" s="11" t="s">
        <v>244</v>
      </c>
      <c r="W42" s="54">
        <f t="shared" si="8"/>
        <v>2.7029864063402087</v>
      </c>
      <c r="X42" s="11">
        <v>1</v>
      </c>
      <c r="Y42" s="54">
        <f t="shared" si="6"/>
        <v>171.66666666666666</v>
      </c>
      <c r="Z42" s="11"/>
    </row>
    <row r="43" spans="1:27" ht="40.049999999999997" customHeight="1" x14ac:dyDescent="0.3">
      <c r="A43" s="11">
        <v>5</v>
      </c>
      <c r="B43" s="11" t="s">
        <v>715</v>
      </c>
      <c r="E43" s="11"/>
      <c r="F43" s="11"/>
      <c r="G43" s="11" t="s">
        <v>215</v>
      </c>
      <c r="H43" s="11"/>
      <c r="I43" s="11" t="s">
        <v>391</v>
      </c>
      <c r="J43" s="11"/>
      <c r="K43" s="11"/>
      <c r="L43" s="11"/>
      <c r="M43" s="11">
        <v>2</v>
      </c>
      <c r="N43" s="11">
        <v>2</v>
      </c>
      <c r="O43" s="11">
        <v>6</v>
      </c>
      <c r="P43" s="11">
        <v>423.4</v>
      </c>
      <c r="Q43" s="11">
        <f t="shared" si="7"/>
        <v>381.06</v>
      </c>
      <c r="R43" s="54">
        <f t="shared" si="10"/>
        <v>63.51</v>
      </c>
      <c r="S43" s="11" t="s">
        <v>65</v>
      </c>
      <c r="T43" s="4">
        <v>2320</v>
      </c>
      <c r="U43" s="11">
        <f>(14.87+414.47)*T43</f>
        <v>996068.8</v>
      </c>
      <c r="V43" s="11" t="s">
        <v>244</v>
      </c>
      <c r="W43" s="54">
        <f t="shared" si="8"/>
        <v>2613.9421613394215</v>
      </c>
      <c r="X43" s="11">
        <v>1</v>
      </c>
      <c r="Y43" s="54">
        <f t="shared" si="6"/>
        <v>166011.46666666667</v>
      </c>
      <c r="Z43" s="11"/>
    </row>
    <row r="44" spans="1:27" ht="40.049999999999997" customHeight="1" x14ac:dyDescent="0.3">
      <c r="A44" s="11">
        <v>5</v>
      </c>
      <c r="B44" s="11" t="s">
        <v>715</v>
      </c>
      <c r="E44" s="11"/>
      <c r="F44" s="11"/>
      <c r="G44" s="11" t="s">
        <v>215</v>
      </c>
      <c r="H44" s="11"/>
      <c r="I44" s="11" t="s">
        <v>391</v>
      </c>
      <c r="J44" s="11"/>
      <c r="K44" s="11"/>
      <c r="L44" s="11"/>
      <c r="M44" s="11">
        <v>2</v>
      </c>
      <c r="N44" s="11">
        <v>2</v>
      </c>
      <c r="O44" s="11">
        <v>6</v>
      </c>
      <c r="P44" s="11">
        <v>423.4</v>
      </c>
      <c r="Q44" s="11">
        <f t="shared" si="7"/>
        <v>381.06</v>
      </c>
      <c r="R44" s="54">
        <f t="shared" si="10"/>
        <v>63.51</v>
      </c>
      <c r="S44" s="11" t="s">
        <v>290</v>
      </c>
      <c r="T44" s="11"/>
      <c r="U44" s="11">
        <v>3888.83</v>
      </c>
      <c r="V44" s="11" t="s">
        <v>244</v>
      </c>
      <c r="W44" s="54">
        <f t="shared" si="8"/>
        <v>10.205295753949509</v>
      </c>
      <c r="X44" s="11">
        <v>1</v>
      </c>
      <c r="Y44" s="54">
        <f t="shared" si="6"/>
        <v>648.13833333333332</v>
      </c>
      <c r="Z44" s="11"/>
    </row>
    <row r="45" spans="1:27" ht="40.049999999999997" customHeight="1" x14ac:dyDescent="0.3">
      <c r="A45" s="11">
        <v>5</v>
      </c>
      <c r="B45" s="11" t="s">
        <v>715</v>
      </c>
      <c r="E45" s="11"/>
      <c r="F45" s="11"/>
      <c r="G45" s="11" t="s">
        <v>215</v>
      </c>
      <c r="H45" s="11"/>
      <c r="I45" s="11" t="s">
        <v>391</v>
      </c>
      <c r="J45" s="11"/>
      <c r="K45" s="11"/>
      <c r="L45" s="11"/>
      <c r="M45" s="11">
        <v>2</v>
      </c>
      <c r="N45" s="11">
        <v>2</v>
      </c>
      <c r="O45" s="11">
        <v>6</v>
      </c>
      <c r="P45" s="11">
        <v>423.4</v>
      </c>
      <c r="Q45" s="11">
        <f t="shared" si="7"/>
        <v>381.06</v>
      </c>
      <c r="R45" s="54">
        <f t="shared" si="10"/>
        <v>63.51</v>
      </c>
      <c r="S45" s="11" t="s">
        <v>437</v>
      </c>
      <c r="T45" s="11"/>
      <c r="U45" s="11">
        <v>2978.71</v>
      </c>
      <c r="V45" s="11" t="s">
        <v>244</v>
      </c>
      <c r="W45" s="54">
        <f t="shared" si="8"/>
        <v>7.816905474203538</v>
      </c>
      <c r="X45" s="11">
        <v>1</v>
      </c>
      <c r="Y45" s="54">
        <f t="shared" si="6"/>
        <v>496.45166666666665</v>
      </c>
      <c r="Z45" s="11"/>
    </row>
    <row r="46" spans="1:27" ht="40.049999999999997" customHeight="1" x14ac:dyDescent="0.3">
      <c r="A46" s="11"/>
      <c r="E46" s="11"/>
      <c r="F46" s="11"/>
      <c r="G46" s="11"/>
      <c r="H46" s="11"/>
      <c r="I46" s="11"/>
      <c r="J46" s="11"/>
      <c r="K46" s="11"/>
      <c r="L46" s="11"/>
      <c r="M46" s="11"/>
      <c r="N46" s="11"/>
      <c r="O46" s="11"/>
      <c r="P46" s="11"/>
      <c r="Q46" s="11"/>
      <c r="R46" s="54"/>
      <c r="S46" s="11"/>
      <c r="T46" s="11"/>
      <c r="U46" s="11"/>
      <c r="V46" s="11"/>
      <c r="W46" s="54"/>
      <c r="X46" s="11"/>
      <c r="Y46" s="54"/>
      <c r="Z46" s="11"/>
    </row>
    <row r="47" spans="1:27" ht="40.049999999999997" customHeight="1" x14ac:dyDescent="0.3">
      <c r="A47" s="11"/>
      <c r="E47" s="11"/>
      <c r="F47" s="11"/>
      <c r="G47" s="11"/>
      <c r="H47" s="11"/>
      <c r="I47" s="11"/>
      <c r="J47" s="11"/>
      <c r="K47" s="11"/>
      <c r="L47" s="11"/>
      <c r="M47" s="11"/>
      <c r="N47" s="11"/>
      <c r="O47" s="11"/>
      <c r="P47" s="11"/>
      <c r="Q47" s="11"/>
      <c r="R47" s="54"/>
      <c r="S47" s="11"/>
      <c r="T47" s="11"/>
      <c r="U47" s="11"/>
      <c r="V47" s="11"/>
      <c r="W47" s="54"/>
      <c r="X47" s="11"/>
      <c r="Y47" s="54"/>
      <c r="Z47" s="11"/>
    </row>
    <row r="48" spans="1:27" ht="40.049999999999997" customHeight="1" x14ac:dyDescent="0.3">
      <c r="A48" s="11"/>
      <c r="E48" s="11"/>
      <c r="F48" s="11"/>
      <c r="G48" s="11"/>
      <c r="H48" s="11"/>
      <c r="I48" s="11"/>
      <c r="J48" s="11"/>
      <c r="K48" s="11"/>
      <c r="L48" s="11"/>
      <c r="M48" s="11"/>
      <c r="N48" s="11"/>
      <c r="O48" s="11"/>
      <c r="P48" s="11"/>
      <c r="Q48" s="11"/>
      <c r="R48" s="54"/>
      <c r="S48" s="11"/>
      <c r="T48" s="11"/>
      <c r="U48" s="11"/>
      <c r="V48" s="11"/>
      <c r="W48" s="54"/>
      <c r="X48" s="11"/>
      <c r="Y48" s="54"/>
      <c r="Z48" s="11"/>
    </row>
    <row r="49" spans="1:26" ht="40.049999999999997" customHeight="1" x14ac:dyDescent="0.3">
      <c r="A49" s="11"/>
      <c r="E49" s="11"/>
      <c r="F49" s="11"/>
      <c r="G49" s="11"/>
      <c r="H49" s="11"/>
      <c r="I49" s="11"/>
      <c r="J49" s="11"/>
      <c r="K49" s="11"/>
      <c r="L49" s="11"/>
      <c r="M49" s="11"/>
      <c r="N49" s="11"/>
      <c r="O49" s="11"/>
      <c r="P49" s="11"/>
      <c r="Q49" s="11"/>
      <c r="R49" s="54"/>
      <c r="S49" s="11"/>
      <c r="T49" s="11"/>
      <c r="U49" s="11"/>
      <c r="V49" s="11"/>
      <c r="W49" s="54"/>
      <c r="X49" s="11"/>
      <c r="Y49" s="54"/>
      <c r="Z49" s="11"/>
    </row>
    <row r="50" spans="1:26" ht="27.6" customHeight="1" x14ac:dyDescent="0.3"/>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92D050"/>
  </sheetPr>
  <dimension ref="A1:AA14"/>
  <sheetViews>
    <sheetView zoomScaleNormal="100" workbookViewId="0">
      <selection activeCell="F8" sqref="F8"/>
    </sheetView>
  </sheetViews>
  <sheetFormatPr defaultColWidth="9.21875" defaultRowHeight="14.4" x14ac:dyDescent="0.3"/>
  <cols>
    <col min="1" max="1" width="4.21875" style="12" customWidth="1"/>
    <col min="2" max="2" width="11.44140625" style="12" customWidth="1"/>
    <col min="3" max="3" width="59.77734375" style="12" customWidth="1"/>
    <col min="4" max="4" width="19.77734375" style="12" customWidth="1"/>
    <col min="5" max="6" width="25" style="12" customWidth="1"/>
    <col min="7" max="7" width="9.21875" style="12"/>
    <col min="8" max="8" width="14.21875" style="12" customWidth="1"/>
    <col min="9" max="9" width="27.77734375" style="12" customWidth="1"/>
    <col min="10" max="10" width="16" style="12" customWidth="1"/>
    <col min="11" max="11" width="25.21875" style="12" customWidth="1"/>
    <col min="12" max="13" width="22.44140625" style="12" customWidth="1"/>
    <col min="14" max="14" width="23" style="12" customWidth="1"/>
    <col min="15" max="15" width="13.21875" style="12" customWidth="1"/>
    <col min="16" max="16" width="13.44140625" style="12" customWidth="1"/>
    <col min="17" max="17" width="12.21875" style="12" customWidth="1"/>
    <col min="18" max="19" width="13.21875" style="12" customWidth="1"/>
    <col min="20" max="20" width="10" style="12" customWidth="1"/>
    <col min="21" max="21" width="11.44140625" style="12" customWidth="1"/>
    <col min="22" max="22" width="9.21875" style="12"/>
    <col min="23" max="23" width="14.21875" style="34" customWidth="1"/>
    <col min="24" max="24" width="10.21875" style="12" customWidth="1"/>
    <col min="25" max="25" width="10.77734375" style="12" customWidth="1"/>
    <col min="26" max="26" width="11.44140625" style="12" customWidth="1"/>
    <col min="27" max="27" width="20.21875" style="12" customWidth="1"/>
    <col min="28" max="16384" width="9.21875" style="12"/>
  </cols>
  <sheetData>
    <row r="1" spans="1:27"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7" t="s">
        <v>195</v>
      </c>
      <c r="P1" s="56" t="s">
        <v>194</v>
      </c>
      <c r="Q1" s="56" t="s">
        <v>415</v>
      </c>
      <c r="R1" s="56" t="s">
        <v>416</v>
      </c>
      <c r="S1" s="56" t="s">
        <v>193</v>
      </c>
      <c r="T1" s="56" t="s">
        <v>421</v>
      </c>
      <c r="U1" s="56" t="s">
        <v>521</v>
      </c>
      <c r="V1" s="56" t="s">
        <v>192</v>
      </c>
      <c r="W1" s="56" t="s">
        <v>497</v>
      </c>
      <c r="X1" s="56" t="s">
        <v>418</v>
      </c>
      <c r="Y1" s="56" t="s">
        <v>242</v>
      </c>
      <c r="Z1" s="56" t="s">
        <v>499</v>
      </c>
      <c r="AA1" s="56" t="s">
        <v>190</v>
      </c>
    </row>
    <row r="2" spans="1:27" s="66" customFormat="1" ht="40.049999999999997" customHeight="1" x14ac:dyDescent="0.3">
      <c r="A2" s="67">
        <v>1</v>
      </c>
      <c r="B2" s="67" t="s">
        <v>718</v>
      </c>
      <c r="C2" s="67" t="s">
        <v>751</v>
      </c>
      <c r="D2" s="67" t="s">
        <v>847</v>
      </c>
      <c r="E2" s="67" t="s">
        <v>724</v>
      </c>
      <c r="F2" s="67"/>
      <c r="G2" s="67" t="s">
        <v>58</v>
      </c>
      <c r="H2" s="67"/>
      <c r="I2" s="67" t="s">
        <v>441</v>
      </c>
      <c r="J2" s="67" t="s">
        <v>495</v>
      </c>
      <c r="K2" s="67" t="s">
        <v>492</v>
      </c>
      <c r="L2" s="67"/>
      <c r="M2" s="67">
        <v>4</v>
      </c>
      <c r="N2" s="67">
        <v>40</v>
      </c>
      <c r="O2" s="67">
        <f t="shared" ref="O2:O11" si="0">4*N2</f>
        <v>160</v>
      </c>
      <c r="P2" s="67"/>
      <c r="Q2" s="68">
        <v>4458</v>
      </c>
      <c r="R2" s="68">
        <f>Q2/O2</f>
        <v>27.862500000000001</v>
      </c>
      <c r="S2" s="67" t="s">
        <v>65</v>
      </c>
      <c r="T2" s="67"/>
      <c r="U2" s="68">
        <f>W2*Q2</f>
        <v>6049506</v>
      </c>
      <c r="V2" s="67" t="s">
        <v>244</v>
      </c>
      <c r="W2" s="68">
        <f>1017+340</f>
        <v>1357</v>
      </c>
      <c r="X2" s="67">
        <v>3</v>
      </c>
      <c r="Y2" s="68">
        <f>U2/O2</f>
        <v>37809.412499999999</v>
      </c>
      <c r="Z2" s="67"/>
      <c r="AA2" s="67" t="s">
        <v>494</v>
      </c>
    </row>
    <row r="3" spans="1:27" s="66" customFormat="1" ht="40.049999999999997" customHeight="1" x14ac:dyDescent="0.3">
      <c r="A3" s="67">
        <v>1</v>
      </c>
      <c r="B3" s="67" t="s">
        <v>717</v>
      </c>
      <c r="C3" s="67"/>
      <c r="D3" s="67"/>
      <c r="E3" s="67" t="s">
        <v>724</v>
      </c>
      <c r="F3" s="67"/>
      <c r="G3" s="67" t="s">
        <v>58</v>
      </c>
      <c r="H3" s="67"/>
      <c r="I3" s="67" t="s">
        <v>441</v>
      </c>
      <c r="J3" s="67" t="s">
        <v>495</v>
      </c>
      <c r="K3" s="67" t="s">
        <v>492</v>
      </c>
      <c r="L3" s="67"/>
      <c r="M3" s="67">
        <v>4</v>
      </c>
      <c r="N3" s="67">
        <v>40</v>
      </c>
      <c r="O3" s="67">
        <f t="shared" si="0"/>
        <v>160</v>
      </c>
      <c r="P3" s="67"/>
      <c r="Q3" s="68">
        <v>4458</v>
      </c>
      <c r="R3" s="68">
        <f t="shared" ref="R3:R14" si="1">Q3/O3</f>
        <v>27.862500000000001</v>
      </c>
      <c r="S3" s="67" t="s">
        <v>30</v>
      </c>
      <c r="T3" s="67"/>
      <c r="U3" s="68">
        <f t="shared" ref="U3:U11" si="2">W3*Q3</f>
        <v>81135.599999999991</v>
      </c>
      <c r="V3" s="67" t="s">
        <v>244</v>
      </c>
      <c r="W3" s="68">
        <v>18.2</v>
      </c>
      <c r="X3" s="67">
        <v>3</v>
      </c>
      <c r="Y3" s="68">
        <f t="shared" ref="Y3:Y14" si="3">U3/O3</f>
        <v>507.09749999999997</v>
      </c>
      <c r="Z3" s="67"/>
      <c r="AA3" s="67" t="s">
        <v>494</v>
      </c>
    </row>
    <row r="4" spans="1:27" s="66" customFormat="1" ht="40.049999999999997" customHeight="1" x14ac:dyDescent="0.3">
      <c r="A4" s="67">
        <v>1</v>
      </c>
      <c r="B4" s="67" t="s">
        <v>717</v>
      </c>
      <c r="C4" s="67"/>
      <c r="D4" s="67"/>
      <c r="E4" s="67" t="s">
        <v>724</v>
      </c>
      <c r="F4" s="67"/>
      <c r="G4" s="67" t="s">
        <v>58</v>
      </c>
      <c r="H4" s="67"/>
      <c r="I4" s="67" t="s">
        <v>441</v>
      </c>
      <c r="J4" s="67" t="s">
        <v>495</v>
      </c>
      <c r="K4" s="67" t="s">
        <v>492</v>
      </c>
      <c r="L4" s="67"/>
      <c r="M4" s="67">
        <v>4</v>
      </c>
      <c r="N4" s="67">
        <v>40</v>
      </c>
      <c r="O4" s="67">
        <f t="shared" si="0"/>
        <v>160</v>
      </c>
      <c r="P4" s="67"/>
      <c r="Q4" s="68">
        <v>4458</v>
      </c>
      <c r="R4" s="68">
        <f t="shared" si="1"/>
        <v>27.862500000000001</v>
      </c>
      <c r="S4" s="67" t="s">
        <v>290</v>
      </c>
      <c r="T4" s="67"/>
      <c r="U4" s="68">
        <f t="shared" si="2"/>
        <v>2496.48</v>
      </c>
      <c r="V4" s="67" t="str">
        <f t="shared" ref="V4:V14" si="4">V3</f>
        <v>kg</v>
      </c>
      <c r="W4" s="68">
        <v>0.56000000000000005</v>
      </c>
      <c r="X4" s="67">
        <v>3</v>
      </c>
      <c r="Y4" s="68">
        <f t="shared" si="3"/>
        <v>15.603</v>
      </c>
      <c r="Z4" s="67"/>
      <c r="AA4" s="67" t="s">
        <v>494</v>
      </c>
    </row>
    <row r="5" spans="1:27" s="66" customFormat="1" ht="40.049999999999997" customHeight="1" x14ac:dyDescent="0.3">
      <c r="A5" s="67">
        <v>1</v>
      </c>
      <c r="B5" s="67" t="s">
        <v>717</v>
      </c>
      <c r="C5" s="67"/>
      <c r="D5" s="67"/>
      <c r="E5" s="67" t="s">
        <v>724</v>
      </c>
      <c r="F5" s="67"/>
      <c r="G5" s="67" t="s">
        <v>58</v>
      </c>
      <c r="H5" s="67"/>
      <c r="I5" s="67" t="s">
        <v>441</v>
      </c>
      <c r="J5" s="67" t="s">
        <v>495</v>
      </c>
      <c r="K5" s="67" t="s">
        <v>492</v>
      </c>
      <c r="L5" s="67"/>
      <c r="M5" s="67">
        <v>4</v>
      </c>
      <c r="N5" s="67">
        <v>40</v>
      </c>
      <c r="O5" s="67">
        <f t="shared" si="0"/>
        <v>160</v>
      </c>
      <c r="P5" s="67"/>
      <c r="Q5" s="68">
        <v>4458</v>
      </c>
      <c r="R5" s="68">
        <f t="shared" si="1"/>
        <v>27.862500000000001</v>
      </c>
      <c r="S5" s="67" t="s">
        <v>67</v>
      </c>
      <c r="T5" s="67"/>
      <c r="U5" s="68">
        <f t="shared" si="2"/>
        <v>2942.28</v>
      </c>
      <c r="V5" s="67" t="str">
        <f t="shared" si="4"/>
        <v>kg</v>
      </c>
      <c r="W5" s="68">
        <v>0.66</v>
      </c>
      <c r="X5" s="67">
        <v>3</v>
      </c>
      <c r="Y5" s="68">
        <f t="shared" si="3"/>
        <v>18.389250000000001</v>
      </c>
      <c r="Z5" s="67"/>
      <c r="AA5" s="67" t="s">
        <v>494</v>
      </c>
    </row>
    <row r="6" spans="1:27" s="66" customFormat="1" ht="40.049999999999997" customHeight="1" x14ac:dyDescent="0.3">
      <c r="A6" s="67">
        <v>1</v>
      </c>
      <c r="B6" s="67" t="s">
        <v>717</v>
      </c>
      <c r="C6" s="67"/>
      <c r="D6" s="67"/>
      <c r="E6" s="67" t="s">
        <v>724</v>
      </c>
      <c r="F6" s="67"/>
      <c r="G6" s="67" t="s">
        <v>58</v>
      </c>
      <c r="H6" s="67"/>
      <c r="I6" s="67" t="s">
        <v>441</v>
      </c>
      <c r="J6" s="67" t="s">
        <v>495</v>
      </c>
      <c r="K6" s="67" t="s">
        <v>492</v>
      </c>
      <c r="L6" s="67"/>
      <c r="M6" s="67">
        <v>4</v>
      </c>
      <c r="N6" s="67">
        <v>40</v>
      </c>
      <c r="O6" s="67">
        <f t="shared" si="0"/>
        <v>160</v>
      </c>
      <c r="P6" s="67"/>
      <c r="Q6" s="68">
        <v>4458</v>
      </c>
      <c r="R6" s="68">
        <f t="shared" si="1"/>
        <v>27.862500000000001</v>
      </c>
      <c r="S6" s="67" t="s">
        <v>437</v>
      </c>
      <c r="T6" s="67"/>
      <c r="U6" s="68">
        <f t="shared" si="2"/>
        <v>4458</v>
      </c>
      <c r="V6" s="67" t="str">
        <f t="shared" si="4"/>
        <v>kg</v>
      </c>
      <c r="W6" s="68">
        <v>1</v>
      </c>
      <c r="X6" s="67">
        <v>3</v>
      </c>
      <c r="Y6" s="68">
        <f t="shared" si="3"/>
        <v>27.862500000000001</v>
      </c>
      <c r="Z6" s="67"/>
      <c r="AA6" s="67" t="s">
        <v>494</v>
      </c>
    </row>
    <row r="7" spans="1:27" s="66" customFormat="1" ht="40.049999999999997" customHeight="1" x14ac:dyDescent="0.3">
      <c r="A7" s="67">
        <v>1</v>
      </c>
      <c r="B7" s="67" t="s">
        <v>717</v>
      </c>
      <c r="C7" s="67"/>
      <c r="D7" s="67"/>
      <c r="E7" s="67" t="s">
        <v>725</v>
      </c>
      <c r="F7" s="67"/>
      <c r="G7" s="67" t="s">
        <v>58</v>
      </c>
      <c r="H7" s="67" t="s">
        <v>229</v>
      </c>
      <c r="I7" s="67" t="s">
        <v>441</v>
      </c>
      <c r="J7" s="67" t="s">
        <v>496</v>
      </c>
      <c r="K7" s="67" t="s">
        <v>493</v>
      </c>
      <c r="L7" s="67"/>
      <c r="M7" s="67">
        <v>4</v>
      </c>
      <c r="N7" s="67">
        <v>40</v>
      </c>
      <c r="O7" s="67">
        <f t="shared" si="0"/>
        <v>160</v>
      </c>
      <c r="P7" s="67"/>
      <c r="Q7" s="68">
        <v>4428</v>
      </c>
      <c r="R7" s="68">
        <f t="shared" si="1"/>
        <v>27.675000000000001</v>
      </c>
      <c r="S7" s="67" t="s">
        <v>65</v>
      </c>
      <c r="T7" s="67"/>
      <c r="U7" s="68">
        <f t="shared" si="2"/>
        <v>4299765.12</v>
      </c>
      <c r="V7" s="67" t="str">
        <f t="shared" si="4"/>
        <v>kg</v>
      </c>
      <c r="W7" s="68">
        <v>971.04</v>
      </c>
      <c r="X7" s="67">
        <v>3</v>
      </c>
      <c r="Y7" s="68">
        <f t="shared" si="3"/>
        <v>26873.531999999999</v>
      </c>
      <c r="Z7" s="67"/>
      <c r="AA7" s="67" t="s">
        <v>494</v>
      </c>
    </row>
    <row r="8" spans="1:27" s="66" customFormat="1" ht="40.049999999999997" customHeight="1" x14ac:dyDescent="0.3">
      <c r="A8" s="67">
        <v>1</v>
      </c>
      <c r="B8" s="67" t="s">
        <v>717</v>
      </c>
      <c r="C8" s="67"/>
      <c r="D8" s="67"/>
      <c r="E8" s="67" t="s">
        <v>725</v>
      </c>
      <c r="F8" s="67"/>
      <c r="G8" s="67" t="s">
        <v>58</v>
      </c>
      <c r="H8" s="67"/>
      <c r="I8" s="67" t="s">
        <v>441</v>
      </c>
      <c r="J8" s="67" t="s">
        <v>496</v>
      </c>
      <c r="K8" s="67" t="s">
        <v>493</v>
      </c>
      <c r="L8" s="67"/>
      <c r="M8" s="67">
        <v>4</v>
      </c>
      <c r="N8" s="67">
        <v>40</v>
      </c>
      <c r="O8" s="67">
        <f t="shared" si="0"/>
        <v>160</v>
      </c>
      <c r="P8" s="67"/>
      <c r="Q8" s="68">
        <v>4428</v>
      </c>
      <c r="R8" s="68">
        <f t="shared" si="1"/>
        <v>27.675000000000001</v>
      </c>
      <c r="S8" s="67" t="s">
        <v>30</v>
      </c>
      <c r="T8" s="67"/>
      <c r="U8" s="68">
        <f t="shared" si="2"/>
        <v>220027.31999999998</v>
      </c>
      <c r="V8" s="67" t="str">
        <f t="shared" si="4"/>
        <v>kg</v>
      </c>
      <c r="W8" s="68">
        <v>49.69</v>
      </c>
      <c r="X8" s="67">
        <v>3</v>
      </c>
      <c r="Y8" s="68">
        <f t="shared" si="3"/>
        <v>1375.1707499999998</v>
      </c>
      <c r="Z8" s="67"/>
      <c r="AA8" s="67" t="s">
        <v>494</v>
      </c>
    </row>
    <row r="9" spans="1:27" s="66" customFormat="1" ht="40.049999999999997" customHeight="1" x14ac:dyDescent="0.3">
      <c r="A9" s="67">
        <v>1</v>
      </c>
      <c r="B9" s="67" t="s">
        <v>717</v>
      </c>
      <c r="C9" s="67"/>
      <c r="D9" s="67"/>
      <c r="E9" s="67" t="s">
        <v>725</v>
      </c>
      <c r="F9" s="67"/>
      <c r="G9" s="67" t="s">
        <v>58</v>
      </c>
      <c r="H9" s="67"/>
      <c r="I9" s="67" t="s">
        <v>441</v>
      </c>
      <c r="J9" s="67" t="s">
        <v>496</v>
      </c>
      <c r="K9" s="67" t="s">
        <v>493</v>
      </c>
      <c r="L9" s="67"/>
      <c r="M9" s="67">
        <v>4</v>
      </c>
      <c r="N9" s="67">
        <v>40</v>
      </c>
      <c r="O9" s="67">
        <f t="shared" si="0"/>
        <v>160</v>
      </c>
      <c r="P9" s="67"/>
      <c r="Q9" s="68">
        <v>4428</v>
      </c>
      <c r="R9" s="68">
        <f t="shared" si="1"/>
        <v>27.675000000000001</v>
      </c>
      <c r="S9" s="67" t="s">
        <v>290</v>
      </c>
      <c r="T9" s="67"/>
      <c r="U9" s="68">
        <f t="shared" si="2"/>
        <v>1416.96</v>
      </c>
      <c r="V9" s="67" t="str">
        <f t="shared" si="4"/>
        <v>kg</v>
      </c>
      <c r="W9" s="68">
        <v>0.32</v>
      </c>
      <c r="X9" s="67">
        <v>3</v>
      </c>
      <c r="Y9" s="68">
        <f t="shared" si="3"/>
        <v>8.8559999999999999</v>
      </c>
      <c r="Z9" s="67"/>
      <c r="AA9" s="67" t="s">
        <v>494</v>
      </c>
    </row>
    <row r="10" spans="1:27" s="66" customFormat="1" ht="40.049999999999997" customHeight="1" x14ac:dyDescent="0.3">
      <c r="A10" s="67">
        <v>1</v>
      </c>
      <c r="B10" s="67" t="s">
        <v>717</v>
      </c>
      <c r="C10" s="67"/>
      <c r="D10" s="67"/>
      <c r="E10" s="67" t="s">
        <v>725</v>
      </c>
      <c r="F10" s="67"/>
      <c r="G10" s="67" t="s">
        <v>58</v>
      </c>
      <c r="H10" s="67"/>
      <c r="I10" s="67" t="s">
        <v>441</v>
      </c>
      <c r="J10" s="67" t="s">
        <v>496</v>
      </c>
      <c r="K10" s="67" t="s">
        <v>493</v>
      </c>
      <c r="L10" s="67"/>
      <c r="M10" s="67">
        <v>4</v>
      </c>
      <c r="N10" s="67">
        <v>40</v>
      </c>
      <c r="O10" s="67">
        <f t="shared" si="0"/>
        <v>160</v>
      </c>
      <c r="P10" s="67"/>
      <c r="Q10" s="68">
        <v>4428</v>
      </c>
      <c r="R10" s="68">
        <f t="shared" si="1"/>
        <v>27.675000000000001</v>
      </c>
      <c r="S10" s="67" t="s">
        <v>67</v>
      </c>
      <c r="T10" s="67"/>
      <c r="U10" s="68">
        <f t="shared" si="2"/>
        <v>96751.8</v>
      </c>
      <c r="V10" s="67" t="str">
        <f t="shared" si="4"/>
        <v>kg</v>
      </c>
      <c r="W10" s="68">
        <v>21.85</v>
      </c>
      <c r="X10" s="67">
        <v>3</v>
      </c>
      <c r="Y10" s="68">
        <f t="shared" si="3"/>
        <v>604.69875000000002</v>
      </c>
      <c r="Z10" s="67"/>
      <c r="AA10" s="67" t="s">
        <v>494</v>
      </c>
    </row>
    <row r="11" spans="1:27" s="66" customFormat="1" ht="40.049999999999997" customHeight="1" x14ac:dyDescent="0.3">
      <c r="A11" s="67">
        <v>1</v>
      </c>
      <c r="B11" s="67" t="s">
        <v>717</v>
      </c>
      <c r="C11" s="67"/>
      <c r="D11" s="67"/>
      <c r="E11" s="67" t="s">
        <v>725</v>
      </c>
      <c r="F11" s="67"/>
      <c r="G11" s="67" t="s">
        <v>58</v>
      </c>
      <c r="H11" s="67"/>
      <c r="I11" s="67" t="s">
        <v>441</v>
      </c>
      <c r="J11" s="67" t="s">
        <v>496</v>
      </c>
      <c r="K11" s="67" t="s">
        <v>493</v>
      </c>
      <c r="L11" s="67"/>
      <c r="M11" s="67">
        <v>4</v>
      </c>
      <c r="N11" s="67">
        <v>40</v>
      </c>
      <c r="O11" s="67">
        <f t="shared" si="0"/>
        <v>160</v>
      </c>
      <c r="P11" s="67"/>
      <c r="Q11" s="68">
        <v>4428</v>
      </c>
      <c r="R11" s="68">
        <f t="shared" si="1"/>
        <v>27.675000000000001</v>
      </c>
      <c r="S11" s="67" t="s">
        <v>437</v>
      </c>
      <c r="T11" s="67"/>
      <c r="U11" s="68">
        <f t="shared" si="2"/>
        <v>2479.6800000000003</v>
      </c>
      <c r="V11" s="67" t="str">
        <f t="shared" si="4"/>
        <v>kg</v>
      </c>
      <c r="W11" s="68">
        <v>0.56000000000000005</v>
      </c>
      <c r="X11" s="67">
        <v>3</v>
      </c>
      <c r="Y11" s="68">
        <f t="shared" si="3"/>
        <v>15.498000000000001</v>
      </c>
      <c r="Z11" s="67"/>
      <c r="AA11" s="67" t="s">
        <v>494</v>
      </c>
    </row>
    <row r="12" spans="1:27" s="66" customFormat="1" ht="40.049999999999997" customHeight="1" x14ac:dyDescent="0.3">
      <c r="A12" s="67">
        <v>2</v>
      </c>
      <c r="B12" s="67" t="s">
        <v>720</v>
      </c>
      <c r="C12" s="67" t="s">
        <v>848</v>
      </c>
      <c r="D12" s="67" t="s">
        <v>849</v>
      </c>
      <c r="E12" s="67" t="s">
        <v>726</v>
      </c>
      <c r="F12" s="67" t="s">
        <v>498</v>
      </c>
      <c r="G12" s="67" t="s">
        <v>58</v>
      </c>
      <c r="H12" s="67"/>
      <c r="I12" s="67" t="s">
        <v>434</v>
      </c>
      <c r="J12" s="67" t="s">
        <v>37</v>
      </c>
      <c r="K12" s="67" t="s">
        <v>493</v>
      </c>
      <c r="L12" s="67"/>
      <c r="M12" s="67">
        <v>2</v>
      </c>
      <c r="N12" s="67">
        <v>1</v>
      </c>
      <c r="O12" s="67">
        <v>5</v>
      </c>
      <c r="P12" s="67">
        <v>246</v>
      </c>
      <c r="Q12" s="68">
        <f>246*0.9</f>
        <v>221.4</v>
      </c>
      <c r="R12" s="68">
        <f t="shared" si="1"/>
        <v>44.28</v>
      </c>
      <c r="S12" s="67" t="s">
        <v>65</v>
      </c>
      <c r="T12" s="67">
        <v>2320</v>
      </c>
      <c r="U12" s="68">
        <f>(21.74+184.03+23.2+28.73+2.78)*T12</f>
        <v>604313.59999999986</v>
      </c>
      <c r="V12" s="67" t="str">
        <f t="shared" si="4"/>
        <v>kg</v>
      </c>
      <c r="W12" s="68">
        <f>U12/Q12</f>
        <v>2729.510388437217</v>
      </c>
      <c r="X12" s="67">
        <v>2</v>
      </c>
      <c r="Y12" s="68">
        <f t="shared" si="3"/>
        <v>120862.71999999997</v>
      </c>
      <c r="Z12" s="67">
        <v>50</v>
      </c>
      <c r="AA12" s="67" t="s">
        <v>494</v>
      </c>
    </row>
    <row r="13" spans="1:27" s="66" customFormat="1" ht="40.049999999999997" customHeight="1" x14ac:dyDescent="0.3">
      <c r="A13" s="67">
        <v>2</v>
      </c>
      <c r="B13" s="67" t="s">
        <v>719</v>
      </c>
      <c r="C13" s="67"/>
      <c r="D13" s="67"/>
      <c r="E13" s="67"/>
      <c r="F13" s="67"/>
      <c r="G13" s="67" t="s">
        <v>58</v>
      </c>
      <c r="H13" s="67"/>
      <c r="I13" s="67" t="s">
        <v>434</v>
      </c>
      <c r="J13" s="67" t="s">
        <v>37</v>
      </c>
      <c r="K13" s="67" t="s">
        <v>493</v>
      </c>
      <c r="L13" s="67"/>
      <c r="M13" s="67">
        <v>2</v>
      </c>
      <c r="N13" s="67">
        <v>1</v>
      </c>
      <c r="O13" s="67">
        <v>5</v>
      </c>
      <c r="P13" s="67">
        <v>246</v>
      </c>
      <c r="Q13" s="68">
        <f>246*0.9</f>
        <v>221.4</v>
      </c>
      <c r="R13" s="68">
        <f t="shared" si="1"/>
        <v>44.28</v>
      </c>
      <c r="S13" s="67" t="s">
        <v>30</v>
      </c>
      <c r="T13" s="67"/>
      <c r="U13" s="68">
        <f>2561.62+3883+1709.62+243</f>
        <v>8397.24</v>
      </c>
      <c r="V13" s="67" t="str">
        <f t="shared" si="4"/>
        <v>kg</v>
      </c>
      <c r="W13" s="68">
        <f>U13/Q13</f>
        <v>37.927913279132788</v>
      </c>
      <c r="X13" s="67">
        <v>2</v>
      </c>
      <c r="Y13" s="68">
        <f t="shared" si="3"/>
        <v>1679.4479999999999</v>
      </c>
      <c r="Z13" s="67"/>
      <c r="AA13" s="67" t="s">
        <v>494</v>
      </c>
    </row>
    <row r="14" spans="1:27" s="66" customFormat="1" ht="40.049999999999997" customHeight="1" x14ac:dyDescent="0.3">
      <c r="A14" s="67">
        <v>2</v>
      </c>
      <c r="B14" s="67" t="s">
        <v>719</v>
      </c>
      <c r="C14" s="67"/>
      <c r="D14" s="67"/>
      <c r="E14" s="67"/>
      <c r="F14" s="67"/>
      <c r="G14" s="67" t="s">
        <v>58</v>
      </c>
      <c r="H14" s="67"/>
      <c r="I14" s="67" t="s">
        <v>434</v>
      </c>
      <c r="J14" s="67" t="s">
        <v>37</v>
      </c>
      <c r="K14" s="67" t="s">
        <v>493</v>
      </c>
      <c r="L14" s="67"/>
      <c r="M14" s="67">
        <v>2</v>
      </c>
      <c r="N14" s="67">
        <v>1</v>
      </c>
      <c r="O14" s="67">
        <v>5</v>
      </c>
      <c r="P14" s="67">
        <v>246</v>
      </c>
      <c r="Q14" s="68">
        <f>246*0.9</f>
        <v>221.4</v>
      </c>
      <c r="R14" s="68">
        <f t="shared" si="1"/>
        <v>44.28</v>
      </c>
      <c r="S14" s="67" t="s">
        <v>67</v>
      </c>
      <c r="T14" s="67">
        <v>450</v>
      </c>
      <c r="U14" s="68">
        <f>(4.13+7.69+3.35+1.07+10.65)*T14</f>
        <v>12100.5</v>
      </c>
      <c r="V14" s="67" t="str">
        <f t="shared" si="4"/>
        <v>kg</v>
      </c>
      <c r="W14" s="68">
        <f>U14/Q14</f>
        <v>54.654471544715449</v>
      </c>
      <c r="X14" s="67">
        <v>2</v>
      </c>
      <c r="Y14" s="68">
        <f t="shared" si="3"/>
        <v>2420.1</v>
      </c>
      <c r="Z14" s="67"/>
      <c r="AA14" s="67" t="s">
        <v>494</v>
      </c>
    </row>
  </sheetData>
  <pageMargins left="0.7" right="0.7" top="0.75" bottom="0.75" header="0.3" footer="0.3"/>
  <pageSetup paperSize="9" orientation="portrait" horizontalDpi="0"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sheetPr>
  <dimension ref="A1:AA37"/>
  <sheetViews>
    <sheetView zoomScaleNormal="100" workbookViewId="0">
      <selection activeCell="T33" sqref="T33"/>
    </sheetView>
  </sheetViews>
  <sheetFormatPr defaultColWidth="9.21875" defaultRowHeight="14.4" x14ac:dyDescent="0.3"/>
  <cols>
    <col min="1" max="1" width="4.21875" style="12" customWidth="1"/>
    <col min="2" max="2" width="13" style="12" customWidth="1"/>
    <col min="3" max="3" width="44.77734375" style="12" customWidth="1"/>
    <col min="4" max="4" width="19" style="12" customWidth="1"/>
    <col min="5" max="6" width="25" style="12" customWidth="1"/>
    <col min="7" max="7" width="10.21875" style="12" customWidth="1"/>
    <col min="8" max="8" width="16.21875" style="12" customWidth="1"/>
    <col min="9" max="9" width="27.77734375" style="12" customWidth="1"/>
    <col min="10" max="10" width="16" style="12" customWidth="1"/>
    <col min="11" max="11" width="36.77734375" style="12" customWidth="1"/>
    <col min="12" max="13" width="22.44140625" style="12" customWidth="1"/>
    <col min="14" max="14" width="23" style="12" customWidth="1"/>
    <col min="15" max="15" width="13.21875" style="12" customWidth="1"/>
    <col min="16" max="16" width="13.44140625" style="12" customWidth="1"/>
    <col min="17" max="17" width="12.21875" style="12" customWidth="1"/>
    <col min="18" max="18" width="12.77734375" style="12" customWidth="1"/>
    <col min="19" max="19" width="14.77734375" style="12" customWidth="1"/>
    <col min="20" max="20" width="11.21875" style="12" customWidth="1"/>
    <col min="21" max="21" width="12.21875" style="12" customWidth="1"/>
    <col min="22" max="22" width="9.21875" style="12"/>
    <col min="23" max="23" width="13.21875" style="34" customWidth="1"/>
    <col min="24" max="24" width="10.21875" style="12" customWidth="1"/>
    <col min="25" max="26" width="9.21875" style="12"/>
    <col min="27" max="27" width="42.21875" style="12" customWidth="1"/>
    <col min="28" max="16384" width="9.21875" style="12"/>
  </cols>
  <sheetData>
    <row r="1" spans="1:27"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7" t="s">
        <v>195</v>
      </c>
      <c r="P1" s="56" t="s">
        <v>194</v>
      </c>
      <c r="Q1" s="56" t="s">
        <v>415</v>
      </c>
      <c r="R1" s="56" t="s">
        <v>416</v>
      </c>
      <c r="S1" s="56" t="s">
        <v>193</v>
      </c>
      <c r="T1" s="56" t="s">
        <v>421</v>
      </c>
      <c r="U1" s="56" t="s">
        <v>521</v>
      </c>
      <c r="V1" s="56" t="s">
        <v>192</v>
      </c>
      <c r="W1" s="56" t="s">
        <v>386</v>
      </c>
      <c r="X1" s="56" t="s">
        <v>418</v>
      </c>
      <c r="Y1" s="56" t="s">
        <v>242</v>
      </c>
      <c r="Z1" s="57" t="s">
        <v>191</v>
      </c>
      <c r="AA1" s="56" t="s">
        <v>190</v>
      </c>
    </row>
    <row r="2" spans="1:27" ht="40.049999999999997" customHeight="1" x14ac:dyDescent="0.3">
      <c r="A2" s="11">
        <v>1</v>
      </c>
      <c r="B2" s="11" t="s">
        <v>722</v>
      </c>
      <c r="C2" s="11" t="s">
        <v>485</v>
      </c>
      <c r="D2" s="11" t="s">
        <v>850</v>
      </c>
      <c r="E2" s="11" t="s">
        <v>727</v>
      </c>
      <c r="F2" s="11"/>
      <c r="G2" s="11" t="s">
        <v>58</v>
      </c>
      <c r="H2" s="11" t="s">
        <v>491</v>
      </c>
      <c r="I2" s="11" t="s">
        <v>70</v>
      </c>
      <c r="J2" s="11" t="s">
        <v>851</v>
      </c>
      <c r="K2" s="11" t="s">
        <v>487</v>
      </c>
      <c r="L2" s="11"/>
      <c r="M2" s="11"/>
      <c r="N2" s="11">
        <v>1</v>
      </c>
      <c r="O2" s="11">
        <v>4</v>
      </c>
      <c r="P2" s="11"/>
      <c r="Q2" s="53">
        <v>85</v>
      </c>
      <c r="R2" s="54">
        <f t="shared" ref="R2:R9" si="0">Q2/O2</f>
        <v>21.25</v>
      </c>
      <c r="S2" s="11" t="s">
        <v>290</v>
      </c>
      <c r="T2" s="11"/>
      <c r="U2" s="54">
        <v>28</v>
      </c>
      <c r="V2" s="11" t="s">
        <v>244</v>
      </c>
      <c r="W2" s="54">
        <f t="shared" ref="W2:W9" si="1">U2/Q2</f>
        <v>0.32941176470588235</v>
      </c>
      <c r="X2" s="11">
        <v>4</v>
      </c>
      <c r="Y2" s="54">
        <f t="shared" ref="Y2:Y9" si="2">U2/O2</f>
        <v>7</v>
      </c>
      <c r="Z2" s="11"/>
      <c r="AA2" s="11" t="s">
        <v>486</v>
      </c>
    </row>
    <row r="3" spans="1:27" ht="40.049999999999997" customHeight="1" x14ac:dyDescent="0.3">
      <c r="A3" s="11">
        <v>1</v>
      </c>
      <c r="B3" s="11" t="s">
        <v>721</v>
      </c>
      <c r="C3" s="11"/>
      <c r="D3" s="11"/>
      <c r="E3" s="11" t="s">
        <v>727</v>
      </c>
      <c r="F3" s="11"/>
      <c r="G3" s="11" t="s">
        <v>58</v>
      </c>
      <c r="H3" s="11"/>
      <c r="I3" s="11" t="s">
        <v>70</v>
      </c>
      <c r="J3" s="11" t="s">
        <v>851</v>
      </c>
      <c r="K3" s="11" t="s">
        <v>487</v>
      </c>
      <c r="L3" s="11"/>
      <c r="M3" s="11"/>
      <c r="N3" s="11">
        <v>1</v>
      </c>
      <c r="O3" s="11">
        <v>4</v>
      </c>
      <c r="P3" s="11"/>
      <c r="Q3" s="53">
        <v>85</v>
      </c>
      <c r="R3" s="54">
        <f t="shared" si="0"/>
        <v>21.25</v>
      </c>
      <c r="S3" s="11" t="s">
        <v>437</v>
      </c>
      <c r="T3" s="11"/>
      <c r="U3" s="54">
        <v>62</v>
      </c>
      <c r="V3" s="11" t="s">
        <v>244</v>
      </c>
      <c r="W3" s="54">
        <f t="shared" si="1"/>
        <v>0.72941176470588232</v>
      </c>
      <c r="X3" s="11">
        <v>4</v>
      </c>
      <c r="Y3" s="54">
        <f t="shared" si="2"/>
        <v>15.5</v>
      </c>
      <c r="Z3" s="11"/>
      <c r="AA3" s="11"/>
    </row>
    <row r="4" spans="1:27" ht="40.049999999999997" customHeight="1" x14ac:dyDescent="0.3">
      <c r="A4" s="11">
        <v>1</v>
      </c>
      <c r="B4" s="11" t="s">
        <v>721</v>
      </c>
      <c r="C4" s="11"/>
      <c r="D4" s="11"/>
      <c r="E4" s="11" t="s">
        <v>727</v>
      </c>
      <c r="F4" s="11"/>
      <c r="G4" s="11" t="s">
        <v>58</v>
      </c>
      <c r="H4" s="11"/>
      <c r="I4" s="11" t="s">
        <v>70</v>
      </c>
      <c r="J4" s="11" t="s">
        <v>851</v>
      </c>
      <c r="K4" s="11" t="s">
        <v>487</v>
      </c>
      <c r="L4" s="11"/>
      <c r="M4" s="11"/>
      <c r="N4" s="11">
        <v>1</v>
      </c>
      <c r="O4" s="11">
        <v>4</v>
      </c>
      <c r="P4" s="11"/>
      <c r="Q4" s="53">
        <v>85</v>
      </c>
      <c r="R4" s="54">
        <f t="shared" si="0"/>
        <v>21.25</v>
      </c>
      <c r="S4" s="11" t="s">
        <v>290</v>
      </c>
      <c r="T4" s="11"/>
      <c r="U4" s="54">
        <v>28</v>
      </c>
      <c r="V4" s="11" t="s">
        <v>244</v>
      </c>
      <c r="W4" s="54">
        <f t="shared" si="1"/>
        <v>0.32941176470588235</v>
      </c>
      <c r="X4" s="11">
        <v>4</v>
      </c>
      <c r="Y4" s="54">
        <f t="shared" si="2"/>
        <v>7</v>
      </c>
      <c r="Z4" s="11"/>
      <c r="AA4" s="11"/>
    </row>
    <row r="5" spans="1:27" ht="40.049999999999997" customHeight="1" x14ac:dyDescent="0.3">
      <c r="A5" s="11">
        <v>1</v>
      </c>
      <c r="B5" s="11" t="s">
        <v>721</v>
      </c>
      <c r="C5" s="11"/>
      <c r="D5" s="11"/>
      <c r="E5" s="11" t="s">
        <v>727</v>
      </c>
      <c r="F5" s="11"/>
      <c r="G5" s="11" t="s">
        <v>58</v>
      </c>
      <c r="H5" s="11"/>
      <c r="I5" s="11" t="s">
        <v>70</v>
      </c>
      <c r="J5" s="11" t="s">
        <v>851</v>
      </c>
      <c r="K5" s="11" t="s">
        <v>487</v>
      </c>
      <c r="L5" s="11"/>
      <c r="M5" s="11"/>
      <c r="N5" s="11">
        <v>1</v>
      </c>
      <c r="O5" s="11">
        <v>4</v>
      </c>
      <c r="P5" s="11"/>
      <c r="Q5" s="53">
        <v>85</v>
      </c>
      <c r="R5" s="54">
        <f t="shared" si="0"/>
        <v>21.25</v>
      </c>
      <c r="S5" s="11" t="s">
        <v>437</v>
      </c>
      <c r="T5" s="11"/>
      <c r="U5" s="54">
        <v>62</v>
      </c>
      <c r="V5" s="11" t="s">
        <v>244</v>
      </c>
      <c r="W5" s="54">
        <f t="shared" si="1"/>
        <v>0.72941176470588232</v>
      </c>
      <c r="X5" s="11">
        <v>4</v>
      </c>
      <c r="Y5" s="54">
        <f t="shared" si="2"/>
        <v>15.5</v>
      </c>
      <c r="Z5" s="11"/>
      <c r="AA5" s="11"/>
    </row>
    <row r="6" spans="1:27" ht="40.049999999999997" customHeight="1" x14ac:dyDescent="0.3">
      <c r="A6" s="11">
        <v>2</v>
      </c>
      <c r="B6" s="11" t="s">
        <v>954</v>
      </c>
      <c r="C6" s="11" t="s">
        <v>488</v>
      </c>
      <c r="D6" s="11" t="s">
        <v>955</v>
      </c>
      <c r="E6" s="11" t="s">
        <v>728</v>
      </c>
      <c r="F6" s="11"/>
      <c r="G6" s="11" t="s">
        <v>58</v>
      </c>
      <c r="H6" s="11" t="s">
        <v>491</v>
      </c>
      <c r="I6" s="11" t="s">
        <v>391</v>
      </c>
      <c r="J6" s="11"/>
      <c r="K6" s="11" t="s">
        <v>489</v>
      </c>
      <c r="L6" s="11"/>
      <c r="M6" s="11">
        <v>1</v>
      </c>
      <c r="N6" s="11">
        <v>1</v>
      </c>
      <c r="O6" s="11">
        <v>2</v>
      </c>
      <c r="P6" s="11"/>
      <c r="Q6" s="53">
        <v>58</v>
      </c>
      <c r="R6" s="54">
        <f t="shared" si="0"/>
        <v>29</v>
      </c>
      <c r="S6" s="11" t="s">
        <v>67</v>
      </c>
      <c r="T6" s="11"/>
      <c r="U6" s="54">
        <f>93.77+1736.03</f>
        <v>1829.8</v>
      </c>
      <c r="V6" s="11" t="s">
        <v>244</v>
      </c>
      <c r="W6" s="54">
        <f t="shared" si="1"/>
        <v>31.548275862068966</v>
      </c>
      <c r="X6" s="11">
        <v>1</v>
      </c>
      <c r="Y6" s="54">
        <f t="shared" si="2"/>
        <v>914.9</v>
      </c>
      <c r="Z6" s="11"/>
      <c r="AA6" s="11" t="s">
        <v>494</v>
      </c>
    </row>
    <row r="7" spans="1:27" ht="40.049999999999997" customHeight="1" x14ac:dyDescent="0.3">
      <c r="A7" s="11">
        <v>2</v>
      </c>
      <c r="B7" s="11" t="s">
        <v>723</v>
      </c>
      <c r="C7" s="11"/>
      <c r="D7" s="11"/>
      <c r="E7" s="11" t="s">
        <v>728</v>
      </c>
      <c r="F7" s="11"/>
      <c r="G7" s="11" t="s">
        <v>58</v>
      </c>
      <c r="H7" s="11"/>
      <c r="I7" s="11" t="s">
        <v>391</v>
      </c>
      <c r="J7" s="11"/>
      <c r="K7" s="11" t="s">
        <v>489</v>
      </c>
      <c r="L7" s="11"/>
      <c r="M7" s="11">
        <v>1</v>
      </c>
      <c r="N7" s="11">
        <v>1</v>
      </c>
      <c r="O7" s="11">
        <v>2</v>
      </c>
      <c r="P7" s="11"/>
      <c r="Q7" s="53">
        <v>58</v>
      </c>
      <c r="R7" s="54">
        <f t="shared" si="0"/>
        <v>29</v>
      </c>
      <c r="S7" s="11" t="s">
        <v>437</v>
      </c>
      <c r="T7" s="11"/>
      <c r="U7" s="54">
        <v>47.97</v>
      </c>
      <c r="V7" s="11" t="s">
        <v>244</v>
      </c>
      <c r="W7" s="54">
        <f t="shared" si="1"/>
        <v>0.82706896551724141</v>
      </c>
      <c r="X7" s="11">
        <v>1</v>
      </c>
      <c r="Y7" s="54">
        <f t="shared" si="2"/>
        <v>23.984999999999999</v>
      </c>
      <c r="Z7" s="11"/>
      <c r="AA7" s="11"/>
    </row>
    <row r="8" spans="1:27" ht="40.049999999999997" customHeight="1" x14ac:dyDescent="0.3">
      <c r="A8" s="11">
        <v>2</v>
      </c>
      <c r="B8" s="11" t="s">
        <v>723</v>
      </c>
      <c r="C8" s="11"/>
      <c r="D8" s="11"/>
      <c r="E8" s="11" t="s">
        <v>728</v>
      </c>
      <c r="F8" s="11"/>
      <c r="G8" s="11" t="s">
        <v>58</v>
      </c>
      <c r="H8" s="11"/>
      <c r="I8" s="11" t="s">
        <v>391</v>
      </c>
      <c r="J8" s="11"/>
      <c r="K8" s="11" t="s">
        <v>490</v>
      </c>
      <c r="L8" s="11"/>
      <c r="M8" s="11">
        <v>1</v>
      </c>
      <c r="N8" s="11">
        <v>1</v>
      </c>
      <c r="O8" s="11">
        <v>2</v>
      </c>
      <c r="P8" s="11"/>
      <c r="Q8" s="53">
        <v>58</v>
      </c>
      <c r="R8" s="54">
        <f t="shared" si="0"/>
        <v>29</v>
      </c>
      <c r="S8" s="11" t="s">
        <v>67</v>
      </c>
      <c r="T8" s="11"/>
      <c r="U8" s="54">
        <f>93.77+1736.03</f>
        <v>1829.8</v>
      </c>
      <c r="V8" s="11" t="s">
        <v>244</v>
      </c>
      <c r="W8" s="54">
        <f t="shared" si="1"/>
        <v>31.548275862068966</v>
      </c>
      <c r="X8" s="11">
        <v>1</v>
      </c>
      <c r="Y8" s="54">
        <f t="shared" si="2"/>
        <v>914.9</v>
      </c>
      <c r="Z8" s="11"/>
      <c r="AA8" s="11"/>
    </row>
    <row r="9" spans="1:27" ht="40.049999999999997" customHeight="1" thickBot="1" x14ac:dyDescent="0.35">
      <c r="A9" s="11">
        <v>2</v>
      </c>
      <c r="B9" s="11" t="s">
        <v>723</v>
      </c>
      <c r="C9" s="11"/>
      <c r="D9" s="11"/>
      <c r="E9" s="11" t="s">
        <v>728</v>
      </c>
      <c r="F9" s="11"/>
      <c r="G9" s="11" t="s">
        <v>58</v>
      </c>
      <c r="H9" s="11"/>
      <c r="I9" s="11" t="s">
        <v>391</v>
      </c>
      <c r="J9" s="11"/>
      <c r="K9" s="11" t="s">
        <v>490</v>
      </c>
      <c r="L9" s="11"/>
      <c r="M9" s="11">
        <v>1</v>
      </c>
      <c r="N9" s="11">
        <v>1</v>
      </c>
      <c r="O9" s="11">
        <v>2</v>
      </c>
      <c r="P9" s="11"/>
      <c r="Q9" s="53">
        <v>58</v>
      </c>
      <c r="R9" s="54">
        <f t="shared" si="0"/>
        <v>29</v>
      </c>
      <c r="S9" s="11" t="s">
        <v>437</v>
      </c>
      <c r="T9" s="11"/>
      <c r="U9" s="54">
        <v>47.97</v>
      </c>
      <c r="V9" s="11" t="s">
        <v>244</v>
      </c>
      <c r="W9" s="54">
        <f t="shared" si="1"/>
        <v>0.82706896551724141</v>
      </c>
      <c r="X9" s="11">
        <v>1</v>
      </c>
      <c r="Y9" s="54">
        <f t="shared" si="2"/>
        <v>23.984999999999999</v>
      </c>
      <c r="Z9" s="11"/>
      <c r="AA9" s="11"/>
    </row>
    <row r="10" spans="1:27" ht="40.049999999999997" customHeight="1" thickBot="1" x14ac:dyDescent="0.35">
      <c r="A10" s="11">
        <v>3</v>
      </c>
      <c r="B10" s="11" t="s">
        <v>941</v>
      </c>
      <c r="C10" s="11" t="s">
        <v>943</v>
      </c>
      <c r="D10" s="11" t="s">
        <v>942</v>
      </c>
      <c r="E10" s="11" t="s">
        <v>727</v>
      </c>
      <c r="F10" s="11"/>
      <c r="G10" s="11" t="s">
        <v>58</v>
      </c>
      <c r="H10" s="11"/>
      <c r="I10" s="11" t="s">
        <v>391</v>
      </c>
      <c r="J10" s="11" t="s">
        <v>261</v>
      </c>
      <c r="K10" s="11" t="s">
        <v>949</v>
      </c>
      <c r="L10" s="11">
        <v>1960</v>
      </c>
      <c r="M10" s="11"/>
      <c r="N10" s="11"/>
      <c r="O10" s="11"/>
      <c r="P10" s="11"/>
      <c r="Q10" s="53"/>
      <c r="R10" s="54"/>
      <c r="S10" s="11" t="s">
        <v>30</v>
      </c>
      <c r="T10" s="11"/>
      <c r="U10" s="11"/>
      <c r="V10" s="11" t="s">
        <v>0</v>
      </c>
      <c r="W10" s="54">
        <v>16.600000000000001</v>
      </c>
      <c r="X10" s="11">
        <v>1</v>
      </c>
      <c r="Y10" s="112"/>
      <c r="AA10" s="11"/>
    </row>
    <row r="11" spans="1:27" ht="40.049999999999997" customHeight="1" x14ac:dyDescent="0.3">
      <c r="A11" s="11">
        <v>3</v>
      </c>
      <c r="B11" s="11" t="s">
        <v>916</v>
      </c>
      <c r="C11" s="11"/>
      <c r="D11" s="11"/>
      <c r="E11" s="11" t="s">
        <v>727</v>
      </c>
      <c r="F11" s="11"/>
      <c r="G11" s="11" t="s">
        <v>58</v>
      </c>
      <c r="H11" s="11"/>
      <c r="I11" s="11" t="s">
        <v>391</v>
      </c>
      <c r="J11" s="11" t="s">
        <v>261</v>
      </c>
      <c r="K11" s="11" t="s">
        <v>949</v>
      </c>
      <c r="L11" s="11">
        <v>1960</v>
      </c>
      <c r="M11" s="11"/>
      <c r="N11" s="11"/>
      <c r="O11" s="11"/>
      <c r="P11" s="11"/>
      <c r="Q11" s="53"/>
      <c r="R11" s="54"/>
      <c r="S11" s="11" t="s">
        <v>67</v>
      </c>
      <c r="T11" s="11"/>
      <c r="U11" s="11"/>
      <c r="V11" s="11" t="s">
        <v>0</v>
      </c>
      <c r="W11" s="54">
        <v>105</v>
      </c>
      <c r="X11" s="11">
        <v>1</v>
      </c>
      <c r="Y11" s="11"/>
      <c r="Z11" s="11"/>
      <c r="AA11" s="11"/>
    </row>
    <row r="12" spans="1:27" ht="40.049999999999997" customHeight="1" thickBot="1" x14ac:dyDescent="0.35">
      <c r="A12" s="11">
        <v>3</v>
      </c>
      <c r="B12" s="11" t="s">
        <v>916</v>
      </c>
      <c r="C12" s="11"/>
      <c r="D12" s="11"/>
      <c r="E12" s="11" t="s">
        <v>727</v>
      </c>
      <c r="F12" s="11"/>
      <c r="G12" s="11" t="s">
        <v>58</v>
      </c>
      <c r="H12" s="11"/>
      <c r="I12" s="11" t="s">
        <v>391</v>
      </c>
      <c r="J12" s="11" t="s">
        <v>261</v>
      </c>
      <c r="K12" s="11" t="s">
        <v>949</v>
      </c>
      <c r="L12" s="11">
        <v>1960</v>
      </c>
      <c r="M12" s="11"/>
      <c r="N12" s="11"/>
      <c r="O12" s="11"/>
      <c r="P12" s="11"/>
      <c r="Q12" s="53"/>
      <c r="R12" s="54"/>
      <c r="S12" s="11" t="s">
        <v>437</v>
      </c>
      <c r="T12" s="11"/>
      <c r="U12" s="54"/>
      <c r="V12" s="11" t="s">
        <v>0</v>
      </c>
      <c r="W12" s="54">
        <v>0.8</v>
      </c>
      <c r="X12" s="11">
        <v>1</v>
      </c>
      <c r="Y12" s="54"/>
      <c r="Z12" s="11"/>
      <c r="AA12" s="11"/>
    </row>
    <row r="13" spans="1:27" ht="40.049999999999997" customHeight="1" thickBot="1" x14ac:dyDescent="0.35">
      <c r="A13" s="11">
        <v>3</v>
      </c>
      <c r="B13" s="11" t="s">
        <v>916</v>
      </c>
      <c r="C13" s="11"/>
      <c r="D13" s="11"/>
      <c r="E13" s="11" t="s">
        <v>727</v>
      </c>
      <c r="F13" s="11"/>
      <c r="G13" s="11" t="s">
        <v>58</v>
      </c>
      <c r="H13" s="11"/>
      <c r="I13" s="11" t="s">
        <v>391</v>
      </c>
      <c r="J13" s="11" t="s">
        <v>261</v>
      </c>
      <c r="K13" s="11" t="s">
        <v>950</v>
      </c>
      <c r="L13" s="11">
        <v>1960</v>
      </c>
      <c r="M13" s="11"/>
      <c r="N13" s="11"/>
      <c r="O13" s="11"/>
      <c r="P13" s="11"/>
      <c r="Q13" s="53"/>
      <c r="R13" s="54"/>
      <c r="S13" s="11" t="s">
        <v>30</v>
      </c>
      <c r="V13" s="11" t="s">
        <v>0</v>
      </c>
      <c r="W13" s="54">
        <v>36.6</v>
      </c>
      <c r="X13" s="11">
        <v>1</v>
      </c>
      <c r="Y13" s="112"/>
      <c r="AA13" s="11"/>
    </row>
    <row r="14" spans="1:27" ht="40.049999999999997" customHeight="1" x14ac:dyDescent="0.3">
      <c r="A14" s="11">
        <v>3</v>
      </c>
      <c r="B14" s="11" t="s">
        <v>916</v>
      </c>
      <c r="C14" s="11"/>
      <c r="D14" s="11"/>
      <c r="E14" s="11" t="s">
        <v>727</v>
      </c>
      <c r="F14" s="11"/>
      <c r="G14" s="11" t="s">
        <v>58</v>
      </c>
      <c r="H14" s="11"/>
      <c r="I14" s="11" t="s">
        <v>391</v>
      </c>
      <c r="J14" s="11" t="s">
        <v>261</v>
      </c>
      <c r="K14" s="11" t="s">
        <v>950</v>
      </c>
      <c r="L14" s="11">
        <v>1960</v>
      </c>
      <c r="M14" s="11"/>
      <c r="N14" s="11"/>
      <c r="O14" s="11"/>
      <c r="P14" s="11"/>
      <c r="Q14" s="53"/>
      <c r="R14" s="54"/>
      <c r="S14" s="11" t="s">
        <v>67</v>
      </c>
      <c r="T14" s="11"/>
      <c r="U14" s="54"/>
      <c r="V14" s="11" t="s">
        <v>0</v>
      </c>
      <c r="W14" s="54">
        <v>131</v>
      </c>
      <c r="X14" s="11">
        <v>1</v>
      </c>
      <c r="Y14" s="54"/>
      <c r="Z14" s="11"/>
      <c r="AA14" s="11"/>
    </row>
    <row r="15" spans="1:27" ht="40.049999999999997" customHeight="1" x14ac:dyDescent="0.3">
      <c r="A15" s="11">
        <v>3</v>
      </c>
      <c r="B15" s="11" t="s">
        <v>916</v>
      </c>
      <c r="C15" s="11"/>
      <c r="D15" s="11"/>
      <c r="E15" s="11" t="s">
        <v>727</v>
      </c>
      <c r="F15" s="11"/>
      <c r="G15" s="11" t="s">
        <v>58</v>
      </c>
      <c r="H15" s="11"/>
      <c r="I15" s="11" t="s">
        <v>391</v>
      </c>
      <c r="J15" s="11" t="s">
        <v>261</v>
      </c>
      <c r="K15" s="11" t="s">
        <v>950</v>
      </c>
      <c r="L15" s="11">
        <v>1960</v>
      </c>
      <c r="M15" s="11"/>
      <c r="N15" s="11"/>
      <c r="O15" s="11"/>
      <c r="P15" s="11"/>
      <c r="Q15" s="53"/>
      <c r="R15" s="54"/>
      <c r="S15" s="11" t="s">
        <v>437</v>
      </c>
      <c r="T15" s="11"/>
      <c r="U15" s="54"/>
      <c r="V15" s="11" t="s">
        <v>0</v>
      </c>
      <c r="W15" s="54">
        <v>0.8</v>
      </c>
      <c r="X15" s="11">
        <v>1</v>
      </c>
      <c r="Y15" s="54"/>
      <c r="Z15" s="11"/>
      <c r="AA15" s="11"/>
    </row>
    <row r="16" spans="1:27" ht="40.049999999999997" customHeight="1" x14ac:dyDescent="0.3">
      <c r="A16" s="11">
        <v>3</v>
      </c>
      <c r="B16" s="11" t="s">
        <v>916</v>
      </c>
      <c r="C16" s="11"/>
      <c r="D16" s="11"/>
      <c r="E16" s="11" t="s">
        <v>727</v>
      </c>
      <c r="F16" s="11"/>
      <c r="G16" s="11" t="s">
        <v>58</v>
      </c>
      <c r="H16" s="11"/>
      <c r="I16" s="11" t="s">
        <v>391</v>
      </c>
      <c r="J16" s="11" t="s">
        <v>261</v>
      </c>
      <c r="K16" s="11" t="s">
        <v>951</v>
      </c>
      <c r="L16" s="11">
        <v>1960</v>
      </c>
      <c r="M16" s="11"/>
      <c r="N16" s="11"/>
      <c r="O16" s="11"/>
      <c r="P16" s="11"/>
      <c r="Q16" s="53"/>
      <c r="R16" s="54"/>
      <c r="S16" s="11" t="s">
        <v>30</v>
      </c>
      <c r="T16" s="11"/>
      <c r="U16" s="54"/>
      <c r="V16" s="11" t="s">
        <v>0</v>
      </c>
      <c r="W16" s="54">
        <v>30.5</v>
      </c>
      <c r="X16" s="11">
        <v>1</v>
      </c>
    </row>
    <row r="17" spans="1:27" ht="40.049999999999997" customHeight="1" x14ac:dyDescent="0.3">
      <c r="A17" s="11">
        <v>3</v>
      </c>
      <c r="B17" s="11" t="s">
        <v>916</v>
      </c>
      <c r="C17" s="11"/>
      <c r="D17" s="11"/>
      <c r="E17" s="11" t="s">
        <v>727</v>
      </c>
      <c r="F17" s="11"/>
      <c r="G17" s="11" t="s">
        <v>58</v>
      </c>
      <c r="H17" s="11"/>
      <c r="I17" s="11" t="s">
        <v>391</v>
      </c>
      <c r="J17" s="11" t="s">
        <v>261</v>
      </c>
      <c r="K17" s="11" t="s">
        <v>951</v>
      </c>
      <c r="L17" s="11">
        <v>1960</v>
      </c>
      <c r="M17" s="11"/>
      <c r="N17" s="11"/>
      <c r="O17" s="11"/>
      <c r="P17" s="11"/>
      <c r="Q17" s="53"/>
      <c r="R17" s="54"/>
      <c r="S17" s="11" t="s">
        <v>67</v>
      </c>
      <c r="T17" s="11"/>
      <c r="U17" s="54"/>
      <c r="V17" s="11" t="s">
        <v>0</v>
      </c>
      <c r="W17" s="54">
        <v>159.80000000000001</v>
      </c>
      <c r="X17" s="11">
        <v>1</v>
      </c>
      <c r="Y17" s="54"/>
      <c r="Z17" s="11"/>
      <c r="AA17" s="11"/>
    </row>
    <row r="18" spans="1:27" ht="40.049999999999997" customHeight="1" x14ac:dyDescent="0.3">
      <c r="A18" s="11">
        <v>3</v>
      </c>
      <c r="B18" s="11" t="s">
        <v>916</v>
      </c>
      <c r="C18" s="11"/>
      <c r="D18" s="11"/>
      <c r="E18" s="11" t="s">
        <v>727</v>
      </c>
      <c r="F18" s="11"/>
      <c r="G18" s="11" t="s">
        <v>58</v>
      </c>
      <c r="H18" s="11"/>
      <c r="I18" s="11" t="s">
        <v>391</v>
      </c>
      <c r="J18" s="11" t="s">
        <v>261</v>
      </c>
      <c r="K18" s="11" t="s">
        <v>951</v>
      </c>
      <c r="L18" s="11">
        <v>1960</v>
      </c>
      <c r="M18" s="11"/>
      <c r="N18" s="11"/>
      <c r="O18" s="11"/>
      <c r="P18" s="11"/>
      <c r="Q18" s="53"/>
      <c r="R18" s="54"/>
      <c r="S18" s="11" t="s">
        <v>65</v>
      </c>
      <c r="T18" s="11"/>
      <c r="U18" s="54"/>
      <c r="V18" s="11" t="s">
        <v>0</v>
      </c>
      <c r="W18" s="54">
        <v>49.9</v>
      </c>
      <c r="X18" s="11">
        <v>1</v>
      </c>
      <c r="Y18" s="54"/>
      <c r="Z18" s="11"/>
      <c r="AA18" s="11"/>
    </row>
    <row r="19" spans="1:27" ht="40.049999999999997" customHeight="1" x14ac:dyDescent="0.3">
      <c r="A19" s="11">
        <v>3</v>
      </c>
      <c r="B19" s="11" t="s">
        <v>916</v>
      </c>
      <c r="C19" s="11"/>
      <c r="D19" s="11"/>
      <c r="E19" s="11" t="s">
        <v>727</v>
      </c>
      <c r="F19" s="11"/>
      <c r="G19" s="11" t="s">
        <v>58</v>
      </c>
      <c r="H19" s="11"/>
      <c r="I19" s="11" t="s">
        <v>391</v>
      </c>
      <c r="J19" s="11" t="s">
        <v>261</v>
      </c>
      <c r="K19" s="11" t="s">
        <v>951</v>
      </c>
      <c r="L19" s="11">
        <v>1960</v>
      </c>
      <c r="M19" s="11"/>
      <c r="N19" s="11"/>
      <c r="O19" s="11"/>
      <c r="P19" s="11"/>
      <c r="Q19" s="53"/>
      <c r="R19" s="54"/>
      <c r="S19" s="11" t="s">
        <v>437</v>
      </c>
      <c r="T19" s="11"/>
      <c r="U19" s="54"/>
      <c r="V19" s="11" t="s">
        <v>0</v>
      </c>
      <c r="W19" s="54">
        <v>1.3</v>
      </c>
      <c r="X19" s="11">
        <v>1</v>
      </c>
      <c r="Y19" s="54"/>
      <c r="Z19" s="11"/>
      <c r="AA19" s="11"/>
    </row>
    <row r="20" spans="1:27" ht="40.049999999999997" customHeight="1" x14ac:dyDescent="0.3">
      <c r="A20" s="11">
        <v>3</v>
      </c>
      <c r="B20" s="11" t="s">
        <v>916</v>
      </c>
      <c r="C20" s="11"/>
      <c r="D20" s="11"/>
      <c r="E20" s="11" t="s">
        <v>727</v>
      </c>
      <c r="F20" s="11"/>
      <c r="G20" s="11" t="s">
        <v>58</v>
      </c>
      <c r="H20" s="11"/>
      <c r="I20" s="11" t="s">
        <v>391</v>
      </c>
      <c r="J20" s="11" t="s">
        <v>261</v>
      </c>
      <c r="K20" s="11" t="s">
        <v>952</v>
      </c>
      <c r="L20" s="11">
        <v>1960</v>
      </c>
      <c r="M20" s="11"/>
      <c r="N20" s="11"/>
      <c r="O20" s="11"/>
      <c r="P20" s="11"/>
      <c r="Q20" s="53"/>
      <c r="R20" s="54"/>
      <c r="S20" s="11" t="s">
        <v>30</v>
      </c>
      <c r="T20" s="11"/>
      <c r="U20" s="54"/>
      <c r="V20" s="11" t="s">
        <v>0</v>
      </c>
      <c r="W20" s="54">
        <v>27</v>
      </c>
      <c r="X20" s="11">
        <v>1</v>
      </c>
      <c r="AA20" s="11"/>
    </row>
    <row r="21" spans="1:27" ht="40.049999999999997" customHeight="1" x14ac:dyDescent="0.3">
      <c r="A21" s="11">
        <v>3</v>
      </c>
      <c r="B21" s="11" t="s">
        <v>916</v>
      </c>
      <c r="C21" s="11"/>
      <c r="D21" s="11"/>
      <c r="E21" s="11" t="s">
        <v>727</v>
      </c>
      <c r="F21" s="11"/>
      <c r="G21" s="11" t="s">
        <v>58</v>
      </c>
      <c r="H21" s="11"/>
      <c r="I21" s="11" t="s">
        <v>391</v>
      </c>
      <c r="J21" s="11" t="s">
        <v>261</v>
      </c>
      <c r="K21" s="11" t="s">
        <v>952</v>
      </c>
      <c r="L21" s="11">
        <v>1960</v>
      </c>
      <c r="M21" s="11"/>
      <c r="N21" s="11"/>
      <c r="O21" s="11"/>
      <c r="P21" s="11"/>
      <c r="Q21" s="53"/>
      <c r="R21" s="54"/>
      <c r="S21" s="11" t="s">
        <v>67</v>
      </c>
      <c r="T21" s="11"/>
      <c r="U21" s="54"/>
      <c r="V21" s="11" t="s">
        <v>0</v>
      </c>
      <c r="W21" s="54">
        <v>125.6</v>
      </c>
      <c r="X21" s="11">
        <v>1</v>
      </c>
      <c r="Y21" s="54"/>
      <c r="Z21" s="11"/>
      <c r="AA21" s="11"/>
    </row>
    <row r="22" spans="1:27" ht="40.049999999999997" customHeight="1" x14ac:dyDescent="0.3">
      <c r="A22" s="11">
        <v>3</v>
      </c>
      <c r="B22" s="11" t="s">
        <v>916</v>
      </c>
      <c r="C22" s="11"/>
      <c r="D22" s="11"/>
      <c r="E22" s="11" t="s">
        <v>727</v>
      </c>
      <c r="F22" s="11"/>
      <c r="G22" s="11" t="s">
        <v>58</v>
      </c>
      <c r="H22" s="11"/>
      <c r="I22" s="11" t="s">
        <v>391</v>
      </c>
      <c r="J22" s="11" t="s">
        <v>261</v>
      </c>
      <c r="K22" s="11" t="s">
        <v>952</v>
      </c>
      <c r="L22" s="11">
        <v>1960</v>
      </c>
      <c r="M22" s="11"/>
      <c r="N22" s="11"/>
      <c r="O22" s="11"/>
      <c r="P22" s="11"/>
      <c r="Q22" s="53"/>
      <c r="R22" s="54"/>
      <c r="S22" s="11" t="s">
        <v>65</v>
      </c>
      <c r="T22" s="11"/>
      <c r="U22" s="54"/>
      <c r="V22" s="11" t="s">
        <v>0</v>
      </c>
      <c r="W22" s="54">
        <v>9.6</v>
      </c>
      <c r="X22" s="11">
        <v>1</v>
      </c>
      <c r="Y22" s="54"/>
      <c r="Z22" s="11"/>
      <c r="AA22" s="11"/>
    </row>
    <row r="23" spans="1:27" ht="40.049999999999997" customHeight="1" thickBot="1" x14ac:dyDescent="0.35">
      <c r="A23" s="11">
        <v>3</v>
      </c>
      <c r="B23" s="11" t="s">
        <v>916</v>
      </c>
      <c r="C23" s="11"/>
      <c r="D23" s="11"/>
      <c r="E23" s="11" t="s">
        <v>727</v>
      </c>
      <c r="F23" s="11"/>
      <c r="G23" s="11" t="s">
        <v>58</v>
      </c>
      <c r="H23" s="11"/>
      <c r="I23" s="11" t="s">
        <v>391</v>
      </c>
      <c r="J23" s="11" t="s">
        <v>261</v>
      </c>
      <c r="K23" s="11" t="s">
        <v>952</v>
      </c>
      <c r="L23" s="11">
        <v>1960</v>
      </c>
      <c r="M23" s="11"/>
      <c r="N23" s="11"/>
      <c r="O23" s="11"/>
      <c r="P23" s="11"/>
      <c r="Q23" s="53"/>
      <c r="R23" s="54"/>
      <c r="S23" s="11" t="s">
        <v>437</v>
      </c>
      <c r="T23" s="11"/>
      <c r="U23" s="54"/>
      <c r="V23" s="11" t="s">
        <v>0</v>
      </c>
      <c r="W23" s="54">
        <v>0.9</v>
      </c>
      <c r="X23" s="11">
        <v>1</v>
      </c>
      <c r="Y23" s="54"/>
      <c r="Z23" s="11"/>
      <c r="AA23" s="11"/>
    </row>
    <row r="24" spans="1:27" ht="40.049999999999997" customHeight="1" thickBot="1" x14ac:dyDescent="0.35">
      <c r="A24" s="11">
        <v>3</v>
      </c>
      <c r="B24" s="11" t="s">
        <v>916</v>
      </c>
      <c r="C24" s="11"/>
      <c r="D24" s="11"/>
      <c r="E24" s="11" t="s">
        <v>953</v>
      </c>
      <c r="F24" s="11"/>
      <c r="G24" s="11" t="s">
        <v>58</v>
      </c>
      <c r="H24" s="11"/>
      <c r="I24" s="11" t="s">
        <v>391</v>
      </c>
      <c r="J24" s="11" t="s">
        <v>261</v>
      </c>
      <c r="K24" s="11" t="s">
        <v>949</v>
      </c>
      <c r="L24" s="11">
        <v>1960</v>
      </c>
      <c r="M24" s="11"/>
      <c r="N24" s="11"/>
      <c r="O24" s="11"/>
      <c r="P24" s="11"/>
      <c r="Q24" s="53"/>
      <c r="R24" s="54"/>
      <c r="S24" s="11" t="s">
        <v>30</v>
      </c>
      <c r="T24" s="11"/>
      <c r="U24" s="54"/>
      <c r="V24" s="11" t="s">
        <v>0</v>
      </c>
      <c r="W24" s="54">
        <v>17.3</v>
      </c>
      <c r="X24" s="11">
        <v>1</v>
      </c>
      <c r="Y24" s="112"/>
    </row>
    <row r="25" spans="1:27" ht="40.049999999999997" customHeight="1" x14ac:dyDescent="0.3">
      <c r="A25" s="11">
        <v>3</v>
      </c>
      <c r="B25" s="11" t="s">
        <v>916</v>
      </c>
      <c r="C25" s="11"/>
      <c r="D25" s="11"/>
      <c r="E25" s="11" t="s">
        <v>953</v>
      </c>
      <c r="F25" s="11"/>
      <c r="G25" s="11" t="s">
        <v>58</v>
      </c>
      <c r="H25" s="11"/>
      <c r="I25" s="11" t="s">
        <v>391</v>
      </c>
      <c r="J25" s="11" t="s">
        <v>261</v>
      </c>
      <c r="K25" s="11" t="s">
        <v>949</v>
      </c>
      <c r="L25" s="11">
        <v>1960</v>
      </c>
      <c r="M25" s="11"/>
      <c r="N25" s="11"/>
      <c r="O25" s="11"/>
      <c r="P25" s="11"/>
      <c r="Q25" s="53"/>
      <c r="R25" s="54"/>
      <c r="S25" s="11" t="s">
        <v>67</v>
      </c>
      <c r="T25" s="11"/>
      <c r="U25" s="54"/>
      <c r="V25" s="11" t="s">
        <v>0</v>
      </c>
      <c r="W25" s="54">
        <v>143.1</v>
      </c>
      <c r="X25" s="11">
        <v>1</v>
      </c>
      <c r="Y25" s="54"/>
      <c r="Z25" s="11"/>
      <c r="AA25" s="11"/>
    </row>
    <row r="26" spans="1:27" ht="40.049999999999997" customHeight="1" thickBot="1" x14ac:dyDescent="0.35">
      <c r="A26" s="11">
        <v>3</v>
      </c>
      <c r="B26" s="11" t="s">
        <v>916</v>
      </c>
      <c r="C26" s="11"/>
      <c r="D26" s="11"/>
      <c r="E26" s="11" t="s">
        <v>953</v>
      </c>
      <c r="F26" s="11"/>
      <c r="G26" s="11" t="s">
        <v>58</v>
      </c>
      <c r="H26" s="11"/>
      <c r="I26" s="11" t="s">
        <v>391</v>
      </c>
      <c r="J26" s="11" t="s">
        <v>261</v>
      </c>
      <c r="K26" s="11" t="s">
        <v>949</v>
      </c>
      <c r="L26" s="11">
        <v>1960</v>
      </c>
      <c r="M26" s="11"/>
      <c r="N26" s="11"/>
      <c r="O26" s="11"/>
      <c r="P26" s="11"/>
      <c r="Q26" s="53"/>
      <c r="R26" s="54"/>
      <c r="S26" s="11" t="s">
        <v>437</v>
      </c>
      <c r="T26" s="11"/>
      <c r="U26" s="54"/>
      <c r="V26" s="11" t="s">
        <v>0</v>
      </c>
      <c r="W26" s="54">
        <v>1.2</v>
      </c>
      <c r="X26" s="11">
        <v>1</v>
      </c>
      <c r="Y26" s="54"/>
      <c r="Z26" s="11"/>
      <c r="AA26" s="11"/>
    </row>
    <row r="27" spans="1:27" ht="40.049999999999997" customHeight="1" thickBot="1" x14ac:dyDescent="0.35">
      <c r="A27" s="11">
        <v>3</v>
      </c>
      <c r="B27" s="11" t="s">
        <v>916</v>
      </c>
      <c r="C27" s="11"/>
      <c r="D27" s="11"/>
      <c r="E27" s="11" t="s">
        <v>953</v>
      </c>
      <c r="F27" s="11"/>
      <c r="G27" s="11" t="s">
        <v>58</v>
      </c>
      <c r="H27" s="11"/>
      <c r="I27" s="11" t="s">
        <v>391</v>
      </c>
      <c r="J27" s="11" t="s">
        <v>261</v>
      </c>
      <c r="K27" s="11" t="s">
        <v>950</v>
      </c>
      <c r="L27" s="11">
        <v>1960</v>
      </c>
      <c r="M27" s="11"/>
      <c r="N27" s="11"/>
      <c r="O27" s="11"/>
      <c r="P27" s="11"/>
      <c r="Q27" s="53"/>
      <c r="R27" s="54"/>
      <c r="S27" s="11" t="s">
        <v>30</v>
      </c>
      <c r="T27" s="11"/>
      <c r="U27" s="54"/>
      <c r="V27" s="11" t="s">
        <v>0</v>
      </c>
      <c r="W27" s="54">
        <v>37.700000000000003</v>
      </c>
      <c r="X27" s="11">
        <v>1</v>
      </c>
      <c r="Y27" s="112"/>
    </row>
    <row r="28" spans="1:27" ht="40.049999999999997" customHeight="1" x14ac:dyDescent="0.3">
      <c r="A28" s="11">
        <v>3</v>
      </c>
      <c r="B28" s="11" t="s">
        <v>916</v>
      </c>
      <c r="C28" s="11"/>
      <c r="D28" s="11"/>
      <c r="E28" s="11" t="s">
        <v>953</v>
      </c>
      <c r="F28" s="11"/>
      <c r="G28" s="11" t="s">
        <v>58</v>
      </c>
      <c r="H28" s="11"/>
      <c r="I28" s="11" t="s">
        <v>391</v>
      </c>
      <c r="J28" s="11" t="s">
        <v>261</v>
      </c>
      <c r="K28" s="11" t="s">
        <v>950</v>
      </c>
      <c r="L28" s="11">
        <v>1960</v>
      </c>
      <c r="M28" s="11"/>
      <c r="N28" s="11"/>
      <c r="O28" s="11"/>
      <c r="P28" s="11"/>
      <c r="Q28" s="53"/>
      <c r="R28" s="54"/>
      <c r="S28" s="11" t="s">
        <v>67</v>
      </c>
      <c r="T28" s="11"/>
      <c r="U28" s="54"/>
      <c r="V28" s="11" t="s">
        <v>0</v>
      </c>
      <c r="W28" s="54">
        <v>161.5</v>
      </c>
      <c r="X28" s="11">
        <v>1</v>
      </c>
      <c r="Y28" s="54"/>
      <c r="Z28" s="11"/>
      <c r="AA28" s="11"/>
    </row>
    <row r="29" spans="1:27" ht="40.049999999999997" customHeight="1" x14ac:dyDescent="0.3">
      <c r="A29" s="11">
        <v>3</v>
      </c>
      <c r="B29" s="11" t="s">
        <v>916</v>
      </c>
      <c r="C29" s="11"/>
      <c r="D29" s="11"/>
      <c r="E29" s="11" t="s">
        <v>953</v>
      </c>
      <c r="F29" s="11"/>
      <c r="G29" s="11" t="s">
        <v>58</v>
      </c>
      <c r="H29" s="11"/>
      <c r="I29" s="11" t="s">
        <v>391</v>
      </c>
      <c r="J29" s="11" t="s">
        <v>261</v>
      </c>
      <c r="K29" s="11" t="s">
        <v>950</v>
      </c>
      <c r="L29" s="11">
        <v>1960</v>
      </c>
      <c r="M29" s="11"/>
      <c r="N29" s="11"/>
      <c r="O29" s="11"/>
      <c r="P29" s="11"/>
      <c r="Q29" s="53"/>
      <c r="R29" s="54"/>
      <c r="S29" s="11" t="s">
        <v>437</v>
      </c>
      <c r="T29" s="11"/>
      <c r="U29" s="54"/>
      <c r="V29" s="11" t="s">
        <v>0</v>
      </c>
      <c r="W29" s="54">
        <v>1.3</v>
      </c>
      <c r="X29" s="11">
        <v>1</v>
      </c>
      <c r="Y29" s="54"/>
      <c r="Z29" s="11"/>
      <c r="AA29" s="11"/>
    </row>
    <row r="30" spans="1:27" ht="40.049999999999997" customHeight="1" x14ac:dyDescent="0.3">
      <c r="A30" s="11">
        <v>3</v>
      </c>
      <c r="B30" s="11" t="s">
        <v>916</v>
      </c>
      <c r="C30" s="11"/>
      <c r="D30" s="11"/>
      <c r="E30" s="11" t="s">
        <v>953</v>
      </c>
      <c r="F30" s="11"/>
      <c r="G30" s="11" t="s">
        <v>58</v>
      </c>
      <c r="H30" s="11"/>
      <c r="I30" s="11" t="s">
        <v>391</v>
      </c>
      <c r="J30" s="11" t="s">
        <v>261</v>
      </c>
      <c r="K30" s="11" t="s">
        <v>951</v>
      </c>
      <c r="L30" s="11">
        <v>1960</v>
      </c>
      <c r="M30" s="11"/>
      <c r="N30" s="11"/>
      <c r="O30" s="11"/>
      <c r="P30" s="11"/>
      <c r="Q30" s="53"/>
      <c r="R30" s="54"/>
      <c r="S30" s="11" t="s">
        <v>30</v>
      </c>
      <c r="T30" s="11"/>
      <c r="U30" s="54"/>
      <c r="V30" s="11" t="s">
        <v>0</v>
      </c>
      <c r="W30" s="54">
        <v>34</v>
      </c>
      <c r="X30" s="11">
        <v>1</v>
      </c>
      <c r="AA30" s="11"/>
    </row>
    <row r="31" spans="1:27" ht="40.049999999999997" customHeight="1" x14ac:dyDescent="0.3">
      <c r="A31" s="11">
        <v>3</v>
      </c>
      <c r="B31" s="11" t="s">
        <v>916</v>
      </c>
      <c r="C31" s="11"/>
      <c r="D31" s="11"/>
      <c r="E31" s="11" t="s">
        <v>953</v>
      </c>
      <c r="F31" s="11"/>
      <c r="G31" s="11" t="s">
        <v>58</v>
      </c>
      <c r="H31" s="11"/>
      <c r="I31" s="11" t="s">
        <v>391</v>
      </c>
      <c r="J31" s="11" t="s">
        <v>261</v>
      </c>
      <c r="K31" s="11" t="s">
        <v>951</v>
      </c>
      <c r="L31" s="11">
        <v>1960</v>
      </c>
      <c r="M31" s="11"/>
      <c r="N31" s="11"/>
      <c r="O31" s="11"/>
      <c r="P31" s="11"/>
      <c r="Q31" s="53"/>
      <c r="R31" s="54"/>
      <c r="S31" s="11" t="s">
        <v>67</v>
      </c>
      <c r="T31" s="11"/>
      <c r="U31" s="54"/>
      <c r="V31" s="11" t="s">
        <v>0</v>
      </c>
      <c r="W31" s="54">
        <v>43.2</v>
      </c>
      <c r="X31" s="11">
        <v>1</v>
      </c>
      <c r="Y31" s="54"/>
      <c r="Z31" s="11"/>
      <c r="AA31" s="11"/>
    </row>
    <row r="32" spans="1:27" ht="40.049999999999997" customHeight="1" x14ac:dyDescent="0.3">
      <c r="A32" s="11">
        <v>3</v>
      </c>
      <c r="B32" s="11" t="s">
        <v>916</v>
      </c>
      <c r="C32" s="11"/>
      <c r="D32" s="11"/>
      <c r="E32" s="11" t="s">
        <v>953</v>
      </c>
      <c r="F32" s="11"/>
      <c r="G32" s="11" t="s">
        <v>58</v>
      </c>
      <c r="H32" s="11"/>
      <c r="I32" s="11" t="s">
        <v>391</v>
      </c>
      <c r="J32" s="11" t="s">
        <v>261</v>
      </c>
      <c r="K32" s="11" t="s">
        <v>951</v>
      </c>
      <c r="L32" s="11">
        <v>1960</v>
      </c>
      <c r="M32" s="11"/>
      <c r="N32" s="11"/>
      <c r="O32" s="11"/>
      <c r="P32" s="11"/>
      <c r="Q32" s="53"/>
      <c r="R32" s="54"/>
      <c r="S32" s="11" t="s">
        <v>65</v>
      </c>
      <c r="T32" s="11"/>
      <c r="U32" s="54"/>
      <c r="V32" s="11" t="s">
        <v>0</v>
      </c>
      <c r="W32" s="54">
        <v>39.200000000000003</v>
      </c>
      <c r="X32" s="11">
        <v>1</v>
      </c>
      <c r="Y32" s="54"/>
      <c r="Z32" s="11"/>
      <c r="AA32" s="11"/>
    </row>
    <row r="33" spans="1:27" ht="40.049999999999997" customHeight="1" x14ac:dyDescent="0.3">
      <c r="A33" s="11">
        <v>3</v>
      </c>
      <c r="B33" s="11" t="s">
        <v>916</v>
      </c>
      <c r="C33" s="11"/>
      <c r="D33" s="11"/>
      <c r="E33" s="11" t="s">
        <v>953</v>
      </c>
      <c r="F33" s="11"/>
      <c r="G33" s="11" t="s">
        <v>58</v>
      </c>
      <c r="H33" s="11"/>
      <c r="I33" s="11" t="s">
        <v>391</v>
      </c>
      <c r="J33" s="11" t="s">
        <v>261</v>
      </c>
      <c r="K33" s="11" t="s">
        <v>951</v>
      </c>
      <c r="L33" s="11">
        <v>1960</v>
      </c>
      <c r="M33" s="11"/>
      <c r="N33" s="11"/>
      <c r="O33" s="11"/>
      <c r="P33" s="11"/>
      <c r="Q33" s="53"/>
      <c r="R33" s="54"/>
      <c r="S33" s="11" t="s">
        <v>437</v>
      </c>
      <c r="T33" s="11"/>
      <c r="U33" s="54"/>
      <c r="V33" s="11" t="s">
        <v>0</v>
      </c>
      <c r="W33" s="54">
        <v>6.2</v>
      </c>
      <c r="X33" s="11">
        <v>1</v>
      </c>
      <c r="Y33" s="54"/>
      <c r="Z33" s="11"/>
      <c r="AA33" s="11"/>
    </row>
    <row r="34" spans="1:27" ht="40.049999999999997" customHeight="1" x14ac:dyDescent="0.3">
      <c r="A34" s="11">
        <v>3</v>
      </c>
      <c r="B34" s="11" t="s">
        <v>916</v>
      </c>
      <c r="C34" s="11"/>
      <c r="D34" s="11"/>
      <c r="E34" s="11" t="s">
        <v>953</v>
      </c>
      <c r="F34" s="11"/>
      <c r="G34" s="11" t="s">
        <v>58</v>
      </c>
      <c r="H34" s="11"/>
      <c r="I34" s="11" t="s">
        <v>391</v>
      </c>
      <c r="J34" s="11" t="s">
        <v>261</v>
      </c>
      <c r="K34" s="11" t="s">
        <v>952</v>
      </c>
      <c r="L34" s="11">
        <v>1980</v>
      </c>
      <c r="M34" s="11"/>
      <c r="N34" s="11"/>
      <c r="O34" s="11"/>
      <c r="P34" s="11"/>
      <c r="Q34" s="53"/>
      <c r="R34" s="54"/>
      <c r="S34" s="11" t="s">
        <v>30</v>
      </c>
      <c r="T34" s="11"/>
      <c r="U34" s="54"/>
      <c r="V34" s="11" t="s">
        <v>0</v>
      </c>
      <c r="W34" s="54">
        <v>27.4</v>
      </c>
      <c r="X34" s="11">
        <v>1</v>
      </c>
    </row>
    <row r="35" spans="1:27" ht="40.049999999999997" customHeight="1" x14ac:dyDescent="0.3">
      <c r="A35" s="11">
        <v>3</v>
      </c>
      <c r="B35" s="11" t="s">
        <v>916</v>
      </c>
      <c r="C35" s="11"/>
      <c r="D35" s="11"/>
      <c r="E35" s="11" t="s">
        <v>953</v>
      </c>
      <c r="F35" s="11"/>
      <c r="G35" s="11" t="s">
        <v>58</v>
      </c>
      <c r="H35" s="11"/>
      <c r="I35" s="11" t="s">
        <v>391</v>
      </c>
      <c r="J35" s="11" t="s">
        <v>261</v>
      </c>
      <c r="K35" s="11" t="s">
        <v>952</v>
      </c>
      <c r="L35" s="11">
        <v>1980</v>
      </c>
      <c r="M35" s="11"/>
      <c r="N35" s="11"/>
      <c r="O35" s="11"/>
      <c r="P35" s="11"/>
      <c r="Q35" s="53"/>
      <c r="R35" s="54"/>
      <c r="S35" s="11" t="s">
        <v>67</v>
      </c>
      <c r="T35" s="11"/>
      <c r="U35" s="54"/>
      <c r="V35" s="11" t="s">
        <v>0</v>
      </c>
      <c r="W35" s="54">
        <v>139.19999999999999</v>
      </c>
      <c r="X35" s="11">
        <v>1</v>
      </c>
      <c r="Y35" s="54"/>
      <c r="Z35" s="11"/>
      <c r="AA35" s="11"/>
    </row>
    <row r="36" spans="1:27" ht="40.049999999999997" customHeight="1" x14ac:dyDescent="0.3">
      <c r="A36" s="11">
        <v>3</v>
      </c>
      <c r="B36" s="11" t="s">
        <v>916</v>
      </c>
      <c r="C36" s="11"/>
      <c r="D36" s="11"/>
      <c r="E36" s="11" t="s">
        <v>953</v>
      </c>
      <c r="F36" s="11"/>
      <c r="G36" s="11" t="s">
        <v>58</v>
      </c>
      <c r="H36" s="11"/>
      <c r="I36" s="11" t="s">
        <v>391</v>
      </c>
      <c r="J36" s="11" t="s">
        <v>261</v>
      </c>
      <c r="K36" s="11" t="s">
        <v>952</v>
      </c>
      <c r="L36" s="11">
        <v>1980</v>
      </c>
      <c r="M36" s="11"/>
      <c r="N36" s="11"/>
      <c r="O36" s="11"/>
      <c r="P36" s="11"/>
      <c r="Q36" s="53"/>
      <c r="R36" s="54"/>
      <c r="S36" s="11" t="s">
        <v>65</v>
      </c>
      <c r="T36" s="11"/>
      <c r="U36" s="54"/>
      <c r="V36" s="11" t="s">
        <v>0</v>
      </c>
      <c r="W36" s="54">
        <v>4.4000000000000004</v>
      </c>
      <c r="X36" s="11">
        <v>1</v>
      </c>
      <c r="Y36" s="54"/>
      <c r="Z36" s="11"/>
      <c r="AA36" s="11"/>
    </row>
    <row r="37" spans="1:27" ht="40.049999999999997" customHeight="1" x14ac:dyDescent="0.3">
      <c r="A37" s="11">
        <v>3</v>
      </c>
      <c r="B37" s="11" t="s">
        <v>916</v>
      </c>
      <c r="C37" s="11"/>
      <c r="D37" s="11"/>
      <c r="E37" s="11" t="s">
        <v>953</v>
      </c>
      <c r="F37" s="11"/>
      <c r="G37" s="11" t="s">
        <v>58</v>
      </c>
      <c r="H37" s="11"/>
      <c r="I37" s="11" t="s">
        <v>391</v>
      </c>
      <c r="J37" s="11" t="s">
        <v>261</v>
      </c>
      <c r="K37" s="11" t="s">
        <v>952</v>
      </c>
      <c r="L37" s="11">
        <v>1980</v>
      </c>
      <c r="M37" s="11"/>
      <c r="N37" s="11"/>
      <c r="O37" s="11"/>
      <c r="P37" s="11"/>
      <c r="Q37" s="53"/>
      <c r="R37" s="54"/>
      <c r="S37" s="11" t="s">
        <v>437</v>
      </c>
      <c r="T37" s="11"/>
      <c r="U37" s="54"/>
      <c r="V37" s="11" t="s">
        <v>0</v>
      </c>
      <c r="W37" s="54">
        <v>1.8</v>
      </c>
      <c r="X37" s="11">
        <v>1</v>
      </c>
      <c r="Y37" s="54"/>
      <c r="Z37" s="11"/>
      <c r="AA37" s="11"/>
    </row>
  </sheetData>
  <hyperlinks>
    <hyperlink ref="D10" r:id="rId1" xr:uid="{00000000-0004-0000-1D00-000000000000}"/>
  </hyperlinks>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92D050"/>
  </sheetPr>
  <dimension ref="A1:Z29"/>
  <sheetViews>
    <sheetView zoomScaleNormal="100" workbookViewId="0">
      <selection activeCell="E6" sqref="E6"/>
    </sheetView>
  </sheetViews>
  <sheetFormatPr defaultColWidth="8.77734375" defaultRowHeight="14.4" x14ac:dyDescent="0.3"/>
  <cols>
    <col min="1" max="1" width="4" style="13" customWidth="1"/>
    <col min="2" max="2" width="14.44140625" style="13" customWidth="1"/>
    <col min="3" max="3" width="60.77734375" style="13" customWidth="1"/>
    <col min="4" max="4" width="21.21875" style="13" customWidth="1"/>
    <col min="5" max="5" width="25" style="40" customWidth="1"/>
    <col min="6" max="6" width="21.77734375" style="12" customWidth="1"/>
    <col min="7" max="7" width="9.21875" style="40"/>
    <col min="8" max="8" width="17.21875" style="12" customWidth="1"/>
    <col min="9" max="9" width="27.77734375" style="12" customWidth="1"/>
    <col min="10" max="10" width="38.21875" style="12" customWidth="1"/>
    <col min="11" max="11" width="26.44140625" style="12" customWidth="1"/>
    <col min="12" max="13" width="22.44140625" style="12" customWidth="1"/>
    <col min="14" max="14" width="23" style="12" customWidth="1"/>
    <col min="15" max="15" width="13.21875" style="12" customWidth="1"/>
    <col min="16" max="16" width="13.44140625" style="12" customWidth="1"/>
    <col min="17" max="17" width="12.21875" style="12" customWidth="1"/>
    <col min="18" max="18" width="13.21875" style="12" customWidth="1"/>
    <col min="19" max="19" width="12.44140625" style="11" customWidth="1"/>
    <col min="20" max="20" width="9.21875" style="12"/>
    <col min="21" max="21" width="13.21875" style="12" customWidth="1"/>
    <col min="22" max="22" width="9.21875" style="12"/>
    <col min="23" max="23" width="12.77734375" style="54" customWidth="1"/>
    <col min="24" max="24" width="10.21875" style="11" customWidth="1"/>
    <col min="25" max="25" width="11.44140625" style="12" bestFit="1" customWidth="1"/>
    <col min="26" max="26" width="9.21875" style="12"/>
  </cols>
  <sheetData>
    <row r="1" spans="1:26"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415</v>
      </c>
      <c r="R1" s="56" t="s">
        <v>416</v>
      </c>
      <c r="S1" s="56" t="s">
        <v>193</v>
      </c>
      <c r="T1" s="56" t="s">
        <v>421</v>
      </c>
      <c r="U1" s="56" t="s">
        <v>521</v>
      </c>
      <c r="V1" s="56" t="s">
        <v>192</v>
      </c>
      <c r="W1" s="56" t="s">
        <v>386</v>
      </c>
      <c r="X1" s="56" t="s">
        <v>461</v>
      </c>
      <c r="Y1" s="56" t="s">
        <v>242</v>
      </c>
      <c r="Z1" s="56" t="s">
        <v>191</v>
      </c>
    </row>
    <row r="2" spans="1:26" ht="40.049999999999997" customHeight="1" x14ac:dyDescent="0.3">
      <c r="A2" s="13">
        <v>1</v>
      </c>
      <c r="B2" s="11" t="s">
        <v>730</v>
      </c>
      <c r="C2" s="38" t="s">
        <v>470</v>
      </c>
      <c r="D2" s="87" t="s">
        <v>852</v>
      </c>
      <c r="E2" s="11" t="s">
        <v>225</v>
      </c>
      <c r="F2" s="38"/>
      <c r="G2" s="11" t="s">
        <v>58</v>
      </c>
      <c r="H2" s="11" t="s">
        <v>229</v>
      </c>
      <c r="I2" s="11" t="s">
        <v>70</v>
      </c>
      <c r="J2" s="11" t="s">
        <v>469</v>
      </c>
      <c r="K2" s="11" t="s">
        <v>228</v>
      </c>
      <c r="L2" s="11"/>
      <c r="M2" s="11">
        <v>20</v>
      </c>
      <c r="N2" s="11">
        <f>4*M2</f>
        <v>80</v>
      </c>
      <c r="O2" s="11">
        <f>4*N2</f>
        <v>320</v>
      </c>
      <c r="P2" s="11"/>
      <c r="Q2" s="54">
        <v>10339</v>
      </c>
      <c r="R2" s="54">
        <f t="shared" ref="R2:R9" si="0">Q2/O2</f>
        <v>32.309375000000003</v>
      </c>
      <c r="S2" s="11" t="s">
        <v>30</v>
      </c>
      <c r="T2" s="11" t="s">
        <v>28</v>
      </c>
      <c r="U2" s="54">
        <f t="shared" ref="U2:U9" si="1">W2*Q2</f>
        <v>3660006</v>
      </c>
      <c r="V2" s="11" t="s">
        <v>244</v>
      </c>
      <c r="W2" s="54">
        <v>354</v>
      </c>
      <c r="X2" s="11">
        <v>4</v>
      </c>
      <c r="Y2" s="54">
        <f>U2/O2</f>
        <v>11437.518749999999</v>
      </c>
      <c r="Z2" s="11"/>
    </row>
    <row r="3" spans="1:26" ht="40.049999999999997" customHeight="1" x14ac:dyDescent="0.3">
      <c r="A3" s="13">
        <v>1</v>
      </c>
      <c r="B3" s="11" t="s">
        <v>729</v>
      </c>
      <c r="E3" s="11" t="s">
        <v>225</v>
      </c>
      <c r="F3" s="11"/>
      <c r="G3" s="11" t="s">
        <v>58</v>
      </c>
      <c r="H3" s="11"/>
      <c r="I3" s="11" t="s">
        <v>70</v>
      </c>
      <c r="J3" s="11" t="s">
        <v>468</v>
      </c>
      <c r="K3" s="11" t="s">
        <v>227</v>
      </c>
      <c r="L3" s="11"/>
      <c r="M3" s="11">
        <v>12</v>
      </c>
      <c r="N3" s="11">
        <f>4*M3</f>
        <v>48</v>
      </c>
      <c r="O3" s="11">
        <f>4*N3</f>
        <v>192</v>
      </c>
      <c r="P3" s="11"/>
      <c r="Q3" s="54">
        <v>5425</v>
      </c>
      <c r="R3" s="54">
        <f t="shared" si="0"/>
        <v>28.255208333333332</v>
      </c>
      <c r="S3" s="11" t="s">
        <v>30</v>
      </c>
      <c r="T3" s="11"/>
      <c r="U3" s="54">
        <f t="shared" si="1"/>
        <v>2712500</v>
      </c>
      <c r="V3" s="11" t="s">
        <v>244</v>
      </c>
      <c r="W3" s="54">
        <v>500</v>
      </c>
      <c r="X3" s="11">
        <v>4</v>
      </c>
      <c r="Y3" s="54">
        <f t="shared" ref="Y3:Y9" si="2">U3/O3</f>
        <v>14127.604166666666</v>
      </c>
      <c r="Z3" s="11"/>
    </row>
    <row r="4" spans="1:26" ht="40.049999999999997" customHeight="1" x14ac:dyDescent="0.3">
      <c r="A4" s="13">
        <v>1</v>
      </c>
      <c r="B4" s="11" t="s">
        <v>729</v>
      </c>
      <c r="E4" s="11" t="s">
        <v>225</v>
      </c>
      <c r="F4" s="11"/>
      <c r="G4" s="11" t="s">
        <v>58</v>
      </c>
      <c r="H4" s="11"/>
      <c r="I4" s="11" t="s">
        <v>428</v>
      </c>
      <c r="J4" s="11" t="s">
        <v>467</v>
      </c>
      <c r="K4" s="11" t="s">
        <v>226</v>
      </c>
      <c r="L4" s="11"/>
      <c r="M4" s="11">
        <v>2</v>
      </c>
      <c r="N4" s="11">
        <v>1</v>
      </c>
      <c r="O4" s="11">
        <v>4</v>
      </c>
      <c r="P4" s="11"/>
      <c r="Q4" s="54">
        <v>119</v>
      </c>
      <c r="R4" s="54">
        <f t="shared" si="0"/>
        <v>29.75</v>
      </c>
      <c r="S4" s="11" t="s">
        <v>30</v>
      </c>
      <c r="T4" s="11"/>
      <c r="U4" s="54">
        <f t="shared" si="1"/>
        <v>5712</v>
      </c>
      <c r="V4" s="11" t="s">
        <v>244</v>
      </c>
      <c r="W4" s="54">
        <v>48</v>
      </c>
      <c r="X4" s="11">
        <v>1</v>
      </c>
      <c r="Y4" s="54">
        <f t="shared" si="2"/>
        <v>1428</v>
      </c>
      <c r="Z4" s="11"/>
    </row>
    <row r="5" spans="1:26" ht="40.049999999999997" customHeight="1" x14ac:dyDescent="0.3">
      <c r="A5" s="13">
        <v>1</v>
      </c>
      <c r="B5" s="11" t="s">
        <v>729</v>
      </c>
      <c r="E5" s="11" t="s">
        <v>225</v>
      </c>
      <c r="F5" s="11"/>
      <c r="G5" s="11" t="s">
        <v>58</v>
      </c>
      <c r="H5" s="11"/>
      <c r="I5" s="11" t="s">
        <v>428</v>
      </c>
      <c r="J5" s="11" t="s">
        <v>466</v>
      </c>
      <c r="K5" s="11" t="s">
        <v>226</v>
      </c>
      <c r="L5" s="11"/>
      <c r="M5" s="11">
        <v>2</v>
      </c>
      <c r="N5" s="11">
        <v>1</v>
      </c>
      <c r="O5" s="11">
        <v>4</v>
      </c>
      <c r="P5" s="11"/>
      <c r="Q5" s="54">
        <v>134</v>
      </c>
      <c r="R5" s="54">
        <f t="shared" si="0"/>
        <v>33.5</v>
      </c>
      <c r="S5" s="11" t="s">
        <v>30</v>
      </c>
      <c r="T5" s="11"/>
      <c r="U5" s="54">
        <f t="shared" si="1"/>
        <v>7102</v>
      </c>
      <c r="V5" s="11" t="s">
        <v>244</v>
      </c>
      <c r="W5" s="54">
        <v>53</v>
      </c>
      <c r="X5" s="11">
        <v>1</v>
      </c>
      <c r="Y5" s="54">
        <f t="shared" si="2"/>
        <v>1775.5</v>
      </c>
      <c r="Z5" s="11"/>
    </row>
    <row r="6" spans="1:26" ht="40.049999999999997" customHeight="1" x14ac:dyDescent="0.3">
      <c r="A6" s="13">
        <v>1</v>
      </c>
      <c r="B6" s="11" t="s">
        <v>729</v>
      </c>
      <c r="E6" s="11" t="s">
        <v>225</v>
      </c>
      <c r="F6" s="11"/>
      <c r="G6" s="11" t="s">
        <v>58</v>
      </c>
      <c r="H6" s="11"/>
      <c r="I6" s="11" t="s">
        <v>428</v>
      </c>
      <c r="J6" s="11" t="s">
        <v>465</v>
      </c>
      <c r="K6" s="11" t="s">
        <v>226</v>
      </c>
      <c r="L6" s="11"/>
      <c r="M6" s="11">
        <v>2</v>
      </c>
      <c r="N6" s="11">
        <v>1</v>
      </c>
      <c r="O6" s="11">
        <v>4</v>
      </c>
      <c r="P6" s="11"/>
      <c r="Q6" s="54">
        <v>140</v>
      </c>
      <c r="R6" s="54">
        <f t="shared" si="0"/>
        <v>35</v>
      </c>
      <c r="S6" s="11" t="s">
        <v>30</v>
      </c>
      <c r="T6" s="11"/>
      <c r="U6" s="54">
        <f t="shared" si="1"/>
        <v>7280</v>
      </c>
      <c r="V6" s="11" t="s">
        <v>244</v>
      </c>
      <c r="W6" s="54">
        <v>52</v>
      </c>
      <c r="X6" s="11">
        <v>1</v>
      </c>
      <c r="Y6" s="54">
        <f t="shared" si="2"/>
        <v>1820</v>
      </c>
      <c r="Z6" s="11"/>
    </row>
    <row r="7" spans="1:26" ht="40.049999999999997" customHeight="1" x14ac:dyDescent="0.3">
      <c r="A7" s="13">
        <v>1</v>
      </c>
      <c r="B7" s="11" t="s">
        <v>729</v>
      </c>
      <c r="E7" s="11" t="s">
        <v>225</v>
      </c>
      <c r="F7" s="11"/>
      <c r="G7" s="11" t="s">
        <v>58</v>
      </c>
      <c r="H7" s="11"/>
      <c r="I7" s="11" t="s">
        <v>428</v>
      </c>
      <c r="J7" s="11" t="s">
        <v>464</v>
      </c>
      <c r="K7" s="11" t="s">
        <v>226</v>
      </c>
      <c r="L7" s="11"/>
      <c r="M7" s="11">
        <v>2</v>
      </c>
      <c r="N7" s="11">
        <v>1</v>
      </c>
      <c r="O7" s="11">
        <v>4</v>
      </c>
      <c r="P7" s="11"/>
      <c r="Q7" s="54">
        <v>120</v>
      </c>
      <c r="R7" s="54">
        <f t="shared" si="0"/>
        <v>30</v>
      </c>
      <c r="S7" s="11" t="s">
        <v>30</v>
      </c>
      <c r="T7" s="11"/>
      <c r="U7" s="54">
        <f t="shared" si="1"/>
        <v>7680</v>
      </c>
      <c r="V7" s="11" t="s">
        <v>244</v>
      </c>
      <c r="W7" s="54">
        <v>64</v>
      </c>
      <c r="X7" s="11">
        <v>1</v>
      </c>
      <c r="Y7" s="54">
        <f t="shared" si="2"/>
        <v>1920</v>
      </c>
      <c r="Z7" s="11"/>
    </row>
    <row r="8" spans="1:26" ht="40.049999999999997" customHeight="1" x14ac:dyDescent="0.3">
      <c r="A8" s="13">
        <v>1</v>
      </c>
      <c r="B8" s="11" t="s">
        <v>729</v>
      </c>
      <c r="E8" s="11" t="s">
        <v>225</v>
      </c>
      <c r="F8" s="11"/>
      <c r="G8" s="11" t="s">
        <v>58</v>
      </c>
      <c r="H8" s="11"/>
      <c r="I8" s="11" t="s">
        <v>428</v>
      </c>
      <c r="J8" s="11" t="s">
        <v>463</v>
      </c>
      <c r="K8" s="11" t="s">
        <v>224</v>
      </c>
      <c r="L8" s="11"/>
      <c r="M8" s="11">
        <v>2</v>
      </c>
      <c r="N8" s="11">
        <v>1</v>
      </c>
      <c r="O8" s="11">
        <v>4</v>
      </c>
      <c r="P8" s="11"/>
      <c r="Q8" s="54">
        <v>138</v>
      </c>
      <c r="R8" s="54">
        <f t="shared" si="0"/>
        <v>34.5</v>
      </c>
      <c r="S8" s="11" t="s">
        <v>30</v>
      </c>
      <c r="T8" s="11"/>
      <c r="U8" s="54">
        <f t="shared" si="1"/>
        <v>21804</v>
      </c>
      <c r="V8" s="11" t="s">
        <v>244</v>
      </c>
      <c r="W8" s="54">
        <v>158</v>
      </c>
      <c r="X8" s="11">
        <v>1</v>
      </c>
      <c r="Y8" s="54">
        <f t="shared" si="2"/>
        <v>5451</v>
      </c>
      <c r="Z8" s="11"/>
    </row>
    <row r="9" spans="1:26" ht="40.049999999999997" customHeight="1" x14ac:dyDescent="0.3">
      <c r="A9" s="10">
        <v>1</v>
      </c>
      <c r="B9" s="11" t="s">
        <v>729</v>
      </c>
      <c r="E9" s="11" t="s">
        <v>225</v>
      </c>
      <c r="F9" s="11"/>
      <c r="G9" s="11" t="s">
        <v>58</v>
      </c>
      <c r="H9" s="11"/>
      <c r="I9" s="11" t="s">
        <v>428</v>
      </c>
      <c r="J9" s="11" t="s">
        <v>462</v>
      </c>
      <c r="K9" s="11" t="s">
        <v>224</v>
      </c>
      <c r="L9" s="11"/>
      <c r="M9" s="11">
        <v>2</v>
      </c>
      <c r="N9" s="11">
        <v>1</v>
      </c>
      <c r="O9" s="11">
        <v>4</v>
      </c>
      <c r="P9" s="11"/>
      <c r="Q9" s="54">
        <v>155</v>
      </c>
      <c r="R9" s="54">
        <f t="shared" si="0"/>
        <v>38.75</v>
      </c>
      <c r="S9" s="11" t="s">
        <v>30</v>
      </c>
      <c r="T9" s="11"/>
      <c r="U9" s="54">
        <f t="shared" si="1"/>
        <v>19375</v>
      </c>
      <c r="V9" s="11" t="s">
        <v>244</v>
      </c>
      <c r="W9" s="54">
        <v>125</v>
      </c>
      <c r="X9" s="11">
        <v>1</v>
      </c>
      <c r="Y9" s="54">
        <f t="shared" si="2"/>
        <v>4843.75</v>
      </c>
      <c r="Z9" s="11"/>
    </row>
    <row r="10" spans="1:26" s="6" customFormat="1" ht="40.049999999999997" customHeight="1" x14ac:dyDescent="0.3">
      <c r="A10" s="10">
        <v>2</v>
      </c>
      <c r="B10" s="11" t="s">
        <v>732</v>
      </c>
      <c r="C10" s="11" t="s">
        <v>633</v>
      </c>
      <c r="D10" s="11" t="s">
        <v>853</v>
      </c>
      <c r="E10" s="11" t="s">
        <v>225</v>
      </c>
      <c r="F10" s="11"/>
      <c r="G10" s="11" t="s">
        <v>58</v>
      </c>
      <c r="H10" s="11"/>
      <c r="I10" s="11" t="s">
        <v>428</v>
      </c>
      <c r="J10" s="11" t="s">
        <v>631</v>
      </c>
      <c r="K10" s="11" t="s">
        <v>592</v>
      </c>
      <c r="L10" s="11">
        <v>2000</v>
      </c>
      <c r="M10" s="11"/>
      <c r="N10" s="11"/>
      <c r="O10" s="11"/>
      <c r="P10" s="11"/>
      <c r="Q10" s="11"/>
      <c r="R10" s="54">
        <v>30</v>
      </c>
      <c r="S10" s="11" t="s">
        <v>65</v>
      </c>
      <c r="T10" s="11"/>
      <c r="U10" s="11"/>
      <c r="V10" s="11" t="s">
        <v>0</v>
      </c>
      <c r="W10" s="54">
        <v>86</v>
      </c>
      <c r="X10" s="11">
        <v>1</v>
      </c>
      <c r="Y10" s="11"/>
      <c r="Z10" s="11"/>
    </row>
    <row r="11" spans="1:26" ht="40.049999999999997" customHeight="1" x14ac:dyDescent="0.3">
      <c r="A11" s="10">
        <v>2</v>
      </c>
      <c r="B11" s="11" t="s">
        <v>731</v>
      </c>
      <c r="E11" s="11" t="s">
        <v>225</v>
      </c>
      <c r="F11" s="11"/>
      <c r="G11" s="11" t="s">
        <v>58</v>
      </c>
      <c r="H11" s="11"/>
      <c r="I11" s="11" t="s">
        <v>428</v>
      </c>
      <c r="J11" s="11" t="s">
        <v>631</v>
      </c>
      <c r="K11" s="11"/>
      <c r="L11" s="11"/>
      <c r="M11" s="11"/>
      <c r="N11" s="11"/>
      <c r="O11" s="11"/>
      <c r="P11" s="11"/>
      <c r="Q11" s="11"/>
      <c r="R11" s="54">
        <v>30</v>
      </c>
      <c r="S11" s="11" t="s">
        <v>67</v>
      </c>
      <c r="T11" s="11"/>
      <c r="U11" s="11"/>
      <c r="V11" s="11" t="s">
        <v>0</v>
      </c>
      <c r="W11" s="54">
        <v>88</v>
      </c>
      <c r="X11" s="11">
        <v>1</v>
      </c>
      <c r="Y11" s="11"/>
      <c r="Z11" s="11"/>
    </row>
    <row r="12" spans="1:26" ht="40.049999999999997" customHeight="1" x14ac:dyDescent="0.3">
      <c r="A12" s="10">
        <v>2</v>
      </c>
      <c r="B12" s="11" t="s">
        <v>731</v>
      </c>
      <c r="E12" s="11" t="s">
        <v>225</v>
      </c>
      <c r="F12" s="11"/>
      <c r="G12" s="11" t="s">
        <v>58</v>
      </c>
      <c r="H12" s="11"/>
      <c r="I12" s="11" t="s">
        <v>428</v>
      </c>
      <c r="J12" s="11" t="s">
        <v>631</v>
      </c>
      <c r="K12" s="11"/>
      <c r="L12" s="11"/>
      <c r="M12" s="11"/>
      <c r="N12" s="11"/>
      <c r="O12" s="11"/>
      <c r="P12" s="11"/>
      <c r="Q12" s="11"/>
      <c r="R12" s="54">
        <v>30</v>
      </c>
      <c r="S12" s="11" t="s">
        <v>437</v>
      </c>
      <c r="T12" s="11"/>
      <c r="U12" s="11"/>
      <c r="V12" s="11" t="s">
        <v>0</v>
      </c>
      <c r="W12" s="54">
        <v>5</v>
      </c>
      <c r="X12" s="11">
        <v>1</v>
      </c>
      <c r="Y12" s="11"/>
      <c r="Z12" s="11"/>
    </row>
    <row r="13" spans="1:26" ht="40.049999999999997" customHeight="1" x14ac:dyDescent="0.3">
      <c r="A13" s="10">
        <v>2</v>
      </c>
      <c r="B13" s="11" t="s">
        <v>731</v>
      </c>
      <c r="E13" s="11" t="s">
        <v>225</v>
      </c>
      <c r="F13" s="11"/>
      <c r="G13" s="11" t="s">
        <v>58</v>
      </c>
      <c r="H13" s="11"/>
      <c r="I13" s="11" t="s">
        <v>428</v>
      </c>
      <c r="J13" s="11" t="s">
        <v>631</v>
      </c>
      <c r="K13" s="11"/>
      <c r="L13" s="11"/>
      <c r="M13" s="11"/>
      <c r="N13" s="11"/>
      <c r="O13" s="11"/>
      <c r="P13" s="11"/>
      <c r="Q13" s="11"/>
      <c r="R13" s="54">
        <v>30</v>
      </c>
      <c r="S13" s="11" t="s">
        <v>30</v>
      </c>
      <c r="T13" s="11"/>
      <c r="U13" s="11"/>
      <c r="V13" s="11" t="s">
        <v>0</v>
      </c>
      <c r="W13" s="54">
        <f>2+5</f>
        <v>7</v>
      </c>
      <c r="X13" s="11">
        <v>1</v>
      </c>
      <c r="Y13" s="11"/>
      <c r="Z13" s="11"/>
    </row>
    <row r="14" spans="1:26" ht="40.049999999999997" customHeight="1" x14ac:dyDescent="0.3">
      <c r="A14" s="10">
        <v>2</v>
      </c>
      <c r="B14" s="11" t="s">
        <v>731</v>
      </c>
      <c r="E14" s="11" t="s">
        <v>225</v>
      </c>
      <c r="F14" s="11"/>
      <c r="G14" s="11" t="s">
        <v>58</v>
      </c>
      <c r="H14" s="11"/>
      <c r="I14" s="11" t="s">
        <v>428</v>
      </c>
      <c r="J14" s="11" t="s">
        <v>631</v>
      </c>
      <c r="K14" s="11"/>
      <c r="L14" s="11"/>
      <c r="M14" s="11"/>
      <c r="N14" s="11"/>
      <c r="O14" s="11"/>
      <c r="P14" s="11"/>
      <c r="Q14" s="11"/>
      <c r="R14" s="54">
        <v>30</v>
      </c>
      <c r="S14" s="11" t="s">
        <v>290</v>
      </c>
      <c r="T14" s="11"/>
      <c r="U14" s="11"/>
      <c r="V14" s="11" t="s">
        <v>0</v>
      </c>
      <c r="W14" s="54">
        <v>2</v>
      </c>
      <c r="X14" s="11">
        <v>1</v>
      </c>
      <c r="Y14" s="11"/>
      <c r="Z14" s="11"/>
    </row>
    <row r="15" spans="1:26" ht="40.049999999999997" customHeight="1" x14ac:dyDescent="0.3">
      <c r="A15" s="10">
        <v>2</v>
      </c>
      <c r="B15" s="11" t="s">
        <v>731</v>
      </c>
      <c r="E15" s="11" t="s">
        <v>225</v>
      </c>
      <c r="F15" s="11"/>
      <c r="G15" s="11" t="s">
        <v>58</v>
      </c>
      <c r="H15" s="11"/>
      <c r="I15" s="11" t="s">
        <v>428</v>
      </c>
      <c r="J15" s="11" t="s">
        <v>632</v>
      </c>
      <c r="K15" s="11" t="s">
        <v>592</v>
      </c>
      <c r="L15" s="11">
        <v>2000</v>
      </c>
      <c r="M15" s="11"/>
      <c r="N15" s="11"/>
      <c r="O15" s="11"/>
      <c r="P15" s="11"/>
      <c r="Q15" s="11"/>
      <c r="R15" s="54">
        <v>30</v>
      </c>
      <c r="S15" s="11" t="s">
        <v>65</v>
      </c>
      <c r="T15" s="11"/>
      <c r="U15" s="11"/>
      <c r="V15" s="11" t="s">
        <v>0</v>
      </c>
      <c r="W15" s="54">
        <f>269+98</f>
        <v>367</v>
      </c>
      <c r="X15" s="11">
        <v>1</v>
      </c>
      <c r="Y15" s="11"/>
      <c r="Z15" s="11"/>
    </row>
    <row r="16" spans="1:26" ht="40.049999999999997" customHeight="1" x14ac:dyDescent="0.3">
      <c r="A16" s="10">
        <v>2</v>
      </c>
      <c r="B16" s="11" t="s">
        <v>731</v>
      </c>
      <c r="E16" s="11" t="s">
        <v>225</v>
      </c>
      <c r="F16" s="11"/>
      <c r="G16" s="11" t="s">
        <v>58</v>
      </c>
      <c r="H16" s="11"/>
      <c r="I16" s="11" t="s">
        <v>428</v>
      </c>
      <c r="J16" s="11" t="s">
        <v>632</v>
      </c>
      <c r="K16" s="11"/>
      <c r="L16" s="11"/>
      <c r="M16" s="11"/>
      <c r="N16" s="11"/>
      <c r="O16" s="11"/>
      <c r="P16" s="11"/>
      <c r="Q16" s="11"/>
      <c r="R16" s="54">
        <v>30</v>
      </c>
      <c r="S16" s="11" t="s">
        <v>67</v>
      </c>
      <c r="T16" s="11"/>
      <c r="U16" s="11"/>
      <c r="V16" s="11" t="s">
        <v>0</v>
      </c>
      <c r="W16" s="54">
        <v>52</v>
      </c>
      <c r="X16" s="11">
        <v>1</v>
      </c>
      <c r="Y16" s="11"/>
      <c r="Z16" s="11"/>
    </row>
    <row r="17" spans="1:26" ht="40.049999999999997" customHeight="1" x14ac:dyDescent="0.3">
      <c r="A17" s="10">
        <v>2</v>
      </c>
      <c r="B17" s="11" t="s">
        <v>731</v>
      </c>
      <c r="E17" s="11" t="s">
        <v>225</v>
      </c>
      <c r="F17" s="11"/>
      <c r="G17" s="11" t="s">
        <v>58</v>
      </c>
      <c r="H17" s="11"/>
      <c r="I17" s="11" t="s">
        <v>428</v>
      </c>
      <c r="J17" s="11" t="s">
        <v>632</v>
      </c>
      <c r="K17" s="11"/>
      <c r="L17" s="11"/>
      <c r="M17" s="11"/>
      <c r="N17" s="11"/>
      <c r="O17" s="11"/>
      <c r="P17" s="11"/>
      <c r="Q17" s="11"/>
      <c r="R17" s="54">
        <v>30</v>
      </c>
      <c r="S17" s="11" t="s">
        <v>437</v>
      </c>
      <c r="T17" s="11"/>
      <c r="U17" s="11"/>
      <c r="V17" s="11" t="s">
        <v>0</v>
      </c>
      <c r="W17" s="54">
        <v>2</v>
      </c>
      <c r="X17" s="11">
        <v>1</v>
      </c>
      <c r="Y17" s="11"/>
      <c r="Z17" s="11"/>
    </row>
    <row r="18" spans="1:26" ht="40.049999999999997" customHeight="1" x14ac:dyDescent="0.3">
      <c r="A18" s="10">
        <v>2</v>
      </c>
      <c r="B18" s="11" t="s">
        <v>731</v>
      </c>
      <c r="E18" s="11" t="s">
        <v>225</v>
      </c>
      <c r="F18" s="11"/>
      <c r="G18" s="11" t="s">
        <v>58</v>
      </c>
      <c r="H18" s="11"/>
      <c r="I18" s="11" t="s">
        <v>428</v>
      </c>
      <c r="J18" s="11" t="s">
        <v>632</v>
      </c>
      <c r="K18" s="11"/>
      <c r="L18" s="11"/>
      <c r="M18" s="11"/>
      <c r="N18" s="11"/>
      <c r="O18" s="11"/>
      <c r="P18" s="11"/>
      <c r="Q18" s="11"/>
      <c r="R18" s="54">
        <v>30</v>
      </c>
      <c r="S18" s="11" t="s">
        <v>30</v>
      </c>
      <c r="T18" s="11"/>
      <c r="U18" s="11"/>
      <c r="V18" s="11" t="s">
        <v>0</v>
      </c>
      <c r="W18" s="54">
        <v>1</v>
      </c>
      <c r="X18" s="11">
        <v>1</v>
      </c>
      <c r="Y18" s="11"/>
      <c r="Z18" s="11"/>
    </row>
    <row r="19" spans="1:26" ht="40.049999999999997" customHeight="1" x14ac:dyDescent="0.3">
      <c r="A19" s="10">
        <v>2</v>
      </c>
      <c r="B19" s="11" t="s">
        <v>731</v>
      </c>
      <c r="E19" s="11" t="s">
        <v>225</v>
      </c>
      <c r="F19" s="11"/>
      <c r="G19" s="11" t="s">
        <v>58</v>
      </c>
      <c r="H19" s="11"/>
      <c r="I19" s="11" t="s">
        <v>428</v>
      </c>
      <c r="J19" s="11" t="s">
        <v>632</v>
      </c>
      <c r="K19" s="11"/>
      <c r="L19" s="11"/>
      <c r="M19" s="11"/>
      <c r="N19" s="11"/>
      <c r="O19" s="11"/>
      <c r="P19" s="11"/>
      <c r="Q19" s="11"/>
      <c r="R19" s="54">
        <v>30</v>
      </c>
      <c r="S19" s="11" t="s">
        <v>290</v>
      </c>
      <c r="T19" s="11"/>
      <c r="U19" s="11"/>
      <c r="V19" s="11" t="s">
        <v>0</v>
      </c>
      <c r="W19" s="54">
        <v>1</v>
      </c>
      <c r="X19" s="11">
        <v>1</v>
      </c>
      <c r="Y19" s="11"/>
      <c r="Z19" s="11"/>
    </row>
    <row r="20" spans="1:26" ht="40.049999999999997" customHeight="1" x14ac:dyDescent="0.3">
      <c r="A20" s="10">
        <v>2</v>
      </c>
      <c r="B20" s="11" t="s">
        <v>731</v>
      </c>
      <c r="E20" s="11" t="s">
        <v>225</v>
      </c>
      <c r="F20" s="11"/>
      <c r="G20" s="11" t="s">
        <v>58</v>
      </c>
      <c r="H20" s="11"/>
      <c r="I20" s="11" t="s">
        <v>70</v>
      </c>
      <c r="J20" s="11" t="s">
        <v>635</v>
      </c>
      <c r="K20" s="11" t="s">
        <v>634</v>
      </c>
      <c r="L20" s="11">
        <v>2000</v>
      </c>
      <c r="M20" s="11"/>
      <c r="N20" s="11"/>
      <c r="O20" s="11"/>
      <c r="P20" s="11"/>
      <c r="Q20" s="11"/>
      <c r="R20" s="54">
        <v>30</v>
      </c>
      <c r="S20" s="11" t="s">
        <v>65</v>
      </c>
      <c r="T20" s="11"/>
      <c r="U20" s="11"/>
      <c r="V20" s="11" t="s">
        <v>0</v>
      </c>
      <c r="W20" s="54">
        <f>1258+613</f>
        <v>1871</v>
      </c>
      <c r="X20" s="11">
        <v>4</v>
      </c>
      <c r="Y20" s="11"/>
      <c r="Z20" s="11"/>
    </row>
    <row r="21" spans="1:26" ht="40.049999999999997" customHeight="1" x14ac:dyDescent="0.3">
      <c r="A21" s="10">
        <v>2</v>
      </c>
      <c r="B21" s="11" t="s">
        <v>731</v>
      </c>
      <c r="E21" s="11" t="s">
        <v>225</v>
      </c>
      <c r="F21" s="11"/>
      <c r="G21" s="11" t="s">
        <v>58</v>
      </c>
      <c r="H21" s="11"/>
      <c r="I21" s="11" t="s">
        <v>70</v>
      </c>
      <c r="J21" s="11" t="s">
        <v>635</v>
      </c>
      <c r="K21" s="11"/>
      <c r="L21" s="11"/>
      <c r="M21" s="11"/>
      <c r="N21" s="11"/>
      <c r="O21" s="11"/>
      <c r="P21" s="11"/>
      <c r="Q21" s="11"/>
      <c r="R21" s="54">
        <v>30</v>
      </c>
      <c r="S21" s="11" t="s">
        <v>67</v>
      </c>
      <c r="T21" s="11"/>
      <c r="U21" s="11"/>
      <c r="V21" s="11" t="s">
        <v>0</v>
      </c>
      <c r="W21" s="54">
        <v>18</v>
      </c>
      <c r="X21" s="11">
        <v>4</v>
      </c>
      <c r="Y21" s="11"/>
      <c r="Z21" s="11"/>
    </row>
    <row r="22" spans="1:26" ht="40.049999999999997" customHeight="1" x14ac:dyDescent="0.3">
      <c r="A22" s="10">
        <v>2</v>
      </c>
      <c r="B22" s="11" t="s">
        <v>731</v>
      </c>
      <c r="E22" s="11" t="s">
        <v>225</v>
      </c>
      <c r="F22" s="11"/>
      <c r="G22" s="11" t="s">
        <v>58</v>
      </c>
      <c r="H22" s="11"/>
      <c r="I22" s="11" t="s">
        <v>70</v>
      </c>
      <c r="J22" s="11" t="s">
        <v>635</v>
      </c>
      <c r="K22" s="11"/>
      <c r="L22" s="11"/>
      <c r="M22" s="11"/>
      <c r="N22" s="11"/>
      <c r="O22" s="11"/>
      <c r="P22" s="11"/>
      <c r="Q22" s="11"/>
      <c r="R22" s="54">
        <v>30</v>
      </c>
      <c r="S22" s="11" t="s">
        <v>437</v>
      </c>
      <c r="T22" s="11"/>
      <c r="U22" s="11"/>
      <c r="V22" s="11" t="s">
        <v>0</v>
      </c>
      <c r="W22" s="54">
        <v>2</v>
      </c>
      <c r="X22" s="11">
        <v>4</v>
      </c>
      <c r="Y22" s="11"/>
      <c r="Z22" s="11"/>
    </row>
    <row r="23" spans="1:26" ht="40.049999999999997" customHeight="1" x14ac:dyDescent="0.3">
      <c r="A23" s="10">
        <v>2</v>
      </c>
      <c r="B23" s="11" t="s">
        <v>731</v>
      </c>
      <c r="E23" s="11" t="s">
        <v>225</v>
      </c>
      <c r="F23" s="11"/>
      <c r="G23" s="11" t="s">
        <v>58</v>
      </c>
      <c r="H23" s="11"/>
      <c r="I23" s="11" t="s">
        <v>70</v>
      </c>
      <c r="J23" s="11" t="s">
        <v>635</v>
      </c>
      <c r="K23" s="11"/>
      <c r="L23" s="11"/>
      <c r="M23" s="11"/>
      <c r="N23" s="11"/>
      <c r="O23" s="11"/>
      <c r="P23" s="11"/>
      <c r="Q23" s="11"/>
      <c r="R23" s="54">
        <v>30</v>
      </c>
      <c r="S23" s="11" t="s">
        <v>30</v>
      </c>
      <c r="T23" s="11"/>
      <c r="U23" s="11"/>
      <c r="V23" s="11" t="s">
        <v>0</v>
      </c>
      <c r="W23" s="54">
        <f>33+26</f>
        <v>59</v>
      </c>
      <c r="X23" s="11">
        <v>4</v>
      </c>
      <c r="Y23" s="11"/>
      <c r="Z23" s="11"/>
    </row>
    <row r="24" spans="1:26" ht="40.049999999999997" customHeight="1" x14ac:dyDescent="0.3">
      <c r="A24" s="10">
        <v>2</v>
      </c>
      <c r="B24" s="11" t="s">
        <v>731</v>
      </c>
      <c r="E24" s="11" t="s">
        <v>225</v>
      </c>
      <c r="F24" s="11"/>
      <c r="G24" s="11" t="s">
        <v>58</v>
      </c>
      <c r="H24" s="11"/>
      <c r="I24" s="11" t="s">
        <v>70</v>
      </c>
      <c r="J24" s="11" t="s">
        <v>635</v>
      </c>
      <c r="K24" s="11"/>
      <c r="L24" s="11"/>
      <c r="M24" s="11"/>
      <c r="N24" s="11"/>
      <c r="O24" s="11"/>
      <c r="P24" s="11"/>
      <c r="Q24" s="11"/>
      <c r="R24" s="54">
        <v>30</v>
      </c>
      <c r="S24" s="11" t="s">
        <v>290</v>
      </c>
      <c r="T24" s="11"/>
      <c r="U24" s="11"/>
      <c r="V24" s="11" t="s">
        <v>0</v>
      </c>
      <c r="W24" s="54">
        <v>2</v>
      </c>
      <c r="X24" s="11">
        <v>4</v>
      </c>
      <c r="Y24" s="11"/>
      <c r="Z24" s="11"/>
    </row>
    <row r="25" spans="1:26" ht="40.049999999999997" customHeight="1" x14ac:dyDescent="0.3">
      <c r="A25" s="11">
        <v>4</v>
      </c>
      <c r="B25" s="11" t="s">
        <v>941</v>
      </c>
      <c r="C25" s="11" t="s">
        <v>943</v>
      </c>
      <c r="D25" s="11" t="s">
        <v>942</v>
      </c>
      <c r="E25" s="11" t="s">
        <v>225</v>
      </c>
      <c r="F25" s="11"/>
      <c r="G25" s="11" t="s">
        <v>58</v>
      </c>
      <c r="H25" s="11"/>
      <c r="I25" s="11" t="s">
        <v>428</v>
      </c>
      <c r="J25" s="11" t="s">
        <v>261</v>
      </c>
      <c r="K25" s="11" t="s">
        <v>956</v>
      </c>
      <c r="L25" s="11">
        <v>1945</v>
      </c>
      <c r="M25" s="11"/>
      <c r="N25" s="11"/>
      <c r="O25" s="11"/>
      <c r="P25" s="11"/>
      <c r="Q25" s="11"/>
      <c r="R25" s="54"/>
      <c r="S25" s="11" t="s">
        <v>30</v>
      </c>
      <c r="V25" s="11" t="s">
        <v>0</v>
      </c>
      <c r="W25" s="54">
        <v>7</v>
      </c>
      <c r="X25" s="11">
        <v>1</v>
      </c>
    </row>
    <row r="26" spans="1:26" ht="40.049999999999997" customHeight="1" x14ac:dyDescent="0.3">
      <c r="A26" s="11">
        <v>4</v>
      </c>
      <c r="B26" s="11" t="s">
        <v>916</v>
      </c>
      <c r="C26" s="11"/>
      <c r="D26" s="11"/>
      <c r="E26" s="11" t="s">
        <v>225</v>
      </c>
      <c r="F26" s="11"/>
      <c r="G26" s="11" t="s">
        <v>58</v>
      </c>
      <c r="H26" s="11"/>
      <c r="I26" s="11" t="s">
        <v>428</v>
      </c>
      <c r="J26" s="11" t="s">
        <v>261</v>
      </c>
      <c r="K26" s="11" t="s">
        <v>956</v>
      </c>
      <c r="L26" s="11">
        <v>1945</v>
      </c>
      <c r="M26" s="11"/>
      <c r="N26" s="11"/>
      <c r="O26" s="11"/>
      <c r="P26" s="11"/>
      <c r="Q26" s="11"/>
      <c r="R26" s="54"/>
      <c r="S26" s="11" t="s">
        <v>243</v>
      </c>
      <c r="T26" s="11"/>
      <c r="U26" s="11"/>
      <c r="V26" s="11" t="s">
        <v>0</v>
      </c>
      <c r="W26" s="54">
        <v>2</v>
      </c>
      <c r="X26" s="11">
        <v>1</v>
      </c>
      <c r="Y26" s="11"/>
      <c r="Z26" s="11"/>
    </row>
    <row r="27" spans="1:26" ht="40.049999999999997" customHeight="1" x14ac:dyDescent="0.3">
      <c r="A27" s="11">
        <v>4</v>
      </c>
      <c r="B27" s="11" t="s">
        <v>937</v>
      </c>
      <c r="E27" s="11" t="s">
        <v>225</v>
      </c>
      <c r="F27" s="11"/>
      <c r="G27" s="11" t="s">
        <v>58</v>
      </c>
      <c r="H27" s="11"/>
      <c r="I27" s="11" t="s">
        <v>428</v>
      </c>
      <c r="J27" s="11" t="s">
        <v>261</v>
      </c>
      <c r="K27" s="11" t="s">
        <v>956</v>
      </c>
      <c r="L27" s="11">
        <v>1945</v>
      </c>
      <c r="M27" s="11"/>
      <c r="N27" s="11"/>
      <c r="O27" s="11"/>
      <c r="P27" s="11"/>
      <c r="Q27" s="11"/>
      <c r="R27" s="54"/>
      <c r="S27" s="11" t="s">
        <v>67</v>
      </c>
      <c r="T27" s="11"/>
      <c r="U27" s="11"/>
      <c r="V27" s="11" t="s">
        <v>0</v>
      </c>
      <c r="W27" s="54">
        <v>88</v>
      </c>
      <c r="X27" s="11">
        <v>1</v>
      </c>
      <c r="Y27" s="11"/>
      <c r="Z27" s="11"/>
    </row>
    <row r="28" spans="1:26" ht="40.049999999999997" customHeight="1" x14ac:dyDescent="0.3">
      <c r="A28" s="11">
        <v>4</v>
      </c>
      <c r="B28" s="11" t="s">
        <v>938</v>
      </c>
      <c r="E28" s="11" t="s">
        <v>225</v>
      </c>
      <c r="F28" s="11"/>
      <c r="G28" s="11" t="s">
        <v>58</v>
      </c>
      <c r="H28" s="11"/>
      <c r="I28" s="11" t="s">
        <v>428</v>
      </c>
      <c r="J28" s="11" t="s">
        <v>261</v>
      </c>
      <c r="K28" s="11" t="s">
        <v>956</v>
      </c>
      <c r="L28" s="11">
        <v>1945</v>
      </c>
      <c r="M28" s="11"/>
      <c r="N28" s="11"/>
      <c r="O28" s="11"/>
      <c r="P28" s="11"/>
      <c r="Q28" s="11"/>
      <c r="R28" s="54"/>
      <c r="S28" s="11" t="s">
        <v>65</v>
      </c>
      <c r="T28" s="11"/>
      <c r="U28" s="11"/>
      <c r="V28" s="11" t="s">
        <v>0</v>
      </c>
      <c r="W28" s="54">
        <v>221</v>
      </c>
      <c r="X28" s="11">
        <v>1</v>
      </c>
      <c r="Y28" s="11"/>
      <c r="Z28" s="11"/>
    </row>
    <row r="29" spans="1:26" ht="40.049999999999997" customHeight="1" x14ac:dyDescent="0.3">
      <c r="A29" s="11">
        <v>4</v>
      </c>
      <c r="B29" s="11" t="s">
        <v>939</v>
      </c>
      <c r="E29" s="11" t="s">
        <v>225</v>
      </c>
      <c r="F29" s="11"/>
      <c r="G29" s="11" t="s">
        <v>58</v>
      </c>
      <c r="H29" s="11"/>
      <c r="I29" s="11" t="s">
        <v>428</v>
      </c>
      <c r="J29" s="11" t="s">
        <v>261</v>
      </c>
      <c r="K29" s="11" t="s">
        <v>956</v>
      </c>
      <c r="L29" s="11">
        <v>1945</v>
      </c>
      <c r="M29" s="11"/>
      <c r="N29" s="11"/>
      <c r="O29" s="11"/>
      <c r="P29" s="11"/>
      <c r="Q29" s="11"/>
      <c r="R29" s="54"/>
      <c r="S29" s="11" t="s">
        <v>437</v>
      </c>
      <c r="T29" s="11"/>
      <c r="U29" s="11"/>
      <c r="V29" s="11" t="s">
        <v>0</v>
      </c>
      <c r="W29" s="54">
        <v>5</v>
      </c>
      <c r="X29" s="11">
        <v>1</v>
      </c>
      <c r="Y29" s="11"/>
      <c r="Z29" s="11"/>
    </row>
  </sheetData>
  <hyperlinks>
    <hyperlink ref="D2" r:id="rId1" xr:uid="{00000000-0004-0000-1E00-000000000000}"/>
    <hyperlink ref="D25" r:id="rId2" xr:uid="{00000000-0004-0000-1E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29"/>
  <sheetViews>
    <sheetView zoomScaleNormal="100" workbookViewId="0">
      <selection activeCell="G25" sqref="G25"/>
    </sheetView>
  </sheetViews>
  <sheetFormatPr defaultColWidth="8.77734375" defaultRowHeight="14.4" x14ac:dyDescent="0.3"/>
  <cols>
    <col min="2" max="2" width="31.77734375" customWidth="1"/>
    <col min="3" max="3" width="13.21875" customWidth="1"/>
    <col min="4" max="4" width="13.77734375" customWidth="1"/>
    <col min="5" max="6" width="13.21875" customWidth="1"/>
    <col min="7" max="7" width="16" customWidth="1"/>
    <col min="8" max="8" width="14" customWidth="1"/>
  </cols>
  <sheetData>
    <row r="2" spans="1:8" ht="26.1" customHeight="1" x14ac:dyDescent="0.3">
      <c r="B2" s="92" t="s">
        <v>869</v>
      </c>
      <c r="C2" s="3"/>
    </row>
    <row r="3" spans="1:8" ht="26.1" customHeight="1" x14ac:dyDescent="0.3">
      <c r="B3" s="79" t="s">
        <v>2</v>
      </c>
      <c r="C3" s="2" t="s">
        <v>3</v>
      </c>
      <c r="D3" s="2" t="s">
        <v>4</v>
      </c>
      <c r="E3" s="2" t="s">
        <v>5</v>
      </c>
      <c r="F3" s="2" t="s">
        <v>6</v>
      </c>
      <c r="G3" s="2" t="s">
        <v>7</v>
      </c>
      <c r="H3" s="2" t="s">
        <v>439</v>
      </c>
    </row>
    <row r="4" spans="1:8" x14ac:dyDescent="0.3">
      <c r="A4" s="72"/>
      <c r="B4" s="82" t="s">
        <v>8</v>
      </c>
      <c r="C4" s="80" t="s">
        <v>232</v>
      </c>
      <c r="D4" s="80" t="s">
        <v>232</v>
      </c>
      <c r="E4" s="80" t="s">
        <v>232</v>
      </c>
      <c r="F4" s="80"/>
      <c r="G4" s="81" t="s">
        <v>232</v>
      </c>
      <c r="H4" s="81" t="s">
        <v>232</v>
      </c>
    </row>
    <row r="5" spans="1:8" x14ac:dyDescent="0.3">
      <c r="A5" s="72"/>
      <c r="B5" s="83" t="s">
        <v>10</v>
      </c>
      <c r="C5" s="78" t="s">
        <v>232</v>
      </c>
      <c r="D5" s="80" t="s">
        <v>232</v>
      </c>
      <c r="E5" s="80" t="s">
        <v>232</v>
      </c>
      <c r="F5" s="80" t="s">
        <v>232</v>
      </c>
      <c r="G5" s="80" t="s">
        <v>232</v>
      </c>
      <c r="H5" s="80" t="s">
        <v>232</v>
      </c>
    </row>
    <row r="6" spans="1:8" x14ac:dyDescent="0.3">
      <c r="A6" s="72"/>
      <c r="B6" s="83" t="s">
        <v>11</v>
      </c>
      <c r="C6" s="78"/>
      <c r="D6" s="78"/>
      <c r="E6" s="78"/>
      <c r="F6" s="78"/>
      <c r="G6" s="78"/>
      <c r="H6" s="78"/>
    </row>
    <row r="7" spans="1:8" x14ac:dyDescent="0.3">
      <c r="A7" s="72"/>
      <c r="B7" s="83" t="s">
        <v>12</v>
      </c>
      <c r="C7" s="78" t="s">
        <v>232</v>
      </c>
      <c r="D7" s="78" t="s">
        <v>232</v>
      </c>
      <c r="E7" s="78" t="s">
        <v>232</v>
      </c>
      <c r="F7" s="78"/>
      <c r="G7" s="78"/>
      <c r="H7" s="78"/>
    </row>
    <row r="8" spans="1:8" x14ac:dyDescent="0.3">
      <c r="A8" s="72"/>
      <c r="B8" s="83" t="s">
        <v>9</v>
      </c>
      <c r="C8" s="78" t="s">
        <v>232</v>
      </c>
      <c r="D8" s="80" t="s">
        <v>232</v>
      </c>
      <c r="E8" s="80" t="s">
        <v>232</v>
      </c>
      <c r="F8" s="80"/>
      <c r="G8" s="80"/>
      <c r="H8" s="80" t="s">
        <v>232</v>
      </c>
    </row>
    <row r="9" spans="1:8" x14ac:dyDescent="0.3">
      <c r="A9" s="72"/>
      <c r="B9" s="83" t="s">
        <v>13</v>
      </c>
      <c r="C9" s="78" t="s">
        <v>232</v>
      </c>
      <c r="D9" s="80" t="s">
        <v>232</v>
      </c>
      <c r="E9" s="80" t="s">
        <v>232</v>
      </c>
      <c r="F9" s="80"/>
      <c r="G9" s="80" t="s">
        <v>232</v>
      </c>
      <c r="H9" s="80" t="s">
        <v>232</v>
      </c>
    </row>
    <row r="10" spans="1:8" x14ac:dyDescent="0.3">
      <c r="A10" s="72"/>
      <c r="B10" s="83" t="s">
        <v>14</v>
      </c>
      <c r="C10" s="78"/>
      <c r="D10" s="80"/>
      <c r="E10" s="80"/>
      <c r="F10" s="80"/>
      <c r="G10" s="80"/>
      <c r="H10" s="80"/>
    </row>
    <row r="11" spans="1:8" x14ac:dyDescent="0.3">
      <c r="A11" s="72"/>
      <c r="B11" s="83" t="s">
        <v>235</v>
      </c>
      <c r="C11" s="78" t="s">
        <v>232</v>
      </c>
      <c r="D11" s="80" t="s">
        <v>232</v>
      </c>
      <c r="E11" s="80" t="s">
        <v>232</v>
      </c>
      <c r="F11" s="80"/>
      <c r="G11" s="80" t="s">
        <v>232</v>
      </c>
      <c r="H11" s="80" t="s">
        <v>232</v>
      </c>
    </row>
    <row r="12" spans="1:8" x14ac:dyDescent="0.3">
      <c r="A12" s="72"/>
      <c r="B12" s="83" t="s">
        <v>236</v>
      </c>
      <c r="C12" s="78"/>
      <c r="D12" s="81"/>
      <c r="E12" s="81"/>
      <c r="F12" s="80"/>
      <c r="G12" s="80"/>
      <c r="H12" s="80"/>
    </row>
    <row r="13" spans="1:8" x14ac:dyDescent="0.3">
      <c r="A13" s="72"/>
      <c r="B13" s="83" t="s">
        <v>239</v>
      </c>
      <c r="C13" s="78"/>
      <c r="D13" s="78"/>
      <c r="E13" s="78"/>
      <c r="F13" s="80" t="s">
        <v>232</v>
      </c>
      <c r="G13" s="80"/>
      <c r="H13" s="80"/>
    </row>
    <row r="14" spans="1:8" x14ac:dyDescent="0.3">
      <c r="A14" s="72"/>
      <c r="B14" s="83" t="s">
        <v>230</v>
      </c>
      <c r="C14" s="78" t="s">
        <v>232</v>
      </c>
      <c r="D14" s="78" t="s">
        <v>232</v>
      </c>
      <c r="E14" s="78" t="s">
        <v>232</v>
      </c>
      <c r="F14" s="80" t="s">
        <v>232</v>
      </c>
      <c r="G14" s="80" t="s">
        <v>232</v>
      </c>
      <c r="H14" s="80" t="s">
        <v>232</v>
      </c>
    </row>
    <row r="15" spans="1:8" x14ac:dyDescent="0.3">
      <c r="A15" s="72"/>
      <c r="B15" s="83" t="s">
        <v>231</v>
      </c>
      <c r="C15" s="78"/>
      <c r="D15" s="78" t="s">
        <v>232</v>
      </c>
      <c r="E15" s="78" t="s">
        <v>232</v>
      </c>
      <c r="F15" s="80"/>
      <c r="G15" s="78"/>
      <c r="H15" s="80" t="s">
        <v>232</v>
      </c>
    </row>
    <row r="16" spans="1:8" x14ac:dyDescent="0.3">
      <c r="A16" s="72"/>
      <c r="B16" s="83" t="s">
        <v>15</v>
      </c>
      <c r="C16" s="78" t="s">
        <v>232</v>
      </c>
      <c r="D16" s="78" t="s">
        <v>232</v>
      </c>
      <c r="E16" s="78" t="s">
        <v>232</v>
      </c>
      <c r="F16" s="80"/>
      <c r="G16" s="78"/>
      <c r="H16" s="81"/>
    </row>
    <row r="17" spans="1:8" x14ac:dyDescent="0.3">
      <c r="A17" s="72"/>
      <c r="B17" s="84" t="s">
        <v>16</v>
      </c>
      <c r="C17" s="78"/>
      <c r="D17" s="78"/>
      <c r="E17" s="78"/>
      <c r="F17" s="80"/>
      <c r="G17" s="78"/>
      <c r="H17" s="80"/>
    </row>
    <row r="18" spans="1:8" x14ac:dyDescent="0.3">
      <c r="A18" s="72"/>
      <c r="B18" s="83" t="s">
        <v>506</v>
      </c>
      <c r="C18" s="78"/>
      <c r="D18" s="78"/>
      <c r="E18" s="78"/>
      <c r="F18" s="80"/>
      <c r="G18" s="78"/>
      <c r="H18" s="80"/>
    </row>
    <row r="19" spans="1:8" x14ac:dyDescent="0.3">
      <c r="A19" s="72"/>
      <c r="B19" s="83" t="s">
        <v>27</v>
      </c>
      <c r="C19" s="78"/>
      <c r="D19" s="78"/>
      <c r="E19" s="78"/>
      <c r="F19" s="80"/>
      <c r="G19" s="78"/>
      <c r="H19" s="80"/>
    </row>
    <row r="20" spans="1:8" x14ac:dyDescent="0.3">
      <c r="A20" s="72"/>
      <c r="B20" s="83" t="s">
        <v>26</v>
      </c>
      <c r="C20" s="78" t="s">
        <v>232</v>
      </c>
      <c r="D20" s="78" t="s">
        <v>232</v>
      </c>
      <c r="E20" s="78" t="s">
        <v>232</v>
      </c>
      <c r="F20" s="80"/>
      <c r="G20" s="78" t="s">
        <v>232</v>
      </c>
      <c r="H20" s="80" t="s">
        <v>232</v>
      </c>
    </row>
    <row r="21" spans="1:8" x14ac:dyDescent="0.3">
      <c r="A21" s="72"/>
      <c r="B21" s="83" t="s">
        <v>25</v>
      </c>
      <c r="C21" s="78" t="s">
        <v>232</v>
      </c>
      <c r="D21" s="78" t="s">
        <v>232</v>
      </c>
      <c r="E21" s="78" t="s">
        <v>232</v>
      </c>
      <c r="F21" s="80" t="s">
        <v>232</v>
      </c>
      <c r="G21" s="78"/>
      <c r="H21" s="80" t="s">
        <v>232</v>
      </c>
    </row>
    <row r="22" spans="1:8" x14ac:dyDescent="0.3">
      <c r="A22" s="72"/>
      <c r="B22" s="83" t="s">
        <v>24</v>
      </c>
      <c r="C22" s="78" t="s">
        <v>232</v>
      </c>
      <c r="D22" s="78" t="s">
        <v>232</v>
      </c>
      <c r="E22" s="78"/>
      <c r="F22" s="80" t="s">
        <v>232</v>
      </c>
      <c r="G22" s="80"/>
      <c r="H22" s="80" t="s">
        <v>232</v>
      </c>
    </row>
    <row r="23" spans="1:8" x14ac:dyDescent="0.3">
      <c r="A23" s="72"/>
      <c r="B23" s="83" t="s">
        <v>23</v>
      </c>
      <c r="C23" s="78" t="s">
        <v>232</v>
      </c>
      <c r="D23" s="78" t="s">
        <v>232</v>
      </c>
      <c r="E23" s="78" t="s">
        <v>232</v>
      </c>
      <c r="F23" s="80" t="s">
        <v>232</v>
      </c>
      <c r="G23" s="80" t="s">
        <v>232</v>
      </c>
      <c r="H23" s="80" t="s">
        <v>232</v>
      </c>
    </row>
    <row r="24" spans="1:8" x14ac:dyDescent="0.3">
      <c r="A24" s="72"/>
      <c r="B24" s="83" t="s">
        <v>17</v>
      </c>
      <c r="C24" s="78" t="s">
        <v>232</v>
      </c>
      <c r="D24" s="78" t="s">
        <v>232</v>
      </c>
      <c r="E24" s="78" t="s">
        <v>232</v>
      </c>
      <c r="F24" s="80"/>
      <c r="G24" s="80" t="s">
        <v>232</v>
      </c>
      <c r="H24" s="80" t="s">
        <v>232</v>
      </c>
    </row>
    <row r="25" spans="1:8" x14ac:dyDescent="0.3">
      <c r="A25" s="72"/>
      <c r="B25" s="83" t="s">
        <v>18</v>
      </c>
      <c r="C25" s="78" t="s">
        <v>232</v>
      </c>
      <c r="D25" s="80" t="s">
        <v>232</v>
      </c>
      <c r="E25" s="80" t="s">
        <v>232</v>
      </c>
      <c r="F25" s="80"/>
      <c r="G25" s="80" t="s">
        <v>232</v>
      </c>
      <c r="H25" s="77" t="s">
        <v>232</v>
      </c>
    </row>
    <row r="26" spans="1:8" x14ac:dyDescent="0.3">
      <c r="A26" s="72"/>
      <c r="B26" s="83" t="s">
        <v>22</v>
      </c>
      <c r="C26" s="78" t="s">
        <v>232</v>
      </c>
      <c r="D26" s="80" t="s">
        <v>232</v>
      </c>
      <c r="E26" s="80" t="s">
        <v>232</v>
      </c>
      <c r="F26" s="80"/>
      <c r="G26" s="80" t="s">
        <v>232</v>
      </c>
      <c r="H26" s="78" t="s">
        <v>232</v>
      </c>
    </row>
    <row r="27" spans="1:8" x14ac:dyDescent="0.3">
      <c r="A27" s="72"/>
      <c r="B27" s="83" t="s">
        <v>21</v>
      </c>
      <c r="C27" s="78" t="s">
        <v>232</v>
      </c>
      <c r="D27" s="80" t="s">
        <v>232</v>
      </c>
      <c r="E27" s="80" t="s">
        <v>232</v>
      </c>
      <c r="F27" s="80" t="s">
        <v>232</v>
      </c>
      <c r="G27" s="80" t="s">
        <v>232</v>
      </c>
      <c r="H27" s="78" t="s">
        <v>232</v>
      </c>
    </row>
    <row r="28" spans="1:8" x14ac:dyDescent="0.3">
      <c r="A28" s="72"/>
      <c r="B28" s="83" t="s">
        <v>20</v>
      </c>
      <c r="C28" s="78"/>
      <c r="D28" s="85"/>
      <c r="E28" s="80" t="s">
        <v>232</v>
      </c>
      <c r="F28" s="80"/>
      <c r="G28" s="80"/>
      <c r="H28" s="78"/>
    </row>
    <row r="29" spans="1:8" x14ac:dyDescent="0.3">
      <c r="A29" s="72"/>
      <c r="B29" s="83" t="s">
        <v>19</v>
      </c>
      <c r="C29" s="80"/>
      <c r="D29" s="85"/>
      <c r="E29" s="80"/>
      <c r="F29" s="80"/>
      <c r="G29" s="80"/>
      <c r="H29" s="78"/>
    </row>
  </sheetData>
  <pageMargins left="0.7" right="0.7" top="0.75" bottom="0.75" header="0.3" footer="0.3"/>
  <pageSetup paperSize="9" orientation="portrait" horizontalDpi="0" verticalDpi="0"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A1:AA69"/>
  <sheetViews>
    <sheetView zoomScaleNormal="100" workbookViewId="0">
      <selection activeCell="U5" sqref="U5"/>
    </sheetView>
  </sheetViews>
  <sheetFormatPr defaultColWidth="9.21875" defaultRowHeight="14.4" x14ac:dyDescent="0.3"/>
  <cols>
    <col min="1" max="1" width="4.44140625" style="12" customWidth="1"/>
    <col min="2" max="2" width="18.21875" style="12" customWidth="1"/>
    <col min="3" max="3" width="57" style="11" customWidth="1"/>
    <col min="4" max="4" width="16.21875" style="11" customWidth="1"/>
    <col min="5" max="6" width="25" style="12" customWidth="1"/>
    <col min="7" max="7" width="15.44140625" style="11" customWidth="1"/>
    <col min="8" max="8" width="17.21875" style="11" customWidth="1"/>
    <col min="9" max="9" width="27.77734375" style="11" customWidth="1"/>
    <col min="10" max="10" width="20" style="12" customWidth="1"/>
    <col min="11" max="11" width="34.21875" style="12" customWidth="1"/>
    <col min="12" max="13" width="22.44140625" style="11" customWidth="1"/>
    <col min="14" max="14" width="23" style="11" customWidth="1"/>
    <col min="15" max="15" width="16.77734375" style="11" customWidth="1"/>
    <col min="16" max="16" width="16.44140625" style="11" customWidth="1"/>
    <col min="17" max="17" width="23.44140625" style="54" customWidth="1"/>
    <col min="18" max="18" width="17.77734375" style="54" customWidth="1"/>
    <col min="19" max="19" width="22.21875" style="11" customWidth="1"/>
    <col min="20" max="20" width="16.77734375" style="54" customWidth="1"/>
    <col min="21" max="21" width="14.21875" style="54" customWidth="1"/>
    <col min="22" max="22" width="13.21875" style="11" customWidth="1"/>
    <col min="23" max="23" width="15.21875" style="54" customWidth="1"/>
    <col min="24" max="24" width="13.21875" style="11" customWidth="1"/>
    <col min="25" max="25" width="12.44140625" style="54" bestFit="1" customWidth="1"/>
    <col min="26" max="26" width="10.21875" style="12" customWidth="1"/>
    <col min="27" max="27" width="36" style="11" customWidth="1"/>
    <col min="28" max="16384" width="9.21875" style="12"/>
  </cols>
  <sheetData>
    <row r="1" spans="1:27"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241</v>
      </c>
      <c r="R1" s="56" t="s">
        <v>416</v>
      </c>
      <c r="S1" s="56" t="s">
        <v>193</v>
      </c>
      <c r="T1" s="56" t="s">
        <v>421</v>
      </c>
      <c r="U1" s="56" t="s">
        <v>521</v>
      </c>
      <c r="V1" s="56" t="s">
        <v>192</v>
      </c>
      <c r="W1" s="56" t="s">
        <v>386</v>
      </c>
      <c r="X1" s="56" t="s">
        <v>418</v>
      </c>
      <c r="Y1" s="56" t="s">
        <v>242</v>
      </c>
      <c r="Z1" s="56" t="s">
        <v>191</v>
      </c>
      <c r="AA1" s="56" t="s">
        <v>190</v>
      </c>
    </row>
    <row r="2" spans="1:27" ht="40.049999999999997" customHeight="1" x14ac:dyDescent="0.3">
      <c r="A2" s="11">
        <v>1</v>
      </c>
      <c r="B2" s="11" t="s">
        <v>752</v>
      </c>
      <c r="C2" s="11" t="s">
        <v>957</v>
      </c>
      <c r="D2" s="11" t="s">
        <v>854</v>
      </c>
      <c r="E2" s="11" t="s">
        <v>50</v>
      </c>
      <c r="F2" s="11" t="s">
        <v>49</v>
      </c>
      <c r="G2" s="11" t="s">
        <v>58</v>
      </c>
      <c r="H2" s="11" t="s">
        <v>379</v>
      </c>
      <c r="I2" s="11" t="s">
        <v>391</v>
      </c>
      <c r="J2" s="11" t="s">
        <v>48</v>
      </c>
      <c r="K2" s="11" t="s">
        <v>46</v>
      </c>
      <c r="L2" s="11" t="s">
        <v>28</v>
      </c>
      <c r="M2" s="11">
        <v>1</v>
      </c>
      <c r="N2" s="11">
        <v>1</v>
      </c>
      <c r="O2" s="11">
        <v>4</v>
      </c>
      <c r="P2" s="54">
        <v>240</v>
      </c>
      <c r="Q2" s="54">
        <f t="shared" ref="Q2:Q17" si="0">P2*0.9</f>
        <v>216</v>
      </c>
      <c r="R2" s="54">
        <f t="shared" ref="R2:R17" si="1">Q2/O2</f>
        <v>54</v>
      </c>
      <c r="S2" s="11" t="s">
        <v>30</v>
      </c>
      <c r="U2" s="54">
        <f>(0.006+0.059+0.469+8.358+0.065)*1000</f>
        <v>8957</v>
      </c>
      <c r="V2" s="11" t="s">
        <v>244</v>
      </c>
      <c r="W2" s="54">
        <f t="shared" ref="W2:W16" si="2">U2/Q2</f>
        <v>41.467592592592595</v>
      </c>
      <c r="X2" s="11">
        <v>1</v>
      </c>
      <c r="Y2" s="54">
        <f t="shared" ref="Y2:Y29" si="3">U2/O2</f>
        <v>2239.25</v>
      </c>
      <c r="Z2" s="11"/>
      <c r="AA2" s="11" t="s">
        <v>59</v>
      </c>
    </row>
    <row r="3" spans="1:27" ht="40.049999999999997" customHeight="1" x14ac:dyDescent="0.3">
      <c r="A3" s="11">
        <v>1</v>
      </c>
      <c r="B3" s="11" t="s">
        <v>753</v>
      </c>
      <c r="C3" s="11" t="s">
        <v>28</v>
      </c>
      <c r="E3" s="11" t="s">
        <v>50</v>
      </c>
      <c r="F3" s="11"/>
      <c r="G3" s="11" t="s">
        <v>58</v>
      </c>
      <c r="H3" s="11" t="s">
        <v>28</v>
      </c>
      <c r="I3" s="11" t="s">
        <v>391</v>
      </c>
      <c r="J3" s="11" t="s">
        <v>48</v>
      </c>
      <c r="K3" s="11" t="s">
        <v>28</v>
      </c>
      <c r="L3" s="11" t="s">
        <v>28</v>
      </c>
      <c r="M3" s="11">
        <v>1</v>
      </c>
      <c r="N3" s="11">
        <v>1</v>
      </c>
      <c r="O3" s="11">
        <v>4</v>
      </c>
      <c r="P3" s="54">
        <v>240</v>
      </c>
      <c r="Q3" s="54">
        <f t="shared" si="0"/>
        <v>216</v>
      </c>
      <c r="R3" s="54">
        <f t="shared" si="1"/>
        <v>54</v>
      </c>
      <c r="S3" s="11" t="s">
        <v>65</v>
      </c>
      <c r="T3" s="54">
        <v>2320</v>
      </c>
      <c r="U3" s="54">
        <f>86.801*T3</f>
        <v>201378.32</v>
      </c>
      <c r="V3" s="11" t="s">
        <v>244</v>
      </c>
      <c r="W3" s="54">
        <f t="shared" si="2"/>
        <v>932.30703703703705</v>
      </c>
      <c r="X3" s="11">
        <v>1</v>
      </c>
      <c r="Y3" s="54">
        <f t="shared" si="3"/>
        <v>50344.58</v>
      </c>
      <c r="Z3" s="11"/>
      <c r="AA3" s="11" t="s">
        <v>43</v>
      </c>
    </row>
    <row r="4" spans="1:27" ht="40.049999999999997" customHeight="1" x14ac:dyDescent="0.3">
      <c r="A4" s="11">
        <v>1</v>
      </c>
      <c r="B4" s="11" t="s">
        <v>753</v>
      </c>
      <c r="C4" s="11" t="s">
        <v>28</v>
      </c>
      <c r="E4" s="11" t="s">
        <v>50</v>
      </c>
      <c r="F4" s="11"/>
      <c r="G4" s="11" t="s">
        <v>58</v>
      </c>
      <c r="H4" s="11" t="s">
        <v>28</v>
      </c>
      <c r="I4" s="11" t="s">
        <v>391</v>
      </c>
      <c r="J4" s="11" t="s">
        <v>48</v>
      </c>
      <c r="K4" s="11" t="s">
        <v>28</v>
      </c>
      <c r="L4" s="11" t="s">
        <v>28</v>
      </c>
      <c r="M4" s="11">
        <v>1</v>
      </c>
      <c r="N4" s="11">
        <v>1</v>
      </c>
      <c r="O4" s="11">
        <v>4</v>
      </c>
      <c r="P4" s="54">
        <v>240</v>
      </c>
      <c r="Q4" s="54">
        <f t="shared" si="0"/>
        <v>216</v>
      </c>
      <c r="R4" s="54">
        <f t="shared" si="1"/>
        <v>54</v>
      </c>
      <c r="S4" s="11" t="s">
        <v>414</v>
      </c>
      <c r="U4" s="54">
        <f>0.002*1000</f>
        <v>2</v>
      </c>
      <c r="V4" s="11" t="s">
        <v>244</v>
      </c>
      <c r="W4" s="54">
        <f t="shared" si="2"/>
        <v>9.2592592592592587E-3</v>
      </c>
      <c r="X4" s="11">
        <v>1</v>
      </c>
      <c r="Y4" s="54">
        <f t="shared" si="3"/>
        <v>0.5</v>
      </c>
      <c r="Z4" s="11"/>
      <c r="AA4" s="11" t="s">
        <v>29</v>
      </c>
    </row>
    <row r="5" spans="1:27" ht="40.049999999999997" customHeight="1" x14ac:dyDescent="0.3">
      <c r="A5" s="11">
        <v>1</v>
      </c>
      <c r="B5" s="11" t="s">
        <v>753</v>
      </c>
      <c r="E5" s="11" t="s">
        <v>50</v>
      </c>
      <c r="F5" s="11"/>
      <c r="G5" s="11" t="s">
        <v>58</v>
      </c>
      <c r="I5" s="11" t="s">
        <v>391</v>
      </c>
      <c r="J5" s="11" t="s">
        <v>48</v>
      </c>
      <c r="K5" s="11"/>
      <c r="M5" s="11">
        <v>1</v>
      </c>
      <c r="N5" s="11">
        <v>1</v>
      </c>
      <c r="O5" s="11">
        <v>4</v>
      </c>
      <c r="P5" s="54">
        <v>240</v>
      </c>
      <c r="Q5" s="54">
        <f t="shared" si="0"/>
        <v>216</v>
      </c>
      <c r="R5" s="54">
        <f t="shared" si="1"/>
        <v>54</v>
      </c>
      <c r="S5" s="11" t="s">
        <v>67</v>
      </c>
      <c r="T5" s="54">
        <v>450</v>
      </c>
      <c r="U5" s="54">
        <f>12.51*T5</f>
        <v>5629.5</v>
      </c>
      <c r="V5" s="11" t="s">
        <v>244</v>
      </c>
      <c r="W5" s="54">
        <f t="shared" si="2"/>
        <v>26.0625</v>
      </c>
      <c r="X5" s="11">
        <v>1</v>
      </c>
      <c r="Y5" s="54">
        <f t="shared" si="3"/>
        <v>1407.375</v>
      </c>
      <c r="Z5" s="11"/>
    </row>
    <row r="6" spans="1:27" ht="40.049999999999997" customHeight="1" x14ac:dyDescent="0.3">
      <c r="A6" s="11">
        <v>1</v>
      </c>
      <c r="B6" s="11" t="s">
        <v>753</v>
      </c>
      <c r="C6" s="11" t="s">
        <v>28</v>
      </c>
      <c r="E6" s="11" t="s">
        <v>50</v>
      </c>
      <c r="F6" s="11"/>
      <c r="G6" s="11" t="s">
        <v>58</v>
      </c>
      <c r="H6" s="11" t="s">
        <v>28</v>
      </c>
      <c r="I6" s="11" t="s">
        <v>391</v>
      </c>
      <c r="J6" s="11" t="s">
        <v>47</v>
      </c>
      <c r="K6" s="11" t="s">
        <v>46</v>
      </c>
      <c r="L6" s="11" t="s">
        <v>28</v>
      </c>
      <c r="M6" s="11">
        <v>1</v>
      </c>
      <c r="N6" s="11">
        <v>1</v>
      </c>
      <c r="O6" s="11">
        <v>3</v>
      </c>
      <c r="P6" s="54">
        <v>180</v>
      </c>
      <c r="Q6" s="54">
        <f t="shared" si="0"/>
        <v>162</v>
      </c>
      <c r="R6" s="54">
        <f t="shared" si="1"/>
        <v>54</v>
      </c>
      <c r="S6" s="11" t="s">
        <v>30</v>
      </c>
      <c r="U6" s="54">
        <f>(0.005+0.046+0.397+6.868+0.065)*1000</f>
        <v>7381.0000000000009</v>
      </c>
      <c r="V6" s="11" t="s">
        <v>244</v>
      </c>
      <c r="W6" s="54">
        <f t="shared" si="2"/>
        <v>45.561728395061735</v>
      </c>
      <c r="X6" s="11">
        <v>1</v>
      </c>
      <c r="Y6" s="54">
        <f t="shared" si="3"/>
        <v>2460.3333333333335</v>
      </c>
      <c r="Z6" s="11"/>
    </row>
    <row r="7" spans="1:27" ht="40.049999999999997" customHeight="1" x14ac:dyDescent="0.3">
      <c r="A7" s="11">
        <v>1</v>
      </c>
      <c r="B7" s="11" t="s">
        <v>753</v>
      </c>
      <c r="C7" s="11" t="s">
        <v>28</v>
      </c>
      <c r="E7" s="11" t="s">
        <v>50</v>
      </c>
      <c r="F7" s="11"/>
      <c r="G7" s="11" t="s">
        <v>58</v>
      </c>
      <c r="H7" s="11" t="s">
        <v>28</v>
      </c>
      <c r="I7" s="11" t="s">
        <v>391</v>
      </c>
      <c r="J7" s="11" t="s">
        <v>47</v>
      </c>
      <c r="K7" s="11" t="s">
        <v>28</v>
      </c>
      <c r="L7" s="11" t="s">
        <v>28</v>
      </c>
      <c r="M7" s="11">
        <v>1</v>
      </c>
      <c r="N7" s="11">
        <v>1</v>
      </c>
      <c r="O7" s="11">
        <v>3</v>
      </c>
      <c r="P7" s="54">
        <v>180</v>
      </c>
      <c r="Q7" s="54">
        <f t="shared" si="0"/>
        <v>162</v>
      </c>
      <c r="R7" s="54">
        <f t="shared" si="1"/>
        <v>54</v>
      </c>
      <c r="S7" s="11" t="s">
        <v>65</v>
      </c>
      <c r="T7" s="54">
        <v>2320</v>
      </c>
      <c r="U7" s="54">
        <f>71.28*T7</f>
        <v>165369.60000000001</v>
      </c>
      <c r="V7" s="11" t="s">
        <v>244</v>
      </c>
      <c r="W7" s="54">
        <f t="shared" si="2"/>
        <v>1020.8000000000001</v>
      </c>
      <c r="X7" s="11">
        <v>1</v>
      </c>
      <c r="Y7" s="54">
        <f t="shared" si="3"/>
        <v>55123.200000000004</v>
      </c>
      <c r="Z7" s="11"/>
      <c r="AA7" s="11" t="s">
        <v>43</v>
      </c>
    </row>
    <row r="8" spans="1:27" ht="40.049999999999997" customHeight="1" x14ac:dyDescent="0.3">
      <c r="A8" s="11">
        <v>1</v>
      </c>
      <c r="B8" s="11" t="s">
        <v>753</v>
      </c>
      <c r="C8" s="11" t="s">
        <v>28</v>
      </c>
      <c r="E8" s="11" t="s">
        <v>50</v>
      </c>
      <c r="F8" s="11"/>
      <c r="G8" s="11" t="s">
        <v>58</v>
      </c>
      <c r="H8" s="11" t="s">
        <v>28</v>
      </c>
      <c r="I8" s="11" t="s">
        <v>391</v>
      </c>
      <c r="J8" s="11" t="s">
        <v>47</v>
      </c>
      <c r="K8" s="11" t="s">
        <v>28</v>
      </c>
      <c r="L8" s="11" t="s">
        <v>28</v>
      </c>
      <c r="M8" s="11">
        <v>1</v>
      </c>
      <c r="N8" s="11">
        <v>1</v>
      </c>
      <c r="O8" s="11">
        <v>3</v>
      </c>
      <c r="P8" s="54">
        <v>180</v>
      </c>
      <c r="Q8" s="54">
        <f t="shared" si="0"/>
        <v>162</v>
      </c>
      <c r="R8" s="54">
        <f t="shared" si="1"/>
        <v>54</v>
      </c>
      <c r="S8" s="11" t="s">
        <v>414</v>
      </c>
      <c r="U8" s="54">
        <f>0.001*1000</f>
        <v>1</v>
      </c>
      <c r="V8" s="11" t="s">
        <v>244</v>
      </c>
      <c r="W8" s="54">
        <f t="shared" si="2"/>
        <v>6.1728395061728392E-3</v>
      </c>
      <c r="X8" s="11">
        <v>1</v>
      </c>
      <c r="Y8" s="54">
        <f t="shared" si="3"/>
        <v>0.33333333333333331</v>
      </c>
      <c r="Z8" s="11"/>
      <c r="AA8" s="11" t="s">
        <v>29</v>
      </c>
    </row>
    <row r="9" spans="1:27" ht="40.049999999999997" customHeight="1" x14ac:dyDescent="0.3">
      <c r="A9" s="11">
        <v>1</v>
      </c>
      <c r="B9" s="11" t="s">
        <v>753</v>
      </c>
      <c r="E9" s="11" t="s">
        <v>50</v>
      </c>
      <c r="F9" s="11"/>
      <c r="G9" s="11" t="s">
        <v>58</v>
      </c>
      <c r="I9" s="11" t="s">
        <v>391</v>
      </c>
      <c r="J9" s="11" t="s">
        <v>47</v>
      </c>
      <c r="K9" s="11"/>
      <c r="M9" s="11">
        <v>1</v>
      </c>
      <c r="N9" s="11">
        <v>1</v>
      </c>
      <c r="O9" s="11">
        <v>3</v>
      </c>
      <c r="P9" s="54">
        <v>180</v>
      </c>
      <c r="Q9" s="54">
        <f t="shared" si="0"/>
        <v>162</v>
      </c>
      <c r="R9" s="54">
        <f t="shared" si="1"/>
        <v>54</v>
      </c>
      <c r="S9" s="11" t="s">
        <v>67</v>
      </c>
      <c r="T9" s="54">
        <v>450</v>
      </c>
      <c r="U9" s="54">
        <f>(1.329+10.208)*T9</f>
        <v>5191.6500000000005</v>
      </c>
      <c r="V9" s="11" t="s">
        <v>244</v>
      </c>
      <c r="W9" s="54">
        <f t="shared" si="2"/>
        <v>32.047222222222224</v>
      </c>
      <c r="X9" s="11">
        <v>1</v>
      </c>
      <c r="Y9" s="54">
        <f t="shared" si="3"/>
        <v>1730.5500000000002</v>
      </c>
      <c r="Z9" s="11"/>
      <c r="AA9" s="11" t="s">
        <v>419</v>
      </c>
    </row>
    <row r="10" spans="1:27" ht="40.049999999999997" customHeight="1" x14ac:dyDescent="0.3">
      <c r="A10" s="11">
        <v>1</v>
      </c>
      <c r="B10" s="11" t="s">
        <v>753</v>
      </c>
      <c r="C10" s="11" t="s">
        <v>28</v>
      </c>
      <c r="E10" s="11" t="s">
        <v>38</v>
      </c>
      <c r="F10" s="11" t="s">
        <v>35</v>
      </c>
      <c r="G10" s="11" t="s">
        <v>58</v>
      </c>
      <c r="H10" s="11" t="s">
        <v>28</v>
      </c>
      <c r="I10" s="11" t="s">
        <v>434</v>
      </c>
      <c r="J10" s="11" t="s">
        <v>44</v>
      </c>
      <c r="K10" s="11" t="s">
        <v>45</v>
      </c>
      <c r="L10" s="11" t="s">
        <v>28</v>
      </c>
      <c r="M10" s="11">
        <v>1</v>
      </c>
      <c r="N10" s="11">
        <v>1</v>
      </c>
      <c r="O10" s="11">
        <v>3</v>
      </c>
      <c r="P10" s="54">
        <v>168</v>
      </c>
      <c r="Q10" s="54">
        <f t="shared" si="0"/>
        <v>151.20000000000002</v>
      </c>
      <c r="R10" s="54">
        <f t="shared" si="1"/>
        <v>50.400000000000006</v>
      </c>
      <c r="S10" s="11" t="s">
        <v>30</v>
      </c>
      <c r="U10" s="54">
        <f>(0.04+0.043+0.24+5.594+0.065)*1000</f>
        <v>5982</v>
      </c>
      <c r="V10" s="11" t="s">
        <v>244</v>
      </c>
      <c r="W10" s="54">
        <f t="shared" si="2"/>
        <v>39.563492063492056</v>
      </c>
      <c r="X10" s="11">
        <v>2</v>
      </c>
      <c r="Y10" s="54">
        <f t="shared" si="3"/>
        <v>1994</v>
      </c>
      <c r="Z10" s="11"/>
      <c r="AA10" s="11" t="s">
        <v>51</v>
      </c>
    </row>
    <row r="11" spans="1:27" ht="40.049999999999997" customHeight="1" x14ac:dyDescent="0.3">
      <c r="A11" s="11">
        <v>1</v>
      </c>
      <c r="B11" s="11" t="s">
        <v>753</v>
      </c>
      <c r="C11" s="11" t="s">
        <v>28</v>
      </c>
      <c r="E11" s="11" t="s">
        <v>38</v>
      </c>
      <c r="F11" s="11"/>
      <c r="G11" s="11" t="s">
        <v>58</v>
      </c>
      <c r="H11" s="11" t="s">
        <v>28</v>
      </c>
      <c r="I11" s="11" t="s">
        <v>434</v>
      </c>
      <c r="J11" s="11" t="s">
        <v>44</v>
      </c>
      <c r="K11" s="11" t="s">
        <v>28</v>
      </c>
      <c r="L11" s="11" t="s">
        <v>28</v>
      </c>
      <c r="M11" s="11">
        <v>1</v>
      </c>
      <c r="N11" s="11">
        <v>1</v>
      </c>
      <c r="O11" s="11">
        <v>3</v>
      </c>
      <c r="P11" s="54">
        <v>168</v>
      </c>
      <c r="Q11" s="54">
        <f t="shared" si="0"/>
        <v>151.20000000000002</v>
      </c>
      <c r="R11" s="54">
        <f t="shared" si="1"/>
        <v>50.400000000000006</v>
      </c>
      <c r="S11" s="11" t="s">
        <v>65</v>
      </c>
      <c r="T11" s="54">
        <v>2320</v>
      </c>
      <c r="U11" s="54">
        <f>58.08*T11</f>
        <v>134745.60000000001</v>
      </c>
      <c r="V11" s="11" t="s">
        <v>244</v>
      </c>
      <c r="W11" s="54">
        <f t="shared" si="2"/>
        <v>891.17460317460313</v>
      </c>
      <c r="X11" s="11">
        <v>2</v>
      </c>
      <c r="Y11" s="54">
        <f t="shared" si="3"/>
        <v>44915.200000000004</v>
      </c>
      <c r="Z11" s="11"/>
      <c r="AA11" s="11" t="s">
        <v>43</v>
      </c>
    </row>
    <row r="12" spans="1:27" ht="40.049999999999997" customHeight="1" x14ac:dyDescent="0.3">
      <c r="A12" s="11">
        <v>1</v>
      </c>
      <c r="B12" s="11" t="s">
        <v>753</v>
      </c>
      <c r="C12" s="11" t="s">
        <v>28</v>
      </c>
      <c r="E12" s="11" t="s">
        <v>38</v>
      </c>
      <c r="F12" s="11"/>
      <c r="G12" s="11" t="s">
        <v>58</v>
      </c>
      <c r="H12" s="11" t="s">
        <v>28</v>
      </c>
      <c r="I12" s="11" t="s">
        <v>434</v>
      </c>
      <c r="J12" s="11" t="s">
        <v>44</v>
      </c>
      <c r="K12" s="11" t="s">
        <v>28</v>
      </c>
      <c r="L12" s="11" t="s">
        <v>28</v>
      </c>
      <c r="M12" s="11">
        <v>1</v>
      </c>
      <c r="N12" s="11">
        <v>1</v>
      </c>
      <c r="O12" s="11">
        <v>3</v>
      </c>
      <c r="P12" s="54">
        <v>168</v>
      </c>
      <c r="Q12" s="54">
        <f t="shared" si="0"/>
        <v>151.20000000000002</v>
      </c>
      <c r="R12" s="54">
        <f t="shared" si="1"/>
        <v>50.400000000000006</v>
      </c>
      <c r="S12" s="11" t="s">
        <v>414</v>
      </c>
      <c r="U12" s="54">
        <f>0.001*1000</f>
        <v>1</v>
      </c>
      <c r="V12" s="11" t="s">
        <v>244</v>
      </c>
      <c r="W12" s="54">
        <f t="shared" si="2"/>
        <v>6.6137566137566134E-3</v>
      </c>
      <c r="X12" s="11">
        <v>2</v>
      </c>
      <c r="Y12" s="54">
        <f t="shared" si="3"/>
        <v>0.33333333333333331</v>
      </c>
      <c r="Z12" s="11"/>
      <c r="AA12" s="11" t="s">
        <v>29</v>
      </c>
    </row>
    <row r="13" spans="1:27" ht="40.049999999999997" customHeight="1" x14ac:dyDescent="0.3">
      <c r="A13" s="11">
        <v>1</v>
      </c>
      <c r="B13" s="11" t="s">
        <v>753</v>
      </c>
      <c r="C13" s="11" t="s">
        <v>28</v>
      </c>
      <c r="E13" s="11" t="s">
        <v>38</v>
      </c>
      <c r="F13" s="11"/>
      <c r="G13" s="11" t="s">
        <v>58</v>
      </c>
      <c r="H13" s="11" t="s">
        <v>28</v>
      </c>
      <c r="I13" s="11" t="s">
        <v>434</v>
      </c>
      <c r="J13" s="11" t="s">
        <v>44</v>
      </c>
      <c r="K13" s="11" t="s">
        <v>28</v>
      </c>
      <c r="L13" s="11" t="s">
        <v>28</v>
      </c>
      <c r="M13" s="11">
        <v>1</v>
      </c>
      <c r="N13" s="11">
        <v>1</v>
      </c>
      <c r="O13" s="11">
        <v>3</v>
      </c>
      <c r="P13" s="54">
        <v>168</v>
      </c>
      <c r="Q13" s="54">
        <f t="shared" si="0"/>
        <v>151.20000000000002</v>
      </c>
      <c r="R13" s="54">
        <f t="shared" si="1"/>
        <v>50.400000000000006</v>
      </c>
      <c r="S13" s="11" t="s">
        <v>67</v>
      </c>
      <c r="T13" s="54">
        <v>450</v>
      </c>
      <c r="U13" s="54">
        <f>(1.223+8.769)*T13</f>
        <v>4496.4000000000005</v>
      </c>
      <c r="V13" s="11" t="s">
        <v>244</v>
      </c>
      <c r="W13" s="54">
        <f t="shared" si="2"/>
        <v>29.738095238095237</v>
      </c>
      <c r="X13" s="11">
        <v>2</v>
      </c>
      <c r="Y13" s="54">
        <f t="shared" si="3"/>
        <v>1498.8000000000002</v>
      </c>
      <c r="Z13" s="11"/>
      <c r="AA13" s="11" t="s">
        <v>419</v>
      </c>
    </row>
    <row r="14" spans="1:27" ht="40.049999999999997" customHeight="1" x14ac:dyDescent="0.3">
      <c r="A14" s="11">
        <v>1</v>
      </c>
      <c r="B14" s="11" t="s">
        <v>753</v>
      </c>
      <c r="E14" s="11" t="s">
        <v>38</v>
      </c>
      <c r="F14" s="11"/>
      <c r="G14" s="11" t="s">
        <v>58</v>
      </c>
      <c r="I14" s="11" t="s">
        <v>434</v>
      </c>
      <c r="J14" s="11" t="s">
        <v>44</v>
      </c>
      <c r="K14" s="11"/>
      <c r="M14" s="11">
        <v>1</v>
      </c>
      <c r="N14" s="11">
        <v>1</v>
      </c>
      <c r="O14" s="11">
        <v>3</v>
      </c>
      <c r="P14" s="54">
        <v>168</v>
      </c>
      <c r="Q14" s="54">
        <f t="shared" si="0"/>
        <v>151.20000000000002</v>
      </c>
      <c r="R14" s="54">
        <f t="shared" si="1"/>
        <v>50.400000000000006</v>
      </c>
      <c r="S14" s="11" t="s">
        <v>67</v>
      </c>
      <c r="T14" s="54">
        <v>450</v>
      </c>
      <c r="U14" s="54">
        <f>8.769*T14</f>
        <v>3946.05</v>
      </c>
      <c r="V14" s="11" t="s">
        <v>244</v>
      </c>
      <c r="W14" s="54">
        <f t="shared" si="2"/>
        <v>26.098214285714285</v>
      </c>
      <c r="X14" s="11">
        <v>2</v>
      </c>
      <c r="Y14" s="54">
        <f t="shared" si="3"/>
        <v>1315.3500000000001</v>
      </c>
      <c r="Z14" s="11"/>
    </row>
    <row r="15" spans="1:27" ht="40.049999999999997" customHeight="1" x14ac:dyDescent="0.3">
      <c r="A15" s="11">
        <v>1</v>
      </c>
      <c r="B15" s="11" t="s">
        <v>753</v>
      </c>
      <c r="C15" s="11" t="s">
        <v>28</v>
      </c>
      <c r="E15" s="11" t="s">
        <v>38</v>
      </c>
      <c r="F15" s="11" t="s">
        <v>35</v>
      </c>
      <c r="G15" s="11" t="s">
        <v>58</v>
      </c>
      <c r="H15" s="11" t="s">
        <v>28</v>
      </c>
      <c r="I15" s="11" t="s">
        <v>434</v>
      </c>
      <c r="J15" s="11" t="s">
        <v>41</v>
      </c>
      <c r="K15" s="11" t="s">
        <v>42</v>
      </c>
      <c r="L15" s="11" t="s">
        <v>28</v>
      </c>
      <c r="M15" s="11">
        <v>2</v>
      </c>
      <c r="N15" s="11">
        <v>1</v>
      </c>
      <c r="O15" s="11">
        <v>3</v>
      </c>
      <c r="P15" s="54">
        <v>168</v>
      </c>
      <c r="Q15" s="54">
        <f t="shared" si="0"/>
        <v>151.20000000000002</v>
      </c>
      <c r="R15" s="54">
        <f t="shared" si="1"/>
        <v>50.400000000000006</v>
      </c>
      <c r="S15" s="11" t="s">
        <v>30</v>
      </c>
      <c r="U15" s="54">
        <f>(0.004+0.021+0.24+4.443+0.065)*1000</f>
        <v>4773</v>
      </c>
      <c r="V15" s="11" t="s">
        <v>244</v>
      </c>
      <c r="W15" s="54">
        <f t="shared" si="2"/>
        <v>31.567460317460313</v>
      </c>
      <c r="X15" s="11">
        <v>2</v>
      </c>
      <c r="Y15" s="54">
        <f t="shared" si="3"/>
        <v>1591</v>
      </c>
      <c r="Z15" s="11"/>
    </row>
    <row r="16" spans="1:27" ht="40.049999999999997" customHeight="1" x14ac:dyDescent="0.3">
      <c r="A16" s="11">
        <v>1</v>
      </c>
      <c r="B16" s="11" t="s">
        <v>753</v>
      </c>
      <c r="C16" s="11" t="s">
        <v>28</v>
      </c>
      <c r="E16" s="11" t="s">
        <v>38</v>
      </c>
      <c r="F16" s="11"/>
      <c r="G16" s="11" t="s">
        <v>58</v>
      </c>
      <c r="H16" s="11" t="s">
        <v>28</v>
      </c>
      <c r="I16" s="11" t="s">
        <v>434</v>
      </c>
      <c r="J16" s="11" t="s">
        <v>41</v>
      </c>
      <c r="K16" s="11" t="s">
        <v>28</v>
      </c>
      <c r="L16" s="11" t="s">
        <v>28</v>
      </c>
      <c r="M16" s="11">
        <v>2</v>
      </c>
      <c r="N16" s="11">
        <v>1</v>
      </c>
      <c r="O16" s="11">
        <v>3</v>
      </c>
      <c r="P16" s="54">
        <v>168</v>
      </c>
      <c r="Q16" s="54">
        <f t="shared" si="0"/>
        <v>151.20000000000002</v>
      </c>
      <c r="R16" s="54">
        <f t="shared" si="1"/>
        <v>50.400000000000006</v>
      </c>
      <c r="S16" s="11" t="s">
        <v>65</v>
      </c>
      <c r="T16" s="54">
        <v>2320</v>
      </c>
      <c r="U16" s="54">
        <f>45.936*T16</f>
        <v>106571.52</v>
      </c>
      <c r="V16" s="11" t="s">
        <v>244</v>
      </c>
      <c r="W16" s="54">
        <f t="shared" si="2"/>
        <v>704.83809523809521</v>
      </c>
      <c r="X16" s="11">
        <v>2</v>
      </c>
      <c r="Y16" s="54">
        <f t="shared" si="3"/>
        <v>35523.840000000004</v>
      </c>
      <c r="Z16" s="11"/>
      <c r="AA16" s="11" t="s">
        <v>43</v>
      </c>
    </row>
    <row r="17" spans="1:27" ht="40.049999999999997" customHeight="1" x14ac:dyDescent="0.3">
      <c r="A17" s="11">
        <v>1</v>
      </c>
      <c r="B17" s="11" t="s">
        <v>753</v>
      </c>
      <c r="E17" s="11" t="s">
        <v>38</v>
      </c>
      <c r="F17" s="11"/>
      <c r="G17" s="11" t="s">
        <v>58</v>
      </c>
      <c r="H17" s="11" t="s">
        <v>28</v>
      </c>
      <c r="I17" s="11" t="s">
        <v>434</v>
      </c>
      <c r="J17" s="11" t="s">
        <v>41</v>
      </c>
      <c r="K17" s="11" t="s">
        <v>28</v>
      </c>
      <c r="L17" s="11" t="s">
        <v>28</v>
      </c>
      <c r="M17" s="11">
        <v>2</v>
      </c>
      <c r="N17" s="11">
        <v>1</v>
      </c>
      <c r="O17" s="11">
        <v>3</v>
      </c>
      <c r="P17" s="54">
        <v>168</v>
      </c>
      <c r="Q17" s="54">
        <f t="shared" si="0"/>
        <v>151.20000000000002</v>
      </c>
      <c r="R17" s="54">
        <f t="shared" si="1"/>
        <v>50.400000000000006</v>
      </c>
      <c r="S17" s="11" t="s">
        <v>414</v>
      </c>
      <c r="U17" s="54">
        <f>0.001*1000</f>
        <v>1</v>
      </c>
      <c r="V17" s="11" t="s">
        <v>244</v>
      </c>
      <c r="W17" s="54">
        <f t="shared" ref="W17:W45" si="4">U17/Q17</f>
        <v>6.6137566137566134E-3</v>
      </c>
      <c r="X17" s="11">
        <v>2</v>
      </c>
      <c r="Y17" s="54">
        <f t="shared" si="3"/>
        <v>0.33333333333333331</v>
      </c>
      <c r="Z17" s="11"/>
      <c r="AA17" s="11" t="s">
        <v>29</v>
      </c>
    </row>
    <row r="18" spans="1:27" ht="40.049999999999997" customHeight="1" x14ac:dyDescent="0.3">
      <c r="A18" s="11">
        <v>1</v>
      </c>
      <c r="B18" s="11" t="s">
        <v>753</v>
      </c>
      <c r="E18" s="11" t="s">
        <v>38</v>
      </c>
      <c r="F18" s="11"/>
      <c r="G18" s="11" t="s">
        <v>58</v>
      </c>
      <c r="H18" s="11" t="s">
        <v>28</v>
      </c>
      <c r="I18" s="11" t="s">
        <v>434</v>
      </c>
      <c r="J18" s="11" t="s">
        <v>41</v>
      </c>
      <c r="K18" s="11" t="s">
        <v>28</v>
      </c>
      <c r="L18" s="11" t="s">
        <v>28</v>
      </c>
      <c r="M18" s="11">
        <v>2</v>
      </c>
      <c r="N18" s="11">
        <v>1</v>
      </c>
      <c r="O18" s="11">
        <v>3</v>
      </c>
      <c r="P18" s="54">
        <v>168</v>
      </c>
      <c r="Q18" s="54">
        <f t="shared" ref="Q18:Q26" si="5">P18*0.9</f>
        <v>151.20000000000002</v>
      </c>
      <c r="R18" s="54">
        <f t="shared" ref="R18:R31" si="6">Q18/O18</f>
        <v>50.400000000000006</v>
      </c>
      <c r="S18" s="11" t="s">
        <v>5</v>
      </c>
      <c r="T18" s="54">
        <v>450</v>
      </c>
      <c r="U18" s="54">
        <f>(1.223+1.59+8.36)*T18</f>
        <v>5027.8500000000004</v>
      </c>
      <c r="V18" s="11" t="s">
        <v>244</v>
      </c>
      <c r="W18" s="54">
        <f t="shared" si="4"/>
        <v>33.25297619047619</v>
      </c>
      <c r="X18" s="11">
        <v>2</v>
      </c>
      <c r="Y18" s="54">
        <f t="shared" si="3"/>
        <v>1675.95</v>
      </c>
      <c r="Z18" s="11"/>
      <c r="AA18" s="11" t="s">
        <v>420</v>
      </c>
    </row>
    <row r="19" spans="1:27" ht="40.049999999999997" customHeight="1" x14ac:dyDescent="0.3">
      <c r="A19" s="11">
        <v>1</v>
      </c>
      <c r="B19" s="11" t="s">
        <v>753</v>
      </c>
      <c r="E19" s="11" t="s">
        <v>38</v>
      </c>
      <c r="F19" s="11" t="s">
        <v>35</v>
      </c>
      <c r="G19" s="11" t="s">
        <v>58</v>
      </c>
      <c r="H19" s="11" t="s">
        <v>28</v>
      </c>
      <c r="I19" s="11" t="s">
        <v>434</v>
      </c>
      <c r="J19" s="11" t="s">
        <v>39</v>
      </c>
      <c r="K19" s="11" t="s">
        <v>40</v>
      </c>
      <c r="L19" s="11" t="s">
        <v>28</v>
      </c>
      <c r="M19" s="11">
        <v>1</v>
      </c>
      <c r="N19" s="11">
        <v>1</v>
      </c>
      <c r="O19" s="11">
        <v>4</v>
      </c>
      <c r="P19" s="54">
        <v>216</v>
      </c>
      <c r="Q19" s="54">
        <f t="shared" si="5"/>
        <v>194.4</v>
      </c>
      <c r="R19" s="54">
        <f t="shared" si="6"/>
        <v>48.6</v>
      </c>
      <c r="S19" s="11" t="s">
        <v>30</v>
      </c>
      <c r="U19" s="54">
        <f>(0.005+0.005+0.379+7.175+0.065)*1000</f>
        <v>7629</v>
      </c>
      <c r="V19" s="11" t="s">
        <v>244</v>
      </c>
      <c r="W19" s="54">
        <f t="shared" si="4"/>
        <v>39.243827160493829</v>
      </c>
      <c r="X19" s="11">
        <v>2</v>
      </c>
      <c r="Y19" s="54">
        <f t="shared" si="3"/>
        <v>1907.25</v>
      </c>
      <c r="Z19" s="11"/>
    </row>
    <row r="20" spans="1:27" ht="40.049999999999997" customHeight="1" x14ac:dyDescent="0.3">
      <c r="A20" s="11">
        <v>1</v>
      </c>
      <c r="B20" s="11" t="s">
        <v>753</v>
      </c>
      <c r="E20" s="11" t="s">
        <v>38</v>
      </c>
      <c r="F20" s="11"/>
      <c r="G20" s="11" t="s">
        <v>58</v>
      </c>
      <c r="H20" s="11" t="s">
        <v>28</v>
      </c>
      <c r="I20" s="11" t="s">
        <v>434</v>
      </c>
      <c r="J20" s="11" t="s">
        <v>39</v>
      </c>
      <c r="K20" s="11" t="s">
        <v>28</v>
      </c>
      <c r="L20" s="11" t="s">
        <v>28</v>
      </c>
      <c r="M20" s="11">
        <v>1</v>
      </c>
      <c r="N20" s="11">
        <v>1</v>
      </c>
      <c r="O20" s="11">
        <v>4</v>
      </c>
      <c r="P20" s="54">
        <v>216</v>
      </c>
      <c r="Q20" s="54">
        <f t="shared" si="5"/>
        <v>194.4</v>
      </c>
      <c r="R20" s="54">
        <f t="shared" si="6"/>
        <v>48.6</v>
      </c>
      <c r="S20" s="11" t="s">
        <v>65</v>
      </c>
      <c r="T20" s="54">
        <v>2320</v>
      </c>
      <c r="U20" s="54">
        <f>74.448*T20</f>
        <v>172719.35999999999</v>
      </c>
      <c r="V20" s="11" t="s">
        <v>244</v>
      </c>
      <c r="W20" s="54">
        <f t="shared" si="4"/>
        <v>888.474074074074</v>
      </c>
      <c r="X20" s="11">
        <v>2</v>
      </c>
      <c r="Y20" s="54">
        <f t="shared" si="3"/>
        <v>43179.839999999997</v>
      </c>
      <c r="Z20" s="11"/>
      <c r="AA20" s="11" t="s">
        <v>43</v>
      </c>
    </row>
    <row r="21" spans="1:27" ht="40.049999999999997" customHeight="1" x14ac:dyDescent="0.3">
      <c r="A21" s="11">
        <v>1</v>
      </c>
      <c r="B21" s="11" t="s">
        <v>753</v>
      </c>
      <c r="E21" s="11" t="s">
        <v>38</v>
      </c>
      <c r="F21" s="11"/>
      <c r="G21" s="11" t="s">
        <v>58</v>
      </c>
      <c r="H21" s="11" t="s">
        <v>28</v>
      </c>
      <c r="I21" s="11" t="s">
        <v>434</v>
      </c>
      <c r="J21" s="11" t="s">
        <v>39</v>
      </c>
      <c r="K21" s="11" t="s">
        <v>28</v>
      </c>
      <c r="L21" s="11" t="s">
        <v>28</v>
      </c>
      <c r="M21" s="11">
        <v>1</v>
      </c>
      <c r="N21" s="11">
        <v>1</v>
      </c>
      <c r="O21" s="11">
        <v>4</v>
      </c>
      <c r="P21" s="54">
        <v>216</v>
      </c>
      <c r="Q21" s="54">
        <f t="shared" si="5"/>
        <v>194.4</v>
      </c>
      <c r="R21" s="54">
        <f t="shared" si="6"/>
        <v>48.6</v>
      </c>
      <c r="S21" s="11" t="s">
        <v>414</v>
      </c>
      <c r="U21" s="54">
        <v>2</v>
      </c>
      <c r="V21" s="11" t="s">
        <v>244</v>
      </c>
      <c r="W21" s="54">
        <f t="shared" si="4"/>
        <v>1.0288065843621399E-2</v>
      </c>
      <c r="X21" s="11">
        <v>2</v>
      </c>
      <c r="Y21" s="54">
        <f t="shared" si="3"/>
        <v>0.5</v>
      </c>
      <c r="Z21" s="11"/>
      <c r="AA21" s="11" t="s">
        <v>29</v>
      </c>
    </row>
    <row r="22" spans="1:27" ht="40.049999999999997" customHeight="1" x14ac:dyDescent="0.3">
      <c r="A22" s="11">
        <v>1</v>
      </c>
      <c r="B22" s="11" t="s">
        <v>753</v>
      </c>
      <c r="E22" s="11" t="s">
        <v>38</v>
      </c>
      <c r="F22" s="11"/>
      <c r="G22" s="11" t="s">
        <v>58</v>
      </c>
      <c r="H22" s="11" t="s">
        <v>28</v>
      </c>
      <c r="I22" s="11" t="s">
        <v>434</v>
      </c>
      <c r="J22" s="11" t="s">
        <v>39</v>
      </c>
      <c r="K22" s="11" t="s">
        <v>28</v>
      </c>
      <c r="L22" s="11" t="s">
        <v>28</v>
      </c>
      <c r="M22" s="11">
        <v>1</v>
      </c>
      <c r="N22" s="11">
        <v>1</v>
      </c>
      <c r="O22" s="11">
        <v>4</v>
      </c>
      <c r="P22" s="54">
        <v>216</v>
      </c>
      <c r="Q22" s="54">
        <f t="shared" si="5"/>
        <v>194.4</v>
      </c>
      <c r="R22" s="54">
        <f t="shared" si="6"/>
        <v>48.6</v>
      </c>
      <c r="S22" s="11" t="s">
        <v>5</v>
      </c>
      <c r="T22" s="54">
        <v>450</v>
      </c>
      <c r="U22" s="54">
        <f>(1.582+11.24)*T22</f>
        <v>5769.9000000000005</v>
      </c>
      <c r="V22" s="11" t="s">
        <v>244</v>
      </c>
      <c r="W22" s="54">
        <f t="shared" si="4"/>
        <v>29.680555555555557</v>
      </c>
      <c r="X22" s="11">
        <v>2</v>
      </c>
      <c r="Y22" s="54">
        <f t="shared" si="3"/>
        <v>1442.4750000000001</v>
      </c>
      <c r="Z22" s="11"/>
      <c r="AA22" s="11" t="s">
        <v>419</v>
      </c>
    </row>
    <row r="23" spans="1:27" ht="40.049999999999997" customHeight="1" x14ac:dyDescent="0.3">
      <c r="A23" s="11">
        <v>1</v>
      </c>
      <c r="B23" s="11" t="s">
        <v>753</v>
      </c>
      <c r="E23" s="11" t="s">
        <v>38</v>
      </c>
      <c r="F23" s="11" t="s">
        <v>35</v>
      </c>
      <c r="G23" s="11" t="s">
        <v>58</v>
      </c>
      <c r="H23" s="11" t="s">
        <v>28</v>
      </c>
      <c r="I23" s="11" t="s">
        <v>434</v>
      </c>
      <c r="J23" s="11" t="s">
        <v>36</v>
      </c>
      <c r="K23" s="11" t="s">
        <v>28</v>
      </c>
      <c r="L23" s="11" t="s">
        <v>28</v>
      </c>
      <c r="M23" s="11">
        <v>1</v>
      </c>
      <c r="N23" s="11">
        <v>1</v>
      </c>
      <c r="O23" s="11">
        <v>4</v>
      </c>
      <c r="P23" s="54">
        <v>216</v>
      </c>
      <c r="Q23" s="54">
        <f t="shared" si="5"/>
        <v>194.4</v>
      </c>
      <c r="R23" s="54">
        <f t="shared" si="6"/>
        <v>48.6</v>
      </c>
      <c r="S23" s="11" t="s">
        <v>30</v>
      </c>
      <c r="U23" s="54">
        <f>(0.005+0.028+0.448+5.667+0.065)*1000</f>
        <v>6213</v>
      </c>
      <c r="V23" s="11" t="s">
        <v>244</v>
      </c>
      <c r="W23" s="54">
        <f t="shared" si="4"/>
        <v>31.959876543209877</v>
      </c>
      <c r="X23" s="11">
        <v>2</v>
      </c>
      <c r="Y23" s="54">
        <f t="shared" si="3"/>
        <v>1553.25</v>
      </c>
      <c r="Z23" s="11"/>
    </row>
    <row r="24" spans="1:27" ht="40.049999999999997" customHeight="1" x14ac:dyDescent="0.3">
      <c r="A24" s="11">
        <v>1</v>
      </c>
      <c r="B24" s="11" t="s">
        <v>753</v>
      </c>
      <c r="E24" s="11" t="s">
        <v>38</v>
      </c>
      <c r="F24" s="11"/>
      <c r="G24" s="11" t="s">
        <v>58</v>
      </c>
      <c r="H24" s="11" t="s">
        <v>28</v>
      </c>
      <c r="I24" s="11" t="s">
        <v>434</v>
      </c>
      <c r="J24" s="11" t="s">
        <v>36</v>
      </c>
      <c r="K24" s="11" t="s">
        <v>28</v>
      </c>
      <c r="L24" s="11" t="s">
        <v>28</v>
      </c>
      <c r="M24" s="11">
        <v>1</v>
      </c>
      <c r="N24" s="11">
        <v>1</v>
      </c>
      <c r="O24" s="11">
        <v>4</v>
      </c>
      <c r="P24" s="54">
        <v>216</v>
      </c>
      <c r="Q24" s="54">
        <f t="shared" si="5"/>
        <v>194.4</v>
      </c>
      <c r="R24" s="54">
        <f t="shared" si="6"/>
        <v>48.6</v>
      </c>
      <c r="S24" s="11" t="s">
        <v>65</v>
      </c>
      <c r="T24" s="54">
        <v>2320</v>
      </c>
      <c r="U24" s="54">
        <f>58.608*T24</f>
        <v>135970.56</v>
      </c>
      <c r="V24" s="11" t="s">
        <v>244</v>
      </c>
      <c r="W24" s="54">
        <f t="shared" si="4"/>
        <v>699.43703703703704</v>
      </c>
      <c r="X24" s="11">
        <v>2</v>
      </c>
      <c r="Y24" s="54">
        <f t="shared" si="3"/>
        <v>33992.639999999999</v>
      </c>
      <c r="Z24" s="11"/>
      <c r="AA24" s="11" t="s">
        <v>43</v>
      </c>
    </row>
    <row r="25" spans="1:27" ht="40.049999999999997" customHeight="1" x14ac:dyDescent="0.3">
      <c r="A25" s="11">
        <v>1</v>
      </c>
      <c r="B25" s="11" t="s">
        <v>753</v>
      </c>
      <c r="E25" s="11" t="s">
        <v>38</v>
      </c>
      <c r="F25" s="11"/>
      <c r="G25" s="11" t="s">
        <v>58</v>
      </c>
      <c r="H25" s="11" t="s">
        <v>28</v>
      </c>
      <c r="I25" s="11" t="s">
        <v>434</v>
      </c>
      <c r="J25" s="11" t="s">
        <v>36</v>
      </c>
      <c r="K25" s="11" t="s">
        <v>28</v>
      </c>
      <c r="L25" s="11" t="s">
        <v>28</v>
      </c>
      <c r="M25" s="11">
        <v>1</v>
      </c>
      <c r="N25" s="11">
        <v>1</v>
      </c>
      <c r="O25" s="11">
        <v>4</v>
      </c>
      <c r="P25" s="54">
        <v>216</v>
      </c>
      <c r="Q25" s="54">
        <f t="shared" si="5"/>
        <v>194.4</v>
      </c>
      <c r="R25" s="54">
        <f t="shared" si="6"/>
        <v>48.6</v>
      </c>
      <c r="S25" s="11" t="s">
        <v>414</v>
      </c>
      <c r="U25" s="54">
        <f>1.566</f>
        <v>1.5660000000000001</v>
      </c>
      <c r="V25" s="11" t="s">
        <v>244</v>
      </c>
      <c r="W25" s="54">
        <f t="shared" si="4"/>
        <v>8.0555555555555554E-3</v>
      </c>
      <c r="X25" s="11">
        <v>2</v>
      </c>
      <c r="Y25" s="54">
        <f t="shared" si="3"/>
        <v>0.39150000000000001</v>
      </c>
      <c r="Z25" s="11"/>
      <c r="AA25" s="11" t="s">
        <v>29</v>
      </c>
    </row>
    <row r="26" spans="1:27" ht="40.049999999999997" customHeight="1" x14ac:dyDescent="0.3">
      <c r="A26" s="11">
        <v>1</v>
      </c>
      <c r="B26" s="11" t="s">
        <v>753</v>
      </c>
      <c r="E26" s="11" t="s">
        <v>38</v>
      </c>
      <c r="F26" s="11"/>
      <c r="G26" s="11" t="s">
        <v>58</v>
      </c>
      <c r="H26" s="11" t="s">
        <v>28</v>
      </c>
      <c r="I26" s="11" t="s">
        <v>434</v>
      </c>
      <c r="J26" s="11" t="s">
        <v>36</v>
      </c>
      <c r="K26" s="11" t="s">
        <v>28</v>
      </c>
      <c r="L26" s="11" t="s">
        <v>28</v>
      </c>
      <c r="M26" s="11">
        <v>1</v>
      </c>
      <c r="N26" s="11">
        <v>1</v>
      </c>
      <c r="O26" s="11">
        <v>4</v>
      </c>
      <c r="P26" s="54">
        <v>216</v>
      </c>
      <c r="Q26" s="54">
        <f t="shared" si="5"/>
        <v>194.4</v>
      </c>
      <c r="R26" s="54">
        <f t="shared" si="6"/>
        <v>48.6</v>
      </c>
      <c r="S26" s="11" t="s">
        <v>67</v>
      </c>
      <c r="T26" s="54">
        <v>450</v>
      </c>
      <c r="U26" s="54">
        <f>(1.582+2.041+10.48)*T26</f>
        <v>6346.35</v>
      </c>
      <c r="V26" s="11" t="s">
        <v>244</v>
      </c>
      <c r="W26" s="54">
        <f t="shared" si="4"/>
        <v>32.645833333333336</v>
      </c>
      <c r="X26" s="11">
        <v>2</v>
      </c>
      <c r="Y26" s="54">
        <f t="shared" si="3"/>
        <v>1586.5875000000001</v>
      </c>
      <c r="Z26" s="11"/>
      <c r="AA26" s="11" t="s">
        <v>419</v>
      </c>
    </row>
    <row r="27" spans="1:27" ht="40.049999999999997" customHeight="1" x14ac:dyDescent="0.3">
      <c r="A27" s="11">
        <v>1</v>
      </c>
      <c r="B27" s="11" t="s">
        <v>753</v>
      </c>
      <c r="E27" s="11" t="s">
        <v>38</v>
      </c>
      <c r="F27" s="11" t="s">
        <v>35</v>
      </c>
      <c r="G27" s="11" t="s">
        <v>58</v>
      </c>
      <c r="H27" s="11" t="s">
        <v>28</v>
      </c>
      <c r="I27" s="11" t="s">
        <v>441</v>
      </c>
      <c r="J27" s="11" t="s">
        <v>426</v>
      </c>
      <c r="K27" s="11" t="s">
        <v>34</v>
      </c>
      <c r="M27" s="11">
        <v>4</v>
      </c>
      <c r="N27" s="11" t="s">
        <v>33</v>
      </c>
      <c r="O27" s="11">
        <v>68</v>
      </c>
      <c r="P27" s="54" t="s">
        <v>31</v>
      </c>
      <c r="Q27" s="54">
        <v>2505.6</v>
      </c>
      <c r="R27" s="54">
        <f t="shared" si="6"/>
        <v>36.847058823529409</v>
      </c>
      <c r="S27" s="11" t="s">
        <v>30</v>
      </c>
      <c r="U27" s="54">
        <f>(0.069+0.103+72.386+45.26+4.692+1.298)*1000</f>
        <v>123808</v>
      </c>
      <c r="V27" s="11" t="s">
        <v>244</v>
      </c>
      <c r="W27" s="54">
        <f t="shared" si="4"/>
        <v>49.412515964240107</v>
      </c>
      <c r="X27" s="11">
        <v>3</v>
      </c>
      <c r="Y27" s="54">
        <f t="shared" si="3"/>
        <v>1820.7058823529412</v>
      </c>
      <c r="Z27" s="11"/>
      <c r="AA27" s="11" t="s">
        <v>32</v>
      </c>
    </row>
    <row r="28" spans="1:27" ht="40.049999999999997" customHeight="1" x14ac:dyDescent="0.3">
      <c r="A28" s="11">
        <v>1</v>
      </c>
      <c r="B28" s="11" t="s">
        <v>753</v>
      </c>
      <c r="E28" s="11" t="s">
        <v>38</v>
      </c>
      <c r="F28" s="11"/>
      <c r="G28" s="11" t="s">
        <v>58</v>
      </c>
      <c r="H28" s="11" t="s">
        <v>28</v>
      </c>
      <c r="I28" s="11" t="s">
        <v>441</v>
      </c>
      <c r="J28" s="11" t="s">
        <v>426</v>
      </c>
      <c r="K28" s="11" t="s">
        <v>28</v>
      </c>
      <c r="L28" s="11" t="s">
        <v>28</v>
      </c>
      <c r="M28" s="11">
        <v>4</v>
      </c>
      <c r="N28" s="11" t="s">
        <v>423</v>
      </c>
      <c r="O28" s="11">
        <v>68</v>
      </c>
      <c r="P28" s="54">
        <v>2784</v>
      </c>
      <c r="Q28" s="54">
        <v>2505.6</v>
      </c>
      <c r="R28" s="54">
        <f t="shared" si="6"/>
        <v>36.847058823529409</v>
      </c>
      <c r="S28" s="11" t="s">
        <v>65</v>
      </c>
      <c r="T28" s="54">
        <v>2320</v>
      </c>
      <c r="U28" s="54">
        <f>(61.248+612.48+9.048+74.578)*T28</f>
        <v>1757061.28</v>
      </c>
      <c r="V28" s="11" t="s">
        <v>1</v>
      </c>
      <c r="W28" s="54">
        <f t="shared" si="4"/>
        <v>701.25370370370376</v>
      </c>
      <c r="X28" s="11">
        <v>3</v>
      </c>
      <c r="Y28" s="54">
        <f t="shared" si="3"/>
        <v>25839.136470588237</v>
      </c>
      <c r="Z28" s="11"/>
      <c r="AA28" s="11" t="s">
        <v>422</v>
      </c>
    </row>
    <row r="29" spans="1:27" ht="40.049999999999997" customHeight="1" x14ac:dyDescent="0.3">
      <c r="A29" s="11">
        <v>1</v>
      </c>
      <c r="B29" s="11" t="s">
        <v>753</v>
      </c>
      <c r="E29" s="11" t="s">
        <v>38</v>
      </c>
      <c r="F29" s="11"/>
      <c r="G29" s="11" t="s">
        <v>58</v>
      </c>
      <c r="H29" s="11" t="s">
        <v>28</v>
      </c>
      <c r="I29" s="11" t="s">
        <v>441</v>
      </c>
      <c r="J29" s="11" t="s">
        <v>426</v>
      </c>
      <c r="K29" s="11" t="s">
        <v>28</v>
      </c>
      <c r="L29" s="11" t="s">
        <v>28</v>
      </c>
      <c r="M29" s="11">
        <v>4</v>
      </c>
      <c r="N29" s="11" t="s">
        <v>424</v>
      </c>
      <c r="O29" s="11">
        <v>68</v>
      </c>
      <c r="P29" s="54">
        <v>2784</v>
      </c>
      <c r="Q29" s="54">
        <v>2505.6</v>
      </c>
      <c r="R29" s="54">
        <f t="shared" si="6"/>
        <v>36.847058823529409</v>
      </c>
      <c r="S29" s="11" t="s">
        <v>414</v>
      </c>
      <c r="U29" s="54">
        <f>0.02*1000</f>
        <v>20</v>
      </c>
      <c r="V29" s="11" t="s">
        <v>244</v>
      </c>
      <c r="W29" s="54">
        <f t="shared" si="4"/>
        <v>7.9821200510855686E-3</v>
      </c>
      <c r="X29" s="11">
        <v>3</v>
      </c>
      <c r="Y29" s="54">
        <f t="shared" si="3"/>
        <v>0.29411764705882354</v>
      </c>
      <c r="Z29" s="11"/>
      <c r="AA29" s="11" t="s">
        <v>29</v>
      </c>
    </row>
    <row r="30" spans="1:27" ht="40.049999999999997" customHeight="1" x14ac:dyDescent="0.3">
      <c r="A30" s="11">
        <v>1</v>
      </c>
      <c r="B30" s="11" t="s">
        <v>753</v>
      </c>
      <c r="E30" s="11" t="s">
        <v>38</v>
      </c>
      <c r="F30" s="11"/>
      <c r="G30" s="11" t="s">
        <v>58</v>
      </c>
      <c r="H30" s="11" t="s">
        <v>28</v>
      </c>
      <c r="I30" s="11" t="s">
        <v>441</v>
      </c>
      <c r="J30" s="11" t="s">
        <v>426</v>
      </c>
      <c r="K30" s="11" t="s">
        <v>28</v>
      </c>
      <c r="L30" s="11" t="s">
        <v>28</v>
      </c>
      <c r="M30" s="11">
        <v>4</v>
      </c>
      <c r="N30" s="11" t="s">
        <v>425</v>
      </c>
      <c r="O30" s="11">
        <v>68</v>
      </c>
      <c r="P30" s="54">
        <v>2784</v>
      </c>
      <c r="Q30" s="54">
        <v>2505.6</v>
      </c>
      <c r="R30" s="54">
        <f t="shared" si="6"/>
        <v>36.847058823529409</v>
      </c>
      <c r="S30" s="11" t="s">
        <v>5</v>
      </c>
      <c r="T30" s="54">
        <v>450</v>
      </c>
      <c r="U30" s="54">
        <f>(20.165+2.69)*T30</f>
        <v>10284.75</v>
      </c>
      <c r="V30" s="11" t="s">
        <v>244</v>
      </c>
      <c r="W30" s="54">
        <f t="shared" si="4"/>
        <v>4.1047054597701154</v>
      </c>
      <c r="X30" s="11">
        <v>3</v>
      </c>
      <c r="Y30" s="54">
        <f>(U30*T30)/O30</f>
        <v>68060.845588235301</v>
      </c>
      <c r="Z30" s="11"/>
      <c r="AA30" s="11" t="s">
        <v>419</v>
      </c>
    </row>
    <row r="31" spans="1:27" ht="40.049999999999997" customHeight="1" x14ac:dyDescent="0.3">
      <c r="A31" s="11">
        <v>2</v>
      </c>
      <c r="B31" s="11" t="s">
        <v>737</v>
      </c>
      <c r="C31" s="11" t="s">
        <v>377</v>
      </c>
      <c r="D31" s="11" t="s">
        <v>855</v>
      </c>
      <c r="E31" s="11" t="s">
        <v>50</v>
      </c>
      <c r="F31" s="11"/>
      <c r="G31" s="11" t="s">
        <v>58</v>
      </c>
      <c r="H31" s="11" t="s">
        <v>28</v>
      </c>
      <c r="I31" s="11" t="s">
        <v>391</v>
      </c>
      <c r="J31" s="11" t="s">
        <v>375</v>
      </c>
      <c r="K31" s="11" t="s">
        <v>376</v>
      </c>
      <c r="M31" s="11">
        <v>1</v>
      </c>
      <c r="N31" s="11">
        <v>1</v>
      </c>
      <c r="O31" s="11">
        <v>4</v>
      </c>
      <c r="P31" s="54">
        <v>291.3</v>
      </c>
      <c r="Q31" s="54">
        <f>P31*0.9</f>
        <v>262.17</v>
      </c>
      <c r="R31" s="54">
        <f t="shared" si="6"/>
        <v>65.542500000000004</v>
      </c>
      <c r="S31" s="11" t="s">
        <v>65</v>
      </c>
      <c r="T31" s="54">
        <v>2320</v>
      </c>
      <c r="U31" s="54">
        <f>51.78*T31</f>
        <v>120129.60000000001</v>
      </c>
      <c r="V31" s="11" t="s">
        <v>244</v>
      </c>
      <c r="W31" s="54">
        <f t="shared" si="4"/>
        <v>458.21261013845975</v>
      </c>
      <c r="X31" s="11">
        <v>1</v>
      </c>
      <c r="Y31" s="54">
        <f>(U31*T31)/O31</f>
        <v>69675168</v>
      </c>
      <c r="Z31" s="11" t="s">
        <v>378</v>
      </c>
      <c r="AA31" s="11" t="s">
        <v>52</v>
      </c>
    </row>
    <row r="32" spans="1:27" ht="40.049999999999997" customHeight="1" x14ac:dyDescent="0.3">
      <c r="A32" s="11">
        <v>2</v>
      </c>
      <c r="B32" s="11" t="s">
        <v>736</v>
      </c>
      <c r="E32" s="11" t="s">
        <v>50</v>
      </c>
      <c r="F32" s="11"/>
      <c r="G32" s="11" t="s">
        <v>58</v>
      </c>
      <c r="I32" s="11" t="s">
        <v>391</v>
      </c>
      <c r="J32" s="11" t="s">
        <v>375</v>
      </c>
      <c r="K32" s="11"/>
      <c r="M32" s="11">
        <v>1</v>
      </c>
      <c r="N32" s="11">
        <v>1</v>
      </c>
      <c r="O32" s="11">
        <v>4</v>
      </c>
      <c r="P32" s="54">
        <v>291.3</v>
      </c>
      <c r="Q32" s="54">
        <f>P32*0.9</f>
        <v>262.17</v>
      </c>
      <c r="R32" s="54">
        <f>Q32/O32</f>
        <v>65.542500000000004</v>
      </c>
      <c r="S32" s="11" t="s">
        <v>30</v>
      </c>
      <c r="U32" s="54">
        <f>5.18*1000</f>
        <v>5180</v>
      </c>
      <c r="V32" s="11" t="s">
        <v>244</v>
      </c>
      <c r="W32" s="54">
        <f t="shared" si="4"/>
        <v>19.758172178357555</v>
      </c>
      <c r="X32" s="11">
        <v>1</v>
      </c>
      <c r="Y32" s="54">
        <f t="shared" ref="Y32:Y38" si="7">U32/O32</f>
        <v>1295</v>
      </c>
      <c r="Z32" s="11"/>
    </row>
    <row r="33" spans="1:27" ht="40.049999999999997" customHeight="1" x14ac:dyDescent="0.3">
      <c r="A33" s="11">
        <v>2</v>
      </c>
      <c r="B33" s="11" t="s">
        <v>736</v>
      </c>
      <c r="E33" s="11" t="s">
        <v>50</v>
      </c>
      <c r="F33" s="11"/>
      <c r="G33" s="11" t="s">
        <v>58</v>
      </c>
      <c r="I33" s="11" t="s">
        <v>391</v>
      </c>
      <c r="J33" s="11" t="s">
        <v>375</v>
      </c>
      <c r="K33" s="11"/>
      <c r="M33" s="11">
        <v>1</v>
      </c>
      <c r="N33" s="11">
        <v>1</v>
      </c>
      <c r="O33" s="11">
        <v>4</v>
      </c>
      <c r="P33" s="54">
        <v>291.3</v>
      </c>
      <c r="Q33" s="54">
        <f>P33*0.9</f>
        <v>262.17</v>
      </c>
      <c r="R33" s="54">
        <f>Q33/O33</f>
        <v>65.542500000000004</v>
      </c>
      <c r="S33" s="11" t="s">
        <v>290</v>
      </c>
      <c r="U33" s="54">
        <f>0.28*1000</f>
        <v>280</v>
      </c>
      <c r="V33" s="11" t="s">
        <v>244</v>
      </c>
      <c r="W33" s="54">
        <f t="shared" si="4"/>
        <v>1.0680093069382461</v>
      </c>
      <c r="X33" s="11">
        <v>1</v>
      </c>
      <c r="Y33" s="54">
        <f t="shared" si="7"/>
        <v>70</v>
      </c>
      <c r="Z33" s="11"/>
    </row>
    <row r="34" spans="1:27" ht="40.049999999999997" customHeight="1" x14ac:dyDescent="0.3">
      <c r="A34" s="11">
        <v>2</v>
      </c>
      <c r="B34" s="11" t="s">
        <v>736</v>
      </c>
      <c r="E34" s="11" t="s">
        <v>50</v>
      </c>
      <c r="F34" s="11"/>
      <c r="G34" s="11" t="s">
        <v>58</v>
      </c>
      <c r="I34" s="11" t="s">
        <v>391</v>
      </c>
      <c r="J34" s="11" t="s">
        <v>375</v>
      </c>
      <c r="K34" s="11"/>
      <c r="M34" s="11">
        <v>1</v>
      </c>
      <c r="N34" s="11">
        <v>1</v>
      </c>
      <c r="O34" s="11">
        <v>4</v>
      </c>
      <c r="P34" s="54">
        <v>291.3</v>
      </c>
      <c r="Q34" s="54">
        <f>P34*0.9</f>
        <v>262.17</v>
      </c>
      <c r="R34" s="54">
        <f>Q34/O34</f>
        <v>65.542500000000004</v>
      </c>
      <c r="S34" s="11" t="s">
        <v>67</v>
      </c>
      <c r="T34" s="54">
        <v>450</v>
      </c>
      <c r="U34" s="54">
        <f>(0.78+19.19)*T34</f>
        <v>8986.5000000000018</v>
      </c>
      <c r="V34" s="11" t="s">
        <v>244</v>
      </c>
      <c r="W34" s="54">
        <f t="shared" si="4"/>
        <v>34.27737727428768</v>
      </c>
      <c r="X34" s="11">
        <v>1</v>
      </c>
      <c r="Y34" s="54">
        <f t="shared" si="7"/>
        <v>2246.6250000000005</v>
      </c>
      <c r="Z34" s="11"/>
    </row>
    <row r="35" spans="1:27" ht="40.049999999999997" customHeight="1" x14ac:dyDescent="0.3">
      <c r="A35" s="11">
        <v>3</v>
      </c>
      <c r="B35" s="67" t="s">
        <v>738</v>
      </c>
      <c r="C35" s="11" t="s">
        <v>856</v>
      </c>
      <c r="D35" s="11" t="s">
        <v>857</v>
      </c>
      <c r="E35" s="11" t="s">
        <v>38</v>
      </c>
      <c r="F35" s="11"/>
      <c r="G35" s="11" t="s">
        <v>58</v>
      </c>
      <c r="I35" s="11" t="s">
        <v>391</v>
      </c>
      <c r="J35" s="11" t="s">
        <v>375</v>
      </c>
      <c r="K35" s="11"/>
      <c r="M35" s="11">
        <v>3</v>
      </c>
      <c r="N35" s="11">
        <v>1</v>
      </c>
      <c r="O35" s="11">
        <v>4</v>
      </c>
      <c r="Q35" s="54">
        <v>201.6</v>
      </c>
      <c r="R35" s="54">
        <f t="shared" ref="R35:R53" si="8">Q35/O35</f>
        <v>50.4</v>
      </c>
      <c r="S35" s="11" t="s">
        <v>65</v>
      </c>
      <c r="T35" s="54">
        <v>2400</v>
      </c>
      <c r="U35" s="54">
        <f>(12.4+33.2+12.4+33.2+8.5)*T35</f>
        <v>239280</v>
      </c>
      <c r="V35" s="11" t="s">
        <v>244</v>
      </c>
      <c r="W35" s="54">
        <f t="shared" si="4"/>
        <v>1186.9047619047619</v>
      </c>
      <c r="X35" s="11">
        <v>1</v>
      </c>
      <c r="Y35" s="54">
        <f t="shared" si="7"/>
        <v>59820</v>
      </c>
      <c r="Z35" s="11" t="s">
        <v>248</v>
      </c>
      <c r="AA35" s="11" t="s">
        <v>480</v>
      </c>
    </row>
    <row r="36" spans="1:27" ht="40.049999999999997" customHeight="1" x14ac:dyDescent="0.3">
      <c r="A36" s="11">
        <v>3</v>
      </c>
      <c r="B36" s="70" t="s">
        <v>739</v>
      </c>
      <c r="E36" s="11" t="s">
        <v>38</v>
      </c>
      <c r="F36" s="11"/>
      <c r="G36" s="11" t="s">
        <v>58</v>
      </c>
      <c r="I36" s="11" t="s">
        <v>391</v>
      </c>
      <c r="J36" s="11" t="s">
        <v>375</v>
      </c>
      <c r="K36" s="11"/>
      <c r="M36" s="11">
        <v>3</v>
      </c>
      <c r="N36" s="11">
        <v>1</v>
      </c>
      <c r="O36" s="11">
        <v>4</v>
      </c>
      <c r="Q36" s="54">
        <v>201.6</v>
      </c>
      <c r="R36" s="54">
        <f t="shared" si="8"/>
        <v>50.4</v>
      </c>
      <c r="S36" s="11" t="s">
        <v>30</v>
      </c>
      <c r="U36" s="54">
        <f>4790.9+2673+336+1000.9+336+1000.9+215.8+169.9*4+281.6*5</f>
        <v>12441.099999999999</v>
      </c>
      <c r="V36" s="11" t="s">
        <v>244</v>
      </c>
      <c r="W36" s="54">
        <f t="shared" si="4"/>
        <v>61.71180555555555</v>
      </c>
      <c r="X36" s="11">
        <v>1</v>
      </c>
      <c r="Y36" s="54">
        <f t="shared" si="7"/>
        <v>3110.2749999999996</v>
      </c>
      <c r="Z36" s="11"/>
    </row>
    <row r="37" spans="1:27" s="35" customFormat="1" ht="40.049999999999997" customHeight="1" x14ac:dyDescent="0.3">
      <c r="A37" s="42">
        <v>3</v>
      </c>
      <c r="B37" s="70" t="s">
        <v>739</v>
      </c>
      <c r="C37" s="42"/>
      <c r="D37" s="42"/>
      <c r="E37" s="11" t="s">
        <v>38</v>
      </c>
      <c r="F37" s="11"/>
      <c r="G37" s="11" t="s">
        <v>58</v>
      </c>
      <c r="H37" s="11"/>
      <c r="I37" s="11" t="s">
        <v>391</v>
      </c>
      <c r="J37" s="11" t="s">
        <v>375</v>
      </c>
      <c r="K37" s="11"/>
      <c r="L37" s="11"/>
      <c r="M37" s="11">
        <v>3</v>
      </c>
      <c r="N37" s="11">
        <v>1</v>
      </c>
      <c r="O37" s="11">
        <v>4</v>
      </c>
      <c r="P37" s="11"/>
      <c r="Q37" s="54">
        <v>201.6</v>
      </c>
      <c r="R37" s="54">
        <f t="shared" si="8"/>
        <v>50.4</v>
      </c>
      <c r="S37" s="11" t="s">
        <v>67</v>
      </c>
      <c r="T37" s="54">
        <v>850</v>
      </c>
      <c r="U37" s="54">
        <f>(4+1.7+0.6+0.6+4.1+7*3+2.6)*T37</f>
        <v>29410</v>
      </c>
      <c r="V37" s="11" t="s">
        <v>244</v>
      </c>
      <c r="W37" s="54">
        <f t="shared" si="4"/>
        <v>145.88293650793651</v>
      </c>
      <c r="X37" s="11">
        <v>1</v>
      </c>
      <c r="Y37" s="54">
        <f t="shared" si="7"/>
        <v>7352.5</v>
      </c>
      <c r="Z37" s="42"/>
      <c r="AA37" s="11" t="s">
        <v>598</v>
      </c>
    </row>
    <row r="38" spans="1:27" ht="40.049999999999997" customHeight="1" x14ac:dyDescent="0.3">
      <c r="A38" s="11">
        <v>4</v>
      </c>
      <c r="B38" s="11" t="s">
        <v>741</v>
      </c>
      <c r="C38" s="11" t="s">
        <v>742</v>
      </c>
      <c r="D38" s="11" t="s">
        <v>858</v>
      </c>
      <c r="E38" s="11" t="s">
        <v>481</v>
      </c>
      <c r="F38" s="11"/>
      <c r="G38" s="11" t="s">
        <v>58</v>
      </c>
      <c r="I38" s="11" t="s">
        <v>391</v>
      </c>
      <c r="J38" s="11" t="s">
        <v>483</v>
      </c>
      <c r="K38" s="11"/>
      <c r="L38" s="11">
        <v>1972</v>
      </c>
      <c r="M38" s="11">
        <v>1</v>
      </c>
      <c r="N38" s="11">
        <v>1</v>
      </c>
      <c r="O38" s="11">
        <v>4</v>
      </c>
      <c r="Q38" s="54">
        <v>92.9</v>
      </c>
      <c r="R38" s="54">
        <f t="shared" si="8"/>
        <v>23.225000000000001</v>
      </c>
      <c r="S38" s="11" t="s">
        <v>65</v>
      </c>
      <c r="T38" s="54">
        <v>2320</v>
      </c>
      <c r="U38" s="54">
        <f>(0.23+6.94)*T38</f>
        <v>16634.400000000001</v>
      </c>
      <c r="V38" s="11" t="s">
        <v>244</v>
      </c>
      <c r="W38" s="54">
        <f t="shared" si="4"/>
        <v>179.05705059203444</v>
      </c>
      <c r="X38" s="11">
        <v>1</v>
      </c>
      <c r="Y38" s="54">
        <f t="shared" si="7"/>
        <v>4158.6000000000004</v>
      </c>
      <c r="Z38" s="11" t="s">
        <v>484</v>
      </c>
      <c r="AA38" s="11" t="s">
        <v>480</v>
      </c>
    </row>
    <row r="39" spans="1:27" ht="40.049999999999997" customHeight="1" x14ac:dyDescent="0.3">
      <c r="A39" s="11">
        <v>4</v>
      </c>
      <c r="B39" s="11" t="s">
        <v>740</v>
      </c>
      <c r="E39" s="11" t="s">
        <v>481</v>
      </c>
      <c r="F39" s="11"/>
      <c r="G39" s="11" t="s">
        <v>58</v>
      </c>
      <c r="I39" s="11" t="s">
        <v>391</v>
      </c>
      <c r="J39" s="11" t="s">
        <v>483</v>
      </c>
      <c r="K39" s="11"/>
      <c r="M39" s="11">
        <v>1</v>
      </c>
      <c r="N39" s="11">
        <v>1</v>
      </c>
      <c r="O39" s="11">
        <v>4</v>
      </c>
      <c r="Q39" s="54">
        <v>92.9</v>
      </c>
      <c r="R39" s="54">
        <f t="shared" si="8"/>
        <v>23.225000000000001</v>
      </c>
      <c r="S39" s="11" t="s">
        <v>30</v>
      </c>
      <c r="U39" s="54">
        <f>451.63+215.16+53.43</f>
        <v>720.21999999999991</v>
      </c>
      <c r="V39" s="11" t="s">
        <v>244</v>
      </c>
      <c r="W39" s="54">
        <f t="shared" si="4"/>
        <v>7.7526372443487608</v>
      </c>
      <c r="X39" s="11">
        <v>1</v>
      </c>
      <c r="Y39" s="54">
        <f t="shared" ref="Y39:Y45" si="9">U39/O39</f>
        <v>180.05499999999998</v>
      </c>
      <c r="Z39" s="11"/>
    </row>
    <row r="40" spans="1:27" ht="40.049999999999997" customHeight="1" x14ac:dyDescent="0.3">
      <c r="A40" s="11">
        <v>4</v>
      </c>
      <c r="B40" s="11" t="s">
        <v>740</v>
      </c>
      <c r="E40" s="11" t="s">
        <v>481</v>
      </c>
      <c r="F40" s="11"/>
      <c r="G40" s="11" t="s">
        <v>58</v>
      </c>
      <c r="I40" s="11" t="s">
        <v>391</v>
      </c>
      <c r="J40" s="11" t="s">
        <v>483</v>
      </c>
      <c r="K40" s="11"/>
      <c r="M40" s="11">
        <v>1</v>
      </c>
      <c r="N40" s="11">
        <v>1</v>
      </c>
      <c r="O40" s="11">
        <v>4</v>
      </c>
      <c r="Q40" s="54">
        <v>92.9</v>
      </c>
      <c r="R40" s="54">
        <f t="shared" si="8"/>
        <v>23.225000000000001</v>
      </c>
      <c r="S40" s="11" t="s">
        <v>30</v>
      </c>
      <c r="U40" s="54">
        <v>1865.4</v>
      </c>
      <c r="V40" s="11" t="s">
        <v>244</v>
      </c>
      <c r="W40" s="54">
        <f t="shared" si="4"/>
        <v>20.079655543595262</v>
      </c>
      <c r="X40" s="11">
        <v>1</v>
      </c>
      <c r="Y40" s="54">
        <f t="shared" si="9"/>
        <v>466.35</v>
      </c>
      <c r="Z40" s="11"/>
      <c r="AA40" s="11" t="s">
        <v>627</v>
      </c>
    </row>
    <row r="41" spans="1:27" ht="40.049999999999997" customHeight="1" x14ac:dyDescent="0.3">
      <c r="A41" s="11">
        <v>4</v>
      </c>
      <c r="B41" s="11" t="s">
        <v>740</v>
      </c>
      <c r="E41" s="11" t="s">
        <v>481</v>
      </c>
      <c r="F41" s="11"/>
      <c r="G41" s="11" t="s">
        <v>58</v>
      </c>
      <c r="I41" s="11" t="s">
        <v>391</v>
      </c>
      <c r="J41" s="11" t="s">
        <v>483</v>
      </c>
      <c r="K41" s="11"/>
      <c r="M41" s="11">
        <v>1</v>
      </c>
      <c r="N41" s="11">
        <v>1</v>
      </c>
      <c r="O41" s="11">
        <v>4</v>
      </c>
      <c r="Q41" s="54">
        <v>92.9</v>
      </c>
      <c r="R41" s="54">
        <f t="shared" si="8"/>
        <v>23.225000000000001</v>
      </c>
      <c r="S41" s="11" t="s">
        <v>414</v>
      </c>
      <c r="U41" s="54">
        <v>307.06</v>
      </c>
      <c r="V41" s="11" t="s">
        <v>244</v>
      </c>
      <c r="W41" s="54">
        <f t="shared" si="4"/>
        <v>3.305274488697524</v>
      </c>
      <c r="X41" s="11">
        <v>1</v>
      </c>
      <c r="Y41" s="54">
        <f t="shared" si="9"/>
        <v>76.765000000000001</v>
      </c>
      <c r="Z41" s="11"/>
    </row>
    <row r="42" spans="1:27" ht="40.049999999999997" customHeight="1" x14ac:dyDescent="0.3">
      <c r="A42" s="11">
        <v>4</v>
      </c>
      <c r="B42" s="11" t="s">
        <v>740</v>
      </c>
      <c r="E42" s="11" t="s">
        <v>481</v>
      </c>
      <c r="F42" s="11"/>
      <c r="G42" s="11" t="s">
        <v>58</v>
      </c>
      <c r="I42" s="11" t="s">
        <v>391</v>
      </c>
      <c r="J42" s="11" t="s">
        <v>483</v>
      </c>
      <c r="K42" s="11"/>
      <c r="M42" s="11">
        <v>1</v>
      </c>
      <c r="N42" s="11">
        <v>1</v>
      </c>
      <c r="O42" s="11">
        <v>4</v>
      </c>
      <c r="Q42" s="54">
        <v>92.9</v>
      </c>
      <c r="R42" s="54">
        <f t="shared" si="8"/>
        <v>23.225000000000001</v>
      </c>
      <c r="S42" s="11" t="s">
        <v>30</v>
      </c>
      <c r="U42" s="54">
        <v>45.9</v>
      </c>
      <c r="V42" s="11" t="s">
        <v>244</v>
      </c>
      <c r="W42" s="54">
        <f t="shared" si="4"/>
        <v>0.49407965554359523</v>
      </c>
      <c r="X42" s="11">
        <v>1</v>
      </c>
      <c r="Y42" s="54">
        <f t="shared" si="9"/>
        <v>11.475</v>
      </c>
      <c r="Z42" s="11"/>
    </row>
    <row r="43" spans="1:27" ht="40.049999999999997" customHeight="1" x14ac:dyDescent="0.3">
      <c r="A43" s="11">
        <v>4</v>
      </c>
      <c r="B43" s="11" t="s">
        <v>740</v>
      </c>
      <c r="E43" s="11" t="s">
        <v>481</v>
      </c>
      <c r="F43" s="11"/>
      <c r="G43" s="11" t="s">
        <v>58</v>
      </c>
      <c r="I43" s="11" t="s">
        <v>391</v>
      </c>
      <c r="J43" s="11" t="s">
        <v>483</v>
      </c>
      <c r="K43" s="11"/>
      <c r="M43" s="11">
        <v>1</v>
      </c>
      <c r="N43" s="11">
        <v>1</v>
      </c>
      <c r="O43" s="11">
        <v>4</v>
      </c>
      <c r="Q43" s="54">
        <v>92.9</v>
      </c>
      <c r="R43" s="54">
        <f t="shared" si="8"/>
        <v>23.225000000000001</v>
      </c>
      <c r="S43" s="11" t="s">
        <v>67</v>
      </c>
      <c r="T43" s="54">
        <v>450</v>
      </c>
      <c r="U43" s="54">
        <f>(23.36+3.11+0.32)*T43</f>
        <v>12055.5</v>
      </c>
      <c r="V43" s="11" t="s">
        <v>244</v>
      </c>
      <c r="W43" s="54">
        <f t="shared" si="4"/>
        <v>129.76856835306782</v>
      </c>
      <c r="X43" s="11">
        <v>1</v>
      </c>
      <c r="Y43" s="54">
        <f t="shared" si="9"/>
        <v>3013.875</v>
      </c>
      <c r="Z43" s="11"/>
    </row>
    <row r="44" spans="1:27" ht="40.049999999999997" customHeight="1" x14ac:dyDescent="0.3">
      <c r="A44" s="11">
        <v>4</v>
      </c>
      <c r="B44" s="11" t="s">
        <v>740</v>
      </c>
      <c r="E44" s="11" t="s">
        <v>481</v>
      </c>
      <c r="F44" s="11"/>
      <c r="G44" s="11" t="s">
        <v>58</v>
      </c>
      <c r="I44" s="11" t="s">
        <v>391</v>
      </c>
      <c r="J44" s="11" t="s">
        <v>483</v>
      </c>
      <c r="K44" s="11"/>
      <c r="M44" s="11">
        <v>1</v>
      </c>
      <c r="N44" s="11">
        <v>1</v>
      </c>
      <c r="O44" s="11">
        <v>4</v>
      </c>
      <c r="Q44" s="54">
        <v>92.9</v>
      </c>
      <c r="R44" s="54">
        <f t="shared" si="8"/>
        <v>23.225000000000001</v>
      </c>
      <c r="S44" s="11" t="s">
        <v>437</v>
      </c>
      <c r="U44" s="54">
        <f>115.03</f>
        <v>115.03</v>
      </c>
      <c r="V44" s="11" t="s">
        <v>244</v>
      </c>
      <c r="W44" s="54">
        <f t="shared" si="4"/>
        <v>1.2382131324004304</v>
      </c>
      <c r="X44" s="11">
        <v>1</v>
      </c>
      <c r="Y44" s="54">
        <f t="shared" si="9"/>
        <v>28.7575</v>
      </c>
      <c r="Z44" s="11"/>
    </row>
    <row r="45" spans="1:27" ht="40.049999999999997" customHeight="1" x14ac:dyDescent="0.3">
      <c r="A45" s="11">
        <v>4</v>
      </c>
      <c r="B45" s="11" t="s">
        <v>740</v>
      </c>
      <c r="E45" s="11" t="s">
        <v>481</v>
      </c>
      <c r="F45" s="11"/>
      <c r="G45" s="11" t="s">
        <v>58</v>
      </c>
      <c r="I45" s="11" t="s">
        <v>391</v>
      </c>
      <c r="J45" s="11" t="s">
        <v>482</v>
      </c>
      <c r="K45" s="11"/>
      <c r="L45" s="11">
        <v>1996</v>
      </c>
      <c r="M45" s="11">
        <v>1</v>
      </c>
      <c r="N45" s="11">
        <v>1</v>
      </c>
      <c r="O45" s="11">
        <v>4</v>
      </c>
      <c r="Q45" s="54">
        <v>92.9</v>
      </c>
      <c r="R45" s="54">
        <f t="shared" si="8"/>
        <v>23.225000000000001</v>
      </c>
      <c r="S45" s="11" t="s">
        <v>65</v>
      </c>
      <c r="T45" s="54">
        <v>2320</v>
      </c>
      <c r="U45" s="54">
        <f>1.15*T45</f>
        <v>2668</v>
      </c>
      <c r="V45" s="11" t="s">
        <v>244</v>
      </c>
      <c r="W45" s="54">
        <f t="shared" si="4"/>
        <v>28.719052744886973</v>
      </c>
      <c r="X45" s="11">
        <v>1</v>
      </c>
      <c r="Y45" s="54">
        <f t="shared" si="9"/>
        <v>667</v>
      </c>
      <c r="Z45" s="11"/>
    </row>
    <row r="46" spans="1:27" ht="40.049999999999997" customHeight="1" x14ac:dyDescent="0.3">
      <c r="A46" s="11">
        <v>4</v>
      </c>
      <c r="B46" s="11" t="s">
        <v>740</v>
      </c>
      <c r="E46" s="11" t="s">
        <v>481</v>
      </c>
      <c r="F46" s="11"/>
      <c r="G46" s="11" t="s">
        <v>58</v>
      </c>
      <c r="I46" s="11" t="s">
        <v>391</v>
      </c>
      <c r="J46" s="11" t="s">
        <v>482</v>
      </c>
      <c r="K46" s="11"/>
      <c r="M46" s="11">
        <v>1</v>
      </c>
      <c r="N46" s="11">
        <v>1</v>
      </c>
      <c r="O46" s="11">
        <v>4</v>
      </c>
      <c r="Q46" s="54">
        <v>92.9</v>
      </c>
      <c r="R46" s="54">
        <f t="shared" si="8"/>
        <v>23.225000000000001</v>
      </c>
      <c r="S46" s="11" t="s">
        <v>30</v>
      </c>
      <c r="U46" s="54">
        <f>217.9</f>
        <v>217.9</v>
      </c>
      <c r="V46" s="11" t="s">
        <v>244</v>
      </c>
      <c r="W46" s="54">
        <f t="shared" ref="W46:W53" si="10">U46/Q46</f>
        <v>2.3455328310010763</v>
      </c>
      <c r="X46" s="11">
        <v>1</v>
      </c>
      <c r="Y46" s="54">
        <f t="shared" ref="Y46:Y56" si="11">U46/O46</f>
        <v>54.475000000000001</v>
      </c>
      <c r="Z46" s="11"/>
    </row>
    <row r="47" spans="1:27" ht="40.049999999999997" customHeight="1" x14ac:dyDescent="0.3">
      <c r="A47" s="11">
        <v>4</v>
      </c>
      <c r="B47" s="11" t="s">
        <v>740</v>
      </c>
      <c r="E47" s="11" t="s">
        <v>481</v>
      </c>
      <c r="F47" s="11"/>
      <c r="G47" s="11" t="s">
        <v>58</v>
      </c>
      <c r="I47" s="11" t="s">
        <v>391</v>
      </c>
      <c r="J47" s="11" t="s">
        <v>482</v>
      </c>
      <c r="K47" s="11"/>
      <c r="M47" s="11">
        <v>1</v>
      </c>
      <c r="N47" s="11">
        <v>1</v>
      </c>
      <c r="O47" s="11">
        <v>4</v>
      </c>
      <c r="Q47" s="54">
        <v>92.9</v>
      </c>
      <c r="R47" s="54">
        <f t="shared" si="8"/>
        <v>23.225000000000001</v>
      </c>
      <c r="S47" s="11" t="s">
        <v>30</v>
      </c>
      <c r="U47" s="54">
        <v>1605.5</v>
      </c>
      <c r="V47" s="11" t="s">
        <v>244</v>
      </c>
      <c r="W47" s="54">
        <f t="shared" si="10"/>
        <v>17.282023681377826</v>
      </c>
      <c r="X47" s="11">
        <v>1</v>
      </c>
      <c r="Y47" s="54">
        <f t="shared" si="11"/>
        <v>401.375</v>
      </c>
      <c r="Z47" s="11"/>
      <c r="AA47" s="11" t="s">
        <v>628</v>
      </c>
    </row>
    <row r="48" spans="1:27" ht="40.049999999999997" customHeight="1" x14ac:dyDescent="0.3">
      <c r="A48" s="11">
        <v>4</v>
      </c>
      <c r="B48" s="11" t="s">
        <v>740</v>
      </c>
      <c r="E48" s="11" t="s">
        <v>481</v>
      </c>
      <c r="F48" s="11"/>
      <c r="G48" s="11" t="s">
        <v>58</v>
      </c>
      <c r="I48" s="11" t="s">
        <v>391</v>
      </c>
      <c r="J48" s="11" t="s">
        <v>482</v>
      </c>
      <c r="K48" s="11"/>
      <c r="M48" s="11">
        <v>1</v>
      </c>
      <c r="N48" s="11">
        <v>1</v>
      </c>
      <c r="O48" s="11">
        <v>4</v>
      </c>
      <c r="Q48" s="54">
        <v>92.9</v>
      </c>
      <c r="R48" s="54">
        <f t="shared" si="8"/>
        <v>23.225000000000001</v>
      </c>
      <c r="S48" s="11" t="s">
        <v>414</v>
      </c>
      <c r="U48" s="54">
        <v>139.1</v>
      </c>
      <c r="V48" s="11" t="s">
        <v>244</v>
      </c>
      <c r="W48" s="54">
        <f t="shared" si="10"/>
        <v>1.4973089343379977</v>
      </c>
      <c r="X48" s="11">
        <v>1</v>
      </c>
      <c r="Y48" s="54">
        <f t="shared" si="11"/>
        <v>34.774999999999999</v>
      </c>
      <c r="Z48" s="11"/>
    </row>
    <row r="49" spans="1:27" ht="40.049999999999997" customHeight="1" x14ac:dyDescent="0.3">
      <c r="A49" s="11">
        <v>4</v>
      </c>
      <c r="B49" s="11" t="s">
        <v>740</v>
      </c>
      <c r="E49" s="11" t="s">
        <v>481</v>
      </c>
      <c r="F49" s="11"/>
      <c r="G49" s="11" t="s">
        <v>58</v>
      </c>
      <c r="I49" s="11" t="s">
        <v>391</v>
      </c>
      <c r="J49" s="11" t="s">
        <v>482</v>
      </c>
      <c r="K49" s="11"/>
      <c r="M49" s="11">
        <v>1</v>
      </c>
      <c r="N49" s="11">
        <v>1</v>
      </c>
      <c r="O49" s="11">
        <v>4</v>
      </c>
      <c r="Q49" s="54">
        <v>92.9</v>
      </c>
      <c r="R49" s="54">
        <f t="shared" si="8"/>
        <v>23.225000000000001</v>
      </c>
      <c r="S49" s="11" t="s">
        <v>30</v>
      </c>
      <c r="U49" s="54">
        <v>45.9</v>
      </c>
      <c r="V49" s="11" t="s">
        <v>244</v>
      </c>
      <c r="W49" s="54">
        <f t="shared" si="10"/>
        <v>0.49407965554359523</v>
      </c>
      <c r="X49" s="11">
        <v>1</v>
      </c>
      <c r="Y49" s="54">
        <f t="shared" si="11"/>
        <v>11.475</v>
      </c>
      <c r="Z49" s="11"/>
    </row>
    <row r="50" spans="1:27" ht="40.049999999999997" customHeight="1" x14ac:dyDescent="0.3">
      <c r="A50" s="11">
        <v>4</v>
      </c>
      <c r="B50" s="11" t="s">
        <v>740</v>
      </c>
      <c r="E50" s="11" t="s">
        <v>481</v>
      </c>
      <c r="F50" s="11"/>
      <c r="G50" s="11" t="s">
        <v>58</v>
      </c>
      <c r="I50" s="11" t="s">
        <v>391</v>
      </c>
      <c r="J50" s="11" t="s">
        <v>482</v>
      </c>
      <c r="K50" s="11"/>
      <c r="M50" s="11">
        <v>1</v>
      </c>
      <c r="N50" s="11">
        <v>1</v>
      </c>
      <c r="O50" s="11">
        <v>4</v>
      </c>
      <c r="Q50" s="54">
        <v>92.9</v>
      </c>
      <c r="R50" s="54">
        <f t="shared" si="8"/>
        <v>23.225000000000001</v>
      </c>
      <c r="S50" s="11" t="s">
        <v>290</v>
      </c>
      <c r="U50" s="54">
        <f>243+10</f>
        <v>253</v>
      </c>
      <c r="V50" s="11" t="s">
        <v>244</v>
      </c>
      <c r="W50" s="54">
        <f t="shared" si="10"/>
        <v>2.7233584499461787</v>
      </c>
      <c r="X50" s="11">
        <v>1</v>
      </c>
      <c r="Y50" s="54">
        <f t="shared" si="11"/>
        <v>63.25</v>
      </c>
      <c r="Z50" s="11"/>
    </row>
    <row r="51" spans="1:27" ht="40.049999999999997" customHeight="1" x14ac:dyDescent="0.3">
      <c r="A51" s="11">
        <v>4</v>
      </c>
      <c r="B51" s="11" t="s">
        <v>740</v>
      </c>
      <c r="E51" s="11" t="s">
        <v>481</v>
      </c>
      <c r="F51" s="11"/>
      <c r="G51" s="11" t="s">
        <v>58</v>
      </c>
      <c r="I51" s="11" t="s">
        <v>391</v>
      </c>
      <c r="J51" s="11" t="s">
        <v>482</v>
      </c>
      <c r="K51" s="11"/>
      <c r="M51" s="11">
        <v>1</v>
      </c>
      <c r="N51" s="11">
        <v>1</v>
      </c>
      <c r="O51" s="11">
        <v>4</v>
      </c>
      <c r="Q51" s="54">
        <v>92.9</v>
      </c>
      <c r="R51" s="54">
        <f t="shared" si="8"/>
        <v>23.225000000000001</v>
      </c>
      <c r="S51" s="11" t="s">
        <v>67</v>
      </c>
      <c r="U51" s="54">
        <v>1305</v>
      </c>
      <c r="V51" s="11" t="s">
        <v>244</v>
      </c>
      <c r="W51" s="54">
        <f t="shared" si="10"/>
        <v>14.047362755651237</v>
      </c>
      <c r="X51" s="11">
        <v>1</v>
      </c>
      <c r="Y51" s="54">
        <f t="shared" si="11"/>
        <v>326.25</v>
      </c>
      <c r="Z51" s="11"/>
    </row>
    <row r="52" spans="1:27" ht="40.049999999999997" customHeight="1" x14ac:dyDescent="0.3">
      <c r="A52" s="11">
        <v>4</v>
      </c>
      <c r="B52" s="11" t="s">
        <v>740</v>
      </c>
      <c r="E52" s="11" t="s">
        <v>481</v>
      </c>
      <c r="F52" s="11"/>
      <c r="G52" s="11" t="s">
        <v>58</v>
      </c>
      <c r="I52" s="11" t="s">
        <v>391</v>
      </c>
      <c r="J52" s="11" t="s">
        <v>482</v>
      </c>
      <c r="K52" s="11"/>
      <c r="M52" s="11">
        <v>1</v>
      </c>
      <c r="N52" s="11">
        <v>1</v>
      </c>
      <c r="O52" s="11">
        <v>4</v>
      </c>
      <c r="Q52" s="54">
        <v>92.9</v>
      </c>
      <c r="R52" s="54">
        <f t="shared" si="8"/>
        <v>23.225000000000001</v>
      </c>
      <c r="S52" s="11" t="s">
        <v>67</v>
      </c>
      <c r="T52" s="54">
        <v>450</v>
      </c>
      <c r="U52" s="54">
        <f>(14.7+1.88)*T52</f>
        <v>7460.9999999999991</v>
      </c>
      <c r="V52" s="11" t="s">
        <v>244</v>
      </c>
      <c r="W52" s="54">
        <f>U52/Q52</f>
        <v>80.312163616792233</v>
      </c>
      <c r="X52" s="11">
        <v>1</v>
      </c>
      <c r="Y52" s="54">
        <f>U52/O52</f>
        <v>1865.2499999999998</v>
      </c>
      <c r="Z52" s="11"/>
    </row>
    <row r="53" spans="1:27" ht="40.049999999999997" customHeight="1" x14ac:dyDescent="0.3">
      <c r="A53" s="11">
        <v>4</v>
      </c>
      <c r="B53" s="11" t="s">
        <v>740</v>
      </c>
      <c r="E53" s="11" t="s">
        <v>481</v>
      </c>
      <c r="F53" s="11"/>
      <c r="G53" s="11" t="s">
        <v>58</v>
      </c>
      <c r="I53" s="11" t="s">
        <v>391</v>
      </c>
      <c r="J53" s="11" t="s">
        <v>482</v>
      </c>
      <c r="K53" s="11"/>
      <c r="M53" s="11">
        <v>1</v>
      </c>
      <c r="N53" s="11">
        <v>1</v>
      </c>
      <c r="O53" s="11">
        <v>4</v>
      </c>
      <c r="Q53" s="54">
        <v>92.9</v>
      </c>
      <c r="R53" s="54">
        <f t="shared" si="8"/>
        <v>23.225000000000001</v>
      </c>
      <c r="S53" s="11" t="s">
        <v>437</v>
      </c>
      <c r="U53" s="54">
        <v>115</v>
      </c>
      <c r="V53" s="11" t="s">
        <v>244</v>
      </c>
      <c r="W53" s="54">
        <f t="shared" si="10"/>
        <v>1.2378902045209903</v>
      </c>
      <c r="X53" s="11">
        <v>1</v>
      </c>
      <c r="Y53" s="54">
        <f t="shared" si="11"/>
        <v>28.75</v>
      </c>
      <c r="Z53" s="11"/>
    </row>
    <row r="54" spans="1:27" ht="40.049999999999997" customHeight="1" x14ac:dyDescent="0.3">
      <c r="A54" s="11">
        <v>5</v>
      </c>
      <c r="B54" s="11" t="s">
        <v>744</v>
      </c>
      <c r="C54" s="11" t="s">
        <v>593</v>
      </c>
      <c r="D54" s="11" t="s">
        <v>859</v>
      </c>
      <c r="E54" s="11" t="s">
        <v>38</v>
      </c>
      <c r="F54" s="11"/>
      <c r="G54" s="11" t="s">
        <v>58</v>
      </c>
      <c r="I54" s="11" t="s">
        <v>70</v>
      </c>
      <c r="J54" s="11" t="s">
        <v>482</v>
      </c>
      <c r="K54" s="11"/>
      <c r="M54" s="11">
        <v>7</v>
      </c>
      <c r="N54" s="11">
        <v>63</v>
      </c>
      <c r="O54" s="11">
        <f>4*N54</f>
        <v>252</v>
      </c>
      <c r="P54" s="11">
        <v>3943</v>
      </c>
      <c r="Q54" s="54">
        <f>P54*0.9</f>
        <v>3548.7000000000003</v>
      </c>
      <c r="R54" s="54">
        <f t="shared" ref="R54:R69" si="12">Q54/O54</f>
        <v>14.082142857142859</v>
      </c>
      <c r="S54" s="11" t="s">
        <v>65</v>
      </c>
      <c r="U54" s="54">
        <f>3949*1000</f>
        <v>3949000</v>
      </c>
      <c r="V54" s="11" t="s">
        <v>244</v>
      </c>
      <c r="W54" s="54">
        <f t="shared" ref="W54:W61" si="13">U54/Q54</f>
        <v>1112.8018711077295</v>
      </c>
      <c r="X54" s="11">
        <v>4</v>
      </c>
      <c r="Y54" s="54">
        <f t="shared" si="11"/>
        <v>15670.63492063492</v>
      </c>
      <c r="Z54" s="11"/>
    </row>
    <row r="55" spans="1:27" ht="40.049999999999997" customHeight="1" x14ac:dyDescent="0.3">
      <c r="A55" s="11">
        <v>5</v>
      </c>
      <c r="B55" s="11" t="s">
        <v>743</v>
      </c>
      <c r="E55" s="11" t="s">
        <v>38</v>
      </c>
      <c r="F55" s="11"/>
      <c r="G55" s="11" t="s">
        <v>58</v>
      </c>
      <c r="I55" s="11" t="s">
        <v>70</v>
      </c>
      <c r="J55" s="11" t="s">
        <v>482</v>
      </c>
      <c r="K55" s="11"/>
      <c r="M55" s="11">
        <v>7</v>
      </c>
      <c r="N55" s="11">
        <v>63</v>
      </c>
      <c r="O55" s="11">
        <f>4*N55</f>
        <v>252</v>
      </c>
      <c r="P55" s="11">
        <v>3943</v>
      </c>
      <c r="Q55" s="54">
        <f>P55*0.9</f>
        <v>3548.7000000000003</v>
      </c>
      <c r="R55" s="54">
        <f t="shared" si="12"/>
        <v>14.082142857142859</v>
      </c>
      <c r="S55" s="11" t="s">
        <v>30</v>
      </c>
      <c r="U55" s="54">
        <f>871*1000</f>
        <v>871000</v>
      </c>
      <c r="V55" s="11" t="s">
        <v>244</v>
      </c>
      <c r="W55" s="54">
        <f t="shared" si="13"/>
        <v>245.44199284244934</v>
      </c>
      <c r="X55" s="11">
        <v>4</v>
      </c>
      <c r="Y55" s="54">
        <f t="shared" si="11"/>
        <v>3456.3492063492063</v>
      </c>
      <c r="Z55" s="11"/>
    </row>
    <row r="56" spans="1:27" ht="40.049999999999997" customHeight="1" x14ac:dyDescent="0.3">
      <c r="A56" s="11">
        <v>5</v>
      </c>
      <c r="B56" s="11" t="s">
        <v>743</v>
      </c>
      <c r="E56" s="11" t="s">
        <v>38</v>
      </c>
      <c r="F56" s="11"/>
      <c r="G56" s="11" t="s">
        <v>58</v>
      </c>
      <c r="I56" s="11" t="s">
        <v>70</v>
      </c>
      <c r="J56" s="11" t="s">
        <v>482</v>
      </c>
      <c r="K56" s="11"/>
      <c r="M56" s="11">
        <v>7</v>
      </c>
      <c r="N56" s="11">
        <v>63</v>
      </c>
      <c r="O56" s="11">
        <f>4*N56</f>
        <v>252</v>
      </c>
      <c r="P56" s="11">
        <v>3943</v>
      </c>
      <c r="Q56" s="54">
        <f>P56*0.9</f>
        <v>3548.7000000000003</v>
      </c>
      <c r="R56" s="54">
        <f t="shared" si="12"/>
        <v>14.082142857142859</v>
      </c>
      <c r="S56" s="11" t="s">
        <v>67</v>
      </c>
      <c r="U56" s="54">
        <f>996*1000</f>
        <v>996000</v>
      </c>
      <c r="V56" s="11" t="s">
        <v>244</v>
      </c>
      <c r="W56" s="54">
        <f t="shared" si="13"/>
        <v>280.66615943866765</v>
      </c>
      <c r="X56" s="11">
        <v>4</v>
      </c>
      <c r="Y56" s="54">
        <f t="shared" si="11"/>
        <v>3952.3809523809523</v>
      </c>
      <c r="Z56" s="11"/>
    </row>
    <row r="57" spans="1:27" ht="40.049999999999997" customHeight="1" x14ac:dyDescent="0.3">
      <c r="A57" s="11">
        <v>6</v>
      </c>
      <c r="B57" s="11" t="s">
        <v>746</v>
      </c>
      <c r="C57" s="11" t="s">
        <v>594</v>
      </c>
      <c r="D57" s="11" t="s">
        <v>860</v>
      </c>
      <c r="E57" s="11" t="s">
        <v>50</v>
      </c>
      <c r="F57" s="11"/>
      <c r="G57" s="11" t="s">
        <v>58</v>
      </c>
      <c r="I57" s="11" t="s">
        <v>391</v>
      </c>
      <c r="J57" s="11" t="s">
        <v>595</v>
      </c>
      <c r="K57" s="11" t="s">
        <v>596</v>
      </c>
      <c r="L57" s="11">
        <v>1992</v>
      </c>
      <c r="M57" s="11">
        <v>2</v>
      </c>
      <c r="N57" s="11">
        <v>1</v>
      </c>
      <c r="O57" s="11">
        <v>4</v>
      </c>
      <c r="Q57" s="54">
        <v>128</v>
      </c>
      <c r="R57" s="54">
        <f t="shared" si="12"/>
        <v>32</v>
      </c>
      <c r="S57" s="11" t="s">
        <v>67</v>
      </c>
      <c r="T57" s="54">
        <v>450</v>
      </c>
      <c r="U57" s="54">
        <f>T57*21.5</f>
        <v>9675</v>
      </c>
      <c r="V57" s="11" t="s">
        <v>244</v>
      </c>
      <c r="W57" s="54">
        <f t="shared" si="13"/>
        <v>75.5859375</v>
      </c>
      <c r="X57" s="11">
        <v>1</v>
      </c>
      <c r="Y57" s="54">
        <f>U57/O57</f>
        <v>2418.75</v>
      </c>
      <c r="Z57" s="11"/>
      <c r="AA57" s="11" t="s">
        <v>494</v>
      </c>
    </row>
    <row r="58" spans="1:27" ht="40.049999999999997" customHeight="1" x14ac:dyDescent="0.3">
      <c r="A58" s="11">
        <v>6</v>
      </c>
      <c r="B58" s="11" t="s">
        <v>745</v>
      </c>
      <c r="E58" s="11" t="s">
        <v>50</v>
      </c>
      <c r="F58" s="11"/>
      <c r="G58" s="11" t="s">
        <v>58</v>
      </c>
      <c r="I58" s="11" t="s">
        <v>391</v>
      </c>
      <c r="J58" s="11" t="s">
        <v>595</v>
      </c>
      <c r="K58" s="11"/>
      <c r="M58" s="11">
        <v>2</v>
      </c>
      <c r="N58" s="11">
        <v>1</v>
      </c>
      <c r="O58" s="11">
        <v>4</v>
      </c>
      <c r="Q58" s="54">
        <v>128</v>
      </c>
      <c r="R58" s="54">
        <f t="shared" si="12"/>
        <v>32</v>
      </c>
      <c r="S58" s="11" t="s">
        <v>65</v>
      </c>
      <c r="T58" s="54">
        <v>2320</v>
      </c>
      <c r="U58" s="54">
        <f>(22.3+5.09+5.1)*T58</f>
        <v>75376.800000000003</v>
      </c>
      <c r="V58" s="11" t="s">
        <v>244</v>
      </c>
      <c r="W58" s="54">
        <f t="shared" si="13"/>
        <v>588.88125000000002</v>
      </c>
      <c r="X58" s="11">
        <v>1</v>
      </c>
      <c r="Y58" s="54">
        <f>U58/O58</f>
        <v>18844.2</v>
      </c>
      <c r="Z58" s="11"/>
      <c r="AA58" s="11" t="s">
        <v>597</v>
      </c>
    </row>
    <row r="59" spans="1:27" ht="40.049999999999997" customHeight="1" x14ac:dyDescent="0.3">
      <c r="A59" s="11">
        <v>6</v>
      </c>
      <c r="B59" s="11" t="s">
        <v>745</v>
      </c>
      <c r="E59" s="11" t="s">
        <v>50</v>
      </c>
      <c r="F59" s="11"/>
      <c r="G59" s="11" t="s">
        <v>58</v>
      </c>
      <c r="I59" s="11" t="s">
        <v>391</v>
      </c>
      <c r="J59" s="11" t="s">
        <v>595</v>
      </c>
      <c r="K59" s="11"/>
      <c r="M59" s="11">
        <v>2</v>
      </c>
      <c r="N59" s="11">
        <v>1</v>
      </c>
      <c r="O59" s="11">
        <v>4</v>
      </c>
      <c r="Q59" s="54">
        <v>128</v>
      </c>
      <c r="R59" s="54">
        <f t="shared" si="12"/>
        <v>32</v>
      </c>
      <c r="S59" s="11" t="s">
        <v>30</v>
      </c>
      <c r="U59" s="54">
        <f>1.87*1000</f>
        <v>1870</v>
      </c>
      <c r="V59" s="11" t="s">
        <v>244</v>
      </c>
      <c r="W59" s="54">
        <f t="shared" si="13"/>
        <v>14.609375</v>
      </c>
      <c r="X59" s="11">
        <v>1</v>
      </c>
      <c r="Y59" s="54">
        <f>U59/O59</f>
        <v>467.5</v>
      </c>
      <c r="Z59" s="11"/>
    </row>
    <row r="60" spans="1:27" ht="40.049999999999997" customHeight="1" x14ac:dyDescent="0.3">
      <c r="A60" s="11">
        <v>6</v>
      </c>
      <c r="B60" s="11" t="s">
        <v>745</v>
      </c>
      <c r="E60" s="11" t="s">
        <v>50</v>
      </c>
      <c r="F60" s="11"/>
      <c r="G60" s="11" t="s">
        <v>58</v>
      </c>
      <c r="I60" s="11" t="s">
        <v>391</v>
      </c>
      <c r="J60" s="11" t="s">
        <v>595</v>
      </c>
      <c r="K60" s="11"/>
      <c r="M60" s="11">
        <v>2</v>
      </c>
      <c r="N60" s="11">
        <v>1</v>
      </c>
      <c r="O60" s="11">
        <v>4</v>
      </c>
      <c r="Q60" s="54">
        <v>128</v>
      </c>
      <c r="R60" s="54">
        <f t="shared" si="12"/>
        <v>32</v>
      </c>
      <c r="S60" s="11" t="s">
        <v>414</v>
      </c>
      <c r="U60" s="54">
        <f>0.11*1000</f>
        <v>110</v>
      </c>
      <c r="V60" s="11" t="s">
        <v>244</v>
      </c>
      <c r="W60" s="54">
        <f t="shared" si="13"/>
        <v>0.859375</v>
      </c>
      <c r="X60" s="11">
        <v>1</v>
      </c>
      <c r="Y60" s="54">
        <f>U60/O60</f>
        <v>27.5</v>
      </c>
      <c r="Z60" s="11"/>
    </row>
    <row r="61" spans="1:27" ht="40.049999999999997" customHeight="1" x14ac:dyDescent="0.3">
      <c r="A61" s="11">
        <v>6</v>
      </c>
      <c r="B61" s="11" t="s">
        <v>745</v>
      </c>
      <c r="E61" s="11" t="s">
        <v>50</v>
      </c>
      <c r="F61" s="11"/>
      <c r="G61" s="11" t="s">
        <v>58</v>
      </c>
      <c r="I61" s="11" t="s">
        <v>391</v>
      </c>
      <c r="J61" s="11" t="s">
        <v>595</v>
      </c>
      <c r="K61" s="11"/>
      <c r="M61" s="11">
        <v>2</v>
      </c>
      <c r="N61" s="11">
        <v>1</v>
      </c>
      <c r="O61" s="11">
        <v>4</v>
      </c>
      <c r="Q61" s="54">
        <v>128</v>
      </c>
      <c r="R61" s="54">
        <f t="shared" si="12"/>
        <v>32</v>
      </c>
      <c r="S61" s="11" t="s">
        <v>437</v>
      </c>
      <c r="U61" s="54">
        <v>89.6</v>
      </c>
      <c r="V61" s="11" t="s">
        <v>244</v>
      </c>
      <c r="W61" s="54">
        <f t="shared" si="13"/>
        <v>0.7</v>
      </c>
      <c r="X61" s="11">
        <v>1</v>
      </c>
      <c r="Y61" s="54">
        <f>U61/O61</f>
        <v>22.4</v>
      </c>
      <c r="Z61" s="11"/>
    </row>
    <row r="62" spans="1:27" ht="40.049999999999997" customHeight="1" x14ac:dyDescent="0.3">
      <c r="A62" s="11">
        <v>7</v>
      </c>
      <c r="B62" s="11" t="s">
        <v>748</v>
      </c>
      <c r="C62" s="11" t="s">
        <v>735</v>
      </c>
      <c r="D62" s="11" t="s">
        <v>861</v>
      </c>
      <c r="E62" s="11" t="s">
        <v>606</v>
      </c>
      <c r="F62" s="11" t="s">
        <v>605</v>
      </c>
      <c r="G62" s="11" t="s">
        <v>58</v>
      </c>
      <c r="I62" s="11" t="s">
        <v>70</v>
      </c>
      <c r="J62" s="11" t="s">
        <v>600</v>
      </c>
      <c r="K62" s="11" t="s">
        <v>603</v>
      </c>
      <c r="M62" s="11">
        <v>5</v>
      </c>
      <c r="N62" s="11">
        <v>57</v>
      </c>
      <c r="O62" s="11">
        <f t="shared" ref="O62:O69" si="14">3*N62</f>
        <v>171</v>
      </c>
      <c r="P62" s="11">
        <v>3895</v>
      </c>
      <c r="Q62" s="54">
        <f>(P62-328)*0.9</f>
        <v>3210.3</v>
      </c>
      <c r="R62" s="54">
        <f t="shared" si="12"/>
        <v>18.773684210526316</v>
      </c>
      <c r="S62" s="11" t="s">
        <v>65</v>
      </c>
      <c r="U62" s="54">
        <f>1367845+130537</f>
        <v>1498382</v>
      </c>
      <c r="V62" s="11" t="s">
        <v>244</v>
      </c>
      <c r="W62" s="54">
        <f t="shared" ref="W62:W69" si="15">U62/Q62</f>
        <v>466.74204902968569</v>
      </c>
      <c r="X62" s="11">
        <v>4</v>
      </c>
      <c r="Y62" s="54">
        <f t="shared" ref="Y62:Y69" si="16">U62/O62</f>
        <v>8762.4678362573104</v>
      </c>
      <c r="Z62" s="11" t="s">
        <v>442</v>
      </c>
      <c r="AA62" s="11" t="s">
        <v>602</v>
      </c>
    </row>
    <row r="63" spans="1:27" ht="40.049999999999997" customHeight="1" x14ac:dyDescent="0.3">
      <c r="A63" s="11">
        <v>7</v>
      </c>
      <c r="B63" s="11" t="s">
        <v>747</v>
      </c>
      <c r="E63" s="11" t="s">
        <v>606</v>
      </c>
      <c r="F63" s="11"/>
      <c r="G63" s="11" t="s">
        <v>58</v>
      </c>
      <c r="I63" s="11" t="s">
        <v>70</v>
      </c>
      <c r="J63" s="11" t="s">
        <v>600</v>
      </c>
      <c r="K63" s="11"/>
      <c r="M63" s="11">
        <v>5</v>
      </c>
      <c r="N63" s="11">
        <v>57</v>
      </c>
      <c r="O63" s="11">
        <f t="shared" si="14"/>
        <v>171</v>
      </c>
      <c r="P63" s="11">
        <v>3895</v>
      </c>
      <c r="Q63" s="54">
        <f>(P63-328)*0.9</f>
        <v>3210.3</v>
      </c>
      <c r="R63" s="54">
        <f t="shared" si="12"/>
        <v>18.773684210526316</v>
      </c>
      <c r="S63" s="11" t="s">
        <v>67</v>
      </c>
      <c r="U63" s="54">
        <v>233240</v>
      </c>
      <c r="V63" s="11" t="s">
        <v>244</v>
      </c>
      <c r="W63" s="54">
        <f t="shared" si="15"/>
        <v>72.653646076690649</v>
      </c>
      <c r="X63" s="11">
        <v>4</v>
      </c>
      <c r="Y63" s="54">
        <f t="shared" si="16"/>
        <v>1363.9766081871346</v>
      </c>
      <c r="Z63" s="11"/>
      <c r="AA63" s="11" t="s">
        <v>494</v>
      </c>
    </row>
    <row r="64" spans="1:27" ht="40.049999999999997" customHeight="1" x14ac:dyDescent="0.3">
      <c r="A64" s="11">
        <v>7</v>
      </c>
      <c r="B64" s="11" t="s">
        <v>747</v>
      </c>
      <c r="E64" s="11" t="s">
        <v>606</v>
      </c>
      <c r="F64" s="11"/>
      <c r="G64" s="11" t="s">
        <v>58</v>
      </c>
      <c r="I64" s="11" t="s">
        <v>70</v>
      </c>
      <c r="J64" s="11" t="s">
        <v>600</v>
      </c>
      <c r="K64" s="11"/>
      <c r="M64" s="11">
        <v>5</v>
      </c>
      <c r="N64" s="11">
        <v>57</v>
      </c>
      <c r="O64" s="11">
        <f t="shared" si="14"/>
        <v>171</v>
      </c>
      <c r="P64" s="11">
        <v>3895</v>
      </c>
      <c r="Q64" s="54">
        <f>(P64-328)*0.9</f>
        <v>3210.3</v>
      </c>
      <c r="R64" s="54">
        <f t="shared" si="12"/>
        <v>18.773684210526316</v>
      </c>
      <c r="S64" s="11" t="s">
        <v>71</v>
      </c>
      <c r="U64" s="54">
        <v>225145</v>
      </c>
      <c r="V64" s="11" t="s">
        <v>244</v>
      </c>
      <c r="W64" s="54">
        <f t="shared" si="15"/>
        <v>70.132074883967221</v>
      </c>
      <c r="X64" s="11">
        <v>4</v>
      </c>
      <c r="Y64" s="54">
        <f t="shared" si="16"/>
        <v>1316.6374269005848</v>
      </c>
      <c r="Z64" s="11"/>
    </row>
    <row r="65" spans="1:26" ht="40.049999999999997" customHeight="1" x14ac:dyDescent="0.3">
      <c r="A65" s="11">
        <v>7</v>
      </c>
      <c r="B65" s="11" t="s">
        <v>747</v>
      </c>
      <c r="E65" s="11" t="s">
        <v>606</v>
      </c>
      <c r="F65" s="11"/>
      <c r="G65" s="11" t="s">
        <v>58</v>
      </c>
      <c r="I65" s="11" t="s">
        <v>70</v>
      </c>
      <c r="J65" s="11" t="s">
        <v>600</v>
      </c>
      <c r="K65" s="11"/>
      <c r="M65" s="11">
        <v>5</v>
      </c>
      <c r="N65" s="11">
        <v>57</v>
      </c>
      <c r="O65" s="11">
        <f t="shared" si="14"/>
        <v>171</v>
      </c>
      <c r="P65" s="11">
        <v>3895</v>
      </c>
      <c r="Q65" s="54">
        <f>(P65-328)*0.9</f>
        <v>3210.3</v>
      </c>
      <c r="R65" s="54">
        <f t="shared" si="12"/>
        <v>18.773684210526316</v>
      </c>
      <c r="S65" s="11" t="s">
        <v>30</v>
      </c>
      <c r="U65" s="54">
        <v>115605</v>
      </c>
      <c r="V65" s="11" t="s">
        <v>244</v>
      </c>
      <c r="W65" s="54">
        <f t="shared" si="15"/>
        <v>36.010653209980376</v>
      </c>
      <c r="X65" s="11">
        <v>4</v>
      </c>
      <c r="Y65" s="54">
        <f t="shared" si="16"/>
        <v>676.0526315789474</v>
      </c>
      <c r="Z65" s="11"/>
    </row>
    <row r="66" spans="1:26" ht="40.049999999999997" customHeight="1" x14ac:dyDescent="0.3">
      <c r="A66" s="11">
        <v>7</v>
      </c>
      <c r="B66" s="11" t="s">
        <v>747</v>
      </c>
      <c r="E66" s="11" t="s">
        <v>606</v>
      </c>
      <c r="F66" s="11"/>
      <c r="G66" s="11" t="s">
        <v>58</v>
      </c>
      <c r="I66" s="11" t="s">
        <v>70</v>
      </c>
      <c r="J66" s="11" t="s">
        <v>600</v>
      </c>
      <c r="K66" s="11"/>
      <c r="M66" s="11">
        <v>5</v>
      </c>
      <c r="N66" s="11">
        <v>57</v>
      </c>
      <c r="O66" s="11">
        <f t="shared" si="14"/>
        <v>171</v>
      </c>
      <c r="P66" s="11">
        <v>3895</v>
      </c>
      <c r="Q66" s="54">
        <f>(P66-328)*0.9</f>
        <v>3210.3</v>
      </c>
      <c r="R66" s="54">
        <f t="shared" si="12"/>
        <v>18.773684210526316</v>
      </c>
      <c r="S66" s="11" t="s">
        <v>437</v>
      </c>
      <c r="U66" s="54">
        <v>25563</v>
      </c>
      <c r="V66" s="11" t="s">
        <v>244</v>
      </c>
      <c r="W66" s="54">
        <f t="shared" si="15"/>
        <v>7.9628072142790387</v>
      </c>
      <c r="X66" s="11">
        <v>4</v>
      </c>
      <c r="Y66" s="54">
        <f t="shared" si="16"/>
        <v>149.49122807017545</v>
      </c>
      <c r="Z66" s="11"/>
    </row>
    <row r="67" spans="1:26" ht="40.049999999999997" customHeight="1" x14ac:dyDescent="0.3">
      <c r="A67" s="11">
        <v>7</v>
      </c>
      <c r="B67" s="11" t="s">
        <v>747</v>
      </c>
      <c r="E67" s="11" t="s">
        <v>606</v>
      </c>
      <c r="F67" s="11"/>
      <c r="G67" s="11" t="s">
        <v>58</v>
      </c>
      <c r="I67" s="11" t="s">
        <v>70</v>
      </c>
      <c r="J67" s="11" t="s">
        <v>601</v>
      </c>
      <c r="K67" s="11" t="s">
        <v>604</v>
      </c>
      <c r="M67" s="11">
        <v>8</v>
      </c>
      <c r="N67" s="11">
        <v>91</v>
      </c>
      <c r="O67" s="11">
        <f t="shared" si="14"/>
        <v>273</v>
      </c>
      <c r="P67" s="11">
        <v>5912</v>
      </c>
      <c r="Q67" s="54">
        <f>(P67-565)*0.9</f>
        <v>4812.3</v>
      </c>
      <c r="R67" s="54">
        <f t="shared" si="12"/>
        <v>17.627472527472527</v>
      </c>
      <c r="S67" s="11" t="s">
        <v>65</v>
      </c>
      <c r="U67" s="54">
        <f>8768470+36192</f>
        <v>8804662</v>
      </c>
      <c r="V67" s="11" t="s">
        <v>244</v>
      </c>
      <c r="W67" s="54">
        <f t="shared" si="15"/>
        <v>1829.6161918417388</v>
      </c>
      <c r="X67" s="11">
        <v>4</v>
      </c>
      <c r="Y67" s="54">
        <f t="shared" si="16"/>
        <v>32251.509157509157</v>
      </c>
      <c r="Z67" s="11"/>
    </row>
    <row r="68" spans="1:26" ht="40.049999999999997" customHeight="1" x14ac:dyDescent="0.3">
      <c r="A68" s="11">
        <v>7</v>
      </c>
      <c r="B68" s="11" t="s">
        <v>747</v>
      </c>
      <c r="E68" s="11" t="s">
        <v>606</v>
      </c>
      <c r="F68" s="11"/>
      <c r="G68" s="11" t="s">
        <v>58</v>
      </c>
      <c r="I68" s="11" t="s">
        <v>70</v>
      </c>
      <c r="J68" s="11" t="s">
        <v>601</v>
      </c>
      <c r="K68" s="11"/>
      <c r="M68" s="11">
        <v>8</v>
      </c>
      <c r="N68" s="11">
        <v>91</v>
      </c>
      <c r="O68" s="11">
        <f t="shared" si="14"/>
        <v>273</v>
      </c>
      <c r="P68" s="11">
        <v>5912</v>
      </c>
      <c r="Q68" s="54">
        <f>(P68-565)*0.9</f>
        <v>4812.3</v>
      </c>
      <c r="R68" s="54">
        <f t="shared" si="12"/>
        <v>17.627472527472527</v>
      </c>
      <c r="S68" s="11" t="s">
        <v>30</v>
      </c>
      <c r="U68" s="54">
        <v>388342</v>
      </c>
      <c r="V68" s="11" t="s">
        <v>244</v>
      </c>
      <c r="W68" s="54">
        <f t="shared" si="15"/>
        <v>80.697795233048637</v>
      </c>
      <c r="X68" s="11">
        <v>4</v>
      </c>
      <c r="Y68" s="54">
        <f t="shared" si="16"/>
        <v>1422.4981684981685</v>
      </c>
      <c r="Z68" s="11"/>
    </row>
    <row r="69" spans="1:26" ht="40.049999999999997" customHeight="1" x14ac:dyDescent="0.3">
      <c r="A69" s="11">
        <v>7</v>
      </c>
      <c r="B69" s="11" t="s">
        <v>747</v>
      </c>
      <c r="E69" s="11" t="s">
        <v>606</v>
      </c>
      <c r="F69" s="11"/>
      <c r="G69" s="11" t="s">
        <v>58</v>
      </c>
      <c r="I69" s="11" t="s">
        <v>70</v>
      </c>
      <c r="J69" s="11" t="s">
        <v>601</v>
      </c>
      <c r="K69" s="11"/>
      <c r="M69" s="11">
        <v>8</v>
      </c>
      <c r="N69" s="11">
        <v>91</v>
      </c>
      <c r="O69" s="11">
        <f t="shared" si="14"/>
        <v>273</v>
      </c>
      <c r="P69" s="11">
        <v>5912</v>
      </c>
      <c r="Q69" s="54">
        <f>(P69-565)*0.9</f>
        <v>4812.3</v>
      </c>
      <c r="R69" s="54">
        <f t="shared" si="12"/>
        <v>17.627472527472527</v>
      </c>
      <c r="S69" s="11" t="s">
        <v>437</v>
      </c>
      <c r="U69" s="54">
        <v>31902</v>
      </c>
      <c r="V69" s="11" t="s">
        <v>244</v>
      </c>
      <c r="W69" s="54">
        <f t="shared" si="15"/>
        <v>6.6292625148058102</v>
      </c>
      <c r="X69" s="11">
        <v>4</v>
      </c>
      <c r="Y69" s="54">
        <f t="shared" si="16"/>
        <v>116.85714285714286</v>
      </c>
      <c r="Z69" s="11"/>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C000"/>
  </sheetPr>
  <dimension ref="A1:AB3"/>
  <sheetViews>
    <sheetView zoomScaleNormal="100" workbookViewId="0">
      <selection activeCell="H13" sqref="H13"/>
    </sheetView>
  </sheetViews>
  <sheetFormatPr defaultColWidth="9.21875" defaultRowHeight="14.4" x14ac:dyDescent="0.3"/>
  <cols>
    <col min="1" max="1" width="3.44140625" style="12" customWidth="1"/>
    <col min="2" max="2" width="16.44140625" style="12" customWidth="1"/>
    <col min="3" max="3" width="31.44140625" style="12" customWidth="1"/>
    <col min="4" max="4" width="26" style="12" customWidth="1"/>
    <col min="5" max="6" width="25" style="12" customWidth="1"/>
    <col min="7" max="7" width="9.21875" style="12"/>
    <col min="8" max="8" width="16.21875" style="12" customWidth="1"/>
    <col min="9" max="9" width="27.77734375" style="12" customWidth="1"/>
    <col min="10" max="10" width="16" style="12" customWidth="1"/>
    <col min="11" max="11" width="12.44140625" style="12" customWidth="1"/>
    <col min="12" max="13" width="22.44140625" style="12" customWidth="1"/>
    <col min="14" max="14" width="23" style="12" customWidth="1"/>
    <col min="15" max="15" width="13.21875" style="12" customWidth="1"/>
    <col min="16" max="16" width="13.44140625" style="12" customWidth="1"/>
    <col min="17" max="17" width="12.21875" style="12" customWidth="1"/>
    <col min="18" max="18" width="13.21875" style="12" customWidth="1"/>
    <col min="19" max="19" width="12.44140625" style="12" customWidth="1"/>
    <col min="20" max="20" width="9.21875" style="12"/>
    <col min="21" max="21" width="11.21875" style="12" customWidth="1"/>
    <col min="22" max="22" width="9.21875" style="12"/>
    <col min="23" max="23" width="11.44140625" style="34" customWidth="1"/>
    <col min="24" max="24" width="10.21875" style="12" customWidth="1"/>
    <col min="25" max="25" width="11.44140625" style="12" bestFit="1" customWidth="1"/>
    <col min="26" max="26" width="9.21875" style="12"/>
    <col min="27" max="27" width="28.77734375" style="12" customWidth="1"/>
    <col min="28" max="28" width="14" style="12" customWidth="1"/>
    <col min="29" max="16384" width="9.21875" style="12"/>
  </cols>
  <sheetData>
    <row r="1" spans="1:28"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7" t="s">
        <v>195</v>
      </c>
      <c r="P1" s="56" t="s">
        <v>194</v>
      </c>
      <c r="Q1" s="56" t="s">
        <v>415</v>
      </c>
      <c r="R1" s="56" t="s">
        <v>416</v>
      </c>
      <c r="S1" s="56" t="s">
        <v>193</v>
      </c>
      <c r="T1" s="56" t="s">
        <v>421</v>
      </c>
      <c r="U1" s="56" t="s">
        <v>521</v>
      </c>
      <c r="V1" s="56" t="s">
        <v>192</v>
      </c>
      <c r="W1" s="56" t="s">
        <v>386</v>
      </c>
      <c r="X1" s="56" t="s">
        <v>418</v>
      </c>
      <c r="Y1" s="56" t="s">
        <v>242</v>
      </c>
      <c r="Z1" s="57" t="s">
        <v>191</v>
      </c>
      <c r="AA1" s="56" t="s">
        <v>190</v>
      </c>
      <c r="AB1" s="56" t="s">
        <v>190</v>
      </c>
    </row>
    <row r="2" spans="1:28" ht="40.049999999999997" customHeight="1" x14ac:dyDescent="0.3">
      <c r="A2" s="11">
        <v>1</v>
      </c>
      <c r="B2" s="11" t="s">
        <v>734</v>
      </c>
      <c r="C2" s="11" t="s">
        <v>733</v>
      </c>
      <c r="D2" s="11" t="s">
        <v>862</v>
      </c>
      <c r="E2" s="11" t="s">
        <v>473</v>
      </c>
      <c r="F2" s="11" t="s">
        <v>475</v>
      </c>
      <c r="G2" s="11" t="s">
        <v>215</v>
      </c>
      <c r="H2" s="11" t="s">
        <v>476</v>
      </c>
      <c r="I2" s="11" t="s">
        <v>428</v>
      </c>
      <c r="J2" s="11" t="s">
        <v>477</v>
      </c>
      <c r="K2" s="11"/>
      <c r="L2" s="11"/>
      <c r="M2" s="11">
        <v>2</v>
      </c>
      <c r="N2" s="11">
        <v>1</v>
      </c>
      <c r="O2" s="11">
        <v>6.52</v>
      </c>
      <c r="P2" s="11"/>
      <c r="Q2" s="11">
        <v>50</v>
      </c>
      <c r="R2" s="54">
        <f>Q2/O2</f>
        <v>7.6687116564417179</v>
      </c>
      <c r="S2" s="11" t="s">
        <v>67</v>
      </c>
      <c r="T2" s="54">
        <v>670</v>
      </c>
      <c r="U2" s="54">
        <f>W2*Q2</f>
        <v>1702</v>
      </c>
      <c r="V2" s="11" t="s">
        <v>244</v>
      </c>
      <c r="W2" s="54">
        <v>34.04</v>
      </c>
      <c r="X2" s="11">
        <v>1</v>
      </c>
      <c r="Y2" s="54">
        <f>U2/O2</f>
        <v>261.04294478527606</v>
      </c>
      <c r="Z2" s="11"/>
      <c r="AA2" s="11" t="s">
        <v>479</v>
      </c>
      <c r="AB2" s="11"/>
    </row>
    <row r="3" spans="1:28" ht="40.049999999999997" customHeight="1" x14ac:dyDescent="0.3">
      <c r="A3" s="11">
        <v>1</v>
      </c>
      <c r="B3" s="11" t="s">
        <v>474</v>
      </c>
      <c r="C3" s="11"/>
      <c r="D3" s="11"/>
      <c r="E3" s="11"/>
      <c r="F3" s="11"/>
      <c r="G3" s="11" t="s">
        <v>215</v>
      </c>
      <c r="H3" s="11"/>
      <c r="I3" s="11" t="s">
        <v>428</v>
      </c>
      <c r="J3" s="11" t="s">
        <v>478</v>
      </c>
      <c r="K3" s="11"/>
      <c r="L3" s="11"/>
      <c r="M3" s="11">
        <v>2</v>
      </c>
      <c r="N3" s="11">
        <v>1</v>
      </c>
      <c r="O3" s="11">
        <v>6.52</v>
      </c>
      <c r="P3" s="11"/>
      <c r="Q3" s="11">
        <v>50</v>
      </c>
      <c r="R3" s="54">
        <f>Q3/O3</f>
        <v>7.6687116564417179</v>
      </c>
      <c r="S3" s="11" t="s">
        <v>67</v>
      </c>
      <c r="T3" s="54">
        <v>670</v>
      </c>
      <c r="U3" s="54">
        <f>W3*Q3</f>
        <v>1702</v>
      </c>
      <c r="V3" s="11" t="s">
        <v>244</v>
      </c>
      <c r="W3" s="54">
        <v>34.04</v>
      </c>
      <c r="X3" s="11">
        <v>1</v>
      </c>
      <c r="Y3" s="54">
        <f>U3/O3</f>
        <v>261.04294478527606</v>
      </c>
      <c r="Z3" s="11"/>
      <c r="AA3" s="39" t="s">
        <v>607</v>
      </c>
      <c r="AB3" s="11"/>
    </row>
  </sheetData>
  <hyperlinks>
    <hyperlink ref="AA3" r:id="rId1" xr:uid="{00000000-0004-0000-20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0000"/>
  </sheetPr>
  <dimension ref="A1:AA1"/>
  <sheetViews>
    <sheetView zoomScaleNormal="100" workbookViewId="0">
      <selection activeCell="I23" sqref="I23"/>
    </sheetView>
  </sheetViews>
  <sheetFormatPr defaultColWidth="9.21875" defaultRowHeight="14.4" x14ac:dyDescent="0.3"/>
  <cols>
    <col min="1" max="1" width="4.21875" style="12" customWidth="1"/>
    <col min="2" max="2" width="10.77734375" style="12" customWidth="1"/>
    <col min="3" max="4" width="24" style="12" customWidth="1"/>
    <col min="5" max="6" width="25" style="12" customWidth="1"/>
    <col min="7" max="7" width="12.44140625" style="12" customWidth="1"/>
    <col min="8" max="8" width="16.21875" style="12" customWidth="1"/>
    <col min="9" max="9" width="27.77734375" style="12" customWidth="1"/>
    <col min="10" max="10" width="17" style="12" customWidth="1"/>
    <col min="11" max="11" width="12.44140625" style="12" customWidth="1"/>
    <col min="12" max="13" width="22.44140625" style="12" customWidth="1"/>
    <col min="14" max="14" width="23" style="12" customWidth="1"/>
    <col min="15" max="15" width="13.21875" style="12" customWidth="1"/>
    <col min="16" max="16" width="13.44140625" style="12" customWidth="1"/>
    <col min="17" max="17" width="12.21875" style="12" customWidth="1"/>
    <col min="18" max="18" width="13.21875" style="12" customWidth="1"/>
    <col min="19" max="19" width="12.44140625" style="12" customWidth="1"/>
    <col min="20" max="20" width="9.21875" style="12"/>
    <col min="21" max="21" width="13" style="12" customWidth="1"/>
    <col min="22" max="22" width="9.21875" style="12"/>
    <col min="23" max="23" width="12.21875" style="12" customWidth="1"/>
    <col min="24" max="24" width="10.21875" style="12" customWidth="1"/>
    <col min="25" max="26" width="9.21875" style="12"/>
    <col min="27" max="27" width="24.77734375" style="12" customWidth="1"/>
    <col min="28" max="16384" width="9.21875" style="12"/>
  </cols>
  <sheetData>
    <row r="1" spans="1:27"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7" t="s">
        <v>195</v>
      </c>
      <c r="P1" s="56" t="s">
        <v>194</v>
      </c>
      <c r="Q1" s="56" t="s">
        <v>415</v>
      </c>
      <c r="R1" s="56" t="s">
        <v>416</v>
      </c>
      <c r="S1" s="56" t="s">
        <v>193</v>
      </c>
      <c r="T1" s="56" t="s">
        <v>421</v>
      </c>
      <c r="U1" s="56" t="s">
        <v>521</v>
      </c>
      <c r="V1" s="56" t="s">
        <v>192</v>
      </c>
      <c r="W1" s="56" t="s">
        <v>386</v>
      </c>
      <c r="X1" s="56" t="s">
        <v>418</v>
      </c>
      <c r="Y1" s="56" t="s">
        <v>242</v>
      </c>
      <c r="Z1" s="57" t="s">
        <v>191</v>
      </c>
      <c r="AA1" s="56"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25"/>
  <sheetViews>
    <sheetView zoomScaleNormal="100" workbookViewId="0">
      <selection activeCell="G78" sqref="G78"/>
    </sheetView>
  </sheetViews>
  <sheetFormatPr defaultColWidth="8.77734375" defaultRowHeight="14.4" x14ac:dyDescent="0.3"/>
  <cols>
    <col min="1" max="1" width="12.21875" customWidth="1"/>
    <col min="2" max="2" width="9.44140625" customWidth="1"/>
    <col min="3" max="3" width="16.44140625" bestFit="1" customWidth="1"/>
    <col min="4" max="4" width="15.44140625" bestFit="1" customWidth="1"/>
    <col min="5" max="5" width="16.44140625" bestFit="1" customWidth="1"/>
    <col min="6" max="6" width="9.21875" bestFit="1" customWidth="1"/>
    <col min="7" max="8" width="12" customWidth="1"/>
  </cols>
  <sheetData>
    <row r="1" spans="1:22" x14ac:dyDescent="0.3">
      <c r="A1" t="s">
        <v>873</v>
      </c>
      <c r="B1" t="s">
        <v>874</v>
      </c>
      <c r="C1" t="s">
        <v>30</v>
      </c>
      <c r="D1" t="s">
        <v>65</v>
      </c>
      <c r="E1" t="s">
        <v>67</v>
      </c>
      <c r="F1" t="s">
        <v>414</v>
      </c>
      <c r="G1" t="s">
        <v>290</v>
      </c>
      <c r="H1" s="2" t="s">
        <v>437</v>
      </c>
      <c r="J1" t="s">
        <v>30</v>
      </c>
      <c r="K1" t="s">
        <v>65</v>
      </c>
      <c r="L1" t="s">
        <v>67</v>
      </c>
      <c r="M1" t="s">
        <v>414</v>
      </c>
      <c r="N1" t="s">
        <v>290</v>
      </c>
      <c r="O1" s="2" t="s">
        <v>437</v>
      </c>
      <c r="Q1" t="s">
        <v>30</v>
      </c>
      <c r="R1" t="s">
        <v>65</v>
      </c>
      <c r="S1" t="s">
        <v>67</v>
      </c>
      <c r="T1" t="s">
        <v>414</v>
      </c>
      <c r="U1" t="s">
        <v>290</v>
      </c>
      <c r="V1" s="2" t="s">
        <v>437</v>
      </c>
    </row>
    <row r="2" spans="1:22" x14ac:dyDescent="0.3">
      <c r="A2">
        <v>1</v>
      </c>
      <c r="B2">
        <v>1</v>
      </c>
      <c r="C2" s="96">
        <f t="shared" ref="C2:C33" si="0">IF(J2=0,"-",Q2)</f>
        <v>32.306208679099115</v>
      </c>
      <c r="D2" s="96">
        <f t="shared" ref="D2:D33" si="1">IF(K2=0,"-",R2)</f>
        <v>876.70605867430004</v>
      </c>
      <c r="E2" s="96">
        <f t="shared" ref="E2:E33" si="2">IF(L2=0,"-",S2)</f>
        <v>48.754344694479087</v>
      </c>
      <c r="F2" s="96" t="str">
        <f t="shared" ref="F2:F33" si="3">IF(M2=0,"-",T2)</f>
        <v>-</v>
      </c>
      <c r="G2" s="116">
        <f t="shared" ref="G2:G33" si="4">IF(N2=0,"-",U2)</f>
        <v>9.2734978403809105</v>
      </c>
      <c r="H2" s="96" t="str">
        <f t="shared" ref="H2:H33" si="5">IF(O2=0,"-",V2)</f>
        <v>-</v>
      </c>
      <c r="J2" s="94">
        <f>COUNTIFS('Region 1'!$X$2:$X$498,$B2,'Region 1'!$S$2:$S$498,J$1)</f>
        <v>3</v>
      </c>
      <c r="K2" s="94">
        <f>COUNTIFS('Region 1'!$X$2:$X$498,$B2,'Region 1'!$S$2:$S$498,K$1)</f>
        <v>3</v>
      </c>
      <c r="L2" s="94">
        <f>COUNTIFS('Region 1'!$X$2:$X$498,$B2,'Region 1'!$S$2:$S$498,L$1)</f>
        <v>2</v>
      </c>
      <c r="M2" s="94">
        <f>COUNTIFS('Region 1'!$X$2:$X$498,$B2,'Region 1'!$S$2:$S$498,M$1)</f>
        <v>0</v>
      </c>
      <c r="N2" s="94">
        <f>COUNTIFS('Region 1'!$X$2:$X$498,$B2,'Region 1'!$S$2:$S$498,N$1)</f>
        <v>3</v>
      </c>
      <c r="O2" s="94">
        <f>COUNTIFS('Region 1'!$X$2:$X$498,$B2,'Region 1'!$S$2:$S$498,O$1)</f>
        <v>0</v>
      </c>
      <c r="Q2">
        <f>AVERAGEIFS('Region 1'!$W$2:$W$498,'Region 1'!$X$2:$X$498,$B2,'Region 1'!$S$2:$S$498,J$1)</f>
        <v>32.306208679099115</v>
      </c>
      <c r="R2">
        <f>AVERAGEIFS('Region 1'!$W$2:$W$498,'Region 1'!$X$2:$X$498,$B2,'Region 1'!$S$2:$S$498,K$1)</f>
        <v>876.70605867430004</v>
      </c>
      <c r="S2">
        <f>AVERAGEIFS('Region 1'!$W$2:$W$498,'Region 1'!$X$2:$X$498,$B2,'Region 1'!$S$2:$S$498,L$1)</f>
        <v>48.754344694479087</v>
      </c>
      <c r="T2" t="e">
        <f>AVERAGEIFS('Region 1'!$W$2:$W$498,'Region 1'!$X$2:$X$498,$B2,'Region 1'!$S$2:$S$498,M$1)</f>
        <v>#DIV/0!</v>
      </c>
      <c r="U2">
        <f>AVERAGEIFS('Region 1'!$W$2:$W$498,'Region 1'!$X$2:$X$498,$B2,'Region 1'!$S$2:$S$498,N$1)</f>
        <v>9.2734978403809105</v>
      </c>
      <c r="V2" t="e">
        <f>AVERAGEIFS('Region 1'!$W$2:$W$498,'Region 1'!$X$2:$X$498,$B2,'Region 1'!$S$2:$S$498,O$1)</f>
        <v>#DIV/0!</v>
      </c>
    </row>
    <row r="3" spans="1:22" x14ac:dyDescent="0.3">
      <c r="A3">
        <v>1</v>
      </c>
      <c r="B3">
        <v>2</v>
      </c>
      <c r="C3" s="96" t="str">
        <f t="shared" si="0"/>
        <v>-</v>
      </c>
      <c r="D3" s="96" t="str">
        <f t="shared" si="1"/>
        <v>-</v>
      </c>
      <c r="E3" s="96" t="str">
        <f t="shared" si="2"/>
        <v>-</v>
      </c>
      <c r="F3" s="96" t="str">
        <f t="shared" si="3"/>
        <v>-</v>
      </c>
      <c r="G3" s="96" t="str">
        <f t="shared" si="4"/>
        <v>-</v>
      </c>
      <c r="H3" s="96" t="str">
        <f t="shared" si="5"/>
        <v>-</v>
      </c>
      <c r="J3" s="94">
        <f>COUNTIFS('Region 1'!$X$2:$X$498,$B3,'Region 1'!$S$2:$S$498,J$1)</f>
        <v>0</v>
      </c>
      <c r="K3" s="94">
        <f>COUNTIFS('Region 1'!$X$2:$X$498,$B3,'Region 1'!$S$2:$S$498,K$1)</f>
        <v>0</v>
      </c>
      <c r="L3" s="94">
        <f>COUNTIFS('Region 1'!$X$2:$X$498,$B3,'Region 1'!$S$2:$S$498,L$1)</f>
        <v>0</v>
      </c>
      <c r="M3" s="94">
        <f>COUNTIFS('Region 1'!$X$2:$X$498,$B3,'Region 1'!$S$2:$S$498,M$1)</f>
        <v>0</v>
      </c>
      <c r="N3" s="94">
        <f>COUNTIFS('Region 1'!$X$2:$X$498,$B3,'Region 1'!$S$2:$S$498,N$1)</f>
        <v>0</v>
      </c>
      <c r="O3" s="94">
        <f>COUNTIFS('Region 1'!$X$2:$X$498,$B3,'Region 1'!$S$2:$S$498,O$1)</f>
        <v>0</v>
      </c>
      <c r="Q3" t="e">
        <f>AVERAGEIFS('Region 1'!$W$2:$W$498,'Region 1'!$X$2:$X$498,$B3,'Region 1'!$S$2:$S$498,J$1)</f>
        <v>#DIV/0!</v>
      </c>
      <c r="R3" t="e">
        <f>AVERAGEIFS('Region 1'!$W$2:$W$498,'Region 1'!$X$2:$X$498,$B3,'Region 1'!$S$2:$S$498,K$1)</f>
        <v>#DIV/0!</v>
      </c>
      <c r="S3" t="e">
        <f>AVERAGEIFS('Region 1'!$W$2:$W$498,'Region 1'!$X$2:$X$498,$B3,'Region 1'!$S$2:$S$498,L$1)</f>
        <v>#DIV/0!</v>
      </c>
      <c r="T3" t="e">
        <f>AVERAGEIFS('Region 1'!$W$2:$W$498,'Region 1'!$X$2:$X$498,$B3,'Region 1'!$S$2:$S$498,M$1)</f>
        <v>#DIV/0!</v>
      </c>
      <c r="U3" t="e">
        <f>AVERAGEIFS('Region 1'!$W$2:$W$498,'Region 1'!$X$2:$X$498,$B3,'Region 1'!$S$2:$S$498,N$1)</f>
        <v>#DIV/0!</v>
      </c>
      <c r="V3" t="e">
        <f>AVERAGEIFS('Region 1'!$W$2:$W$498,'Region 1'!$X$2:$X$498,$B3,'Region 1'!$S$2:$S$498,O$1)</f>
        <v>#DIV/0!</v>
      </c>
    </row>
    <row r="4" spans="1:22" x14ac:dyDescent="0.3">
      <c r="A4">
        <v>1</v>
      </c>
      <c r="B4">
        <v>3</v>
      </c>
      <c r="C4" s="96" t="str">
        <f t="shared" si="0"/>
        <v>-</v>
      </c>
      <c r="D4" s="96" t="str">
        <f t="shared" si="1"/>
        <v>-</v>
      </c>
      <c r="E4" s="96" t="str">
        <f t="shared" si="2"/>
        <v>-</v>
      </c>
      <c r="F4" s="96" t="str">
        <f t="shared" si="3"/>
        <v>-</v>
      </c>
      <c r="G4" s="96" t="str">
        <f t="shared" si="4"/>
        <v>-</v>
      </c>
      <c r="H4" s="96" t="str">
        <f t="shared" si="5"/>
        <v>-</v>
      </c>
      <c r="J4" s="94">
        <f>COUNTIFS('Region 1'!$X$2:$X$498,$B4,'Region 1'!$S$2:$S$498,J$1)</f>
        <v>0</v>
      </c>
      <c r="K4" s="94">
        <f>COUNTIFS('Region 1'!$X$2:$X$498,$B4,'Region 1'!$S$2:$S$498,K$1)</f>
        <v>0</v>
      </c>
      <c r="L4" s="94">
        <f>COUNTIFS('Region 1'!$X$2:$X$498,$B4,'Region 1'!$S$2:$S$498,L$1)</f>
        <v>0</v>
      </c>
      <c r="M4" s="94">
        <f>COUNTIFS('Region 1'!$X$2:$X$498,$B4,'Region 1'!$S$2:$S$498,M$1)</f>
        <v>0</v>
      </c>
      <c r="N4" s="94">
        <f>COUNTIFS('Region 1'!$X$2:$X$498,$B4,'Region 1'!$S$2:$S$498,N$1)</f>
        <v>0</v>
      </c>
      <c r="O4" s="94">
        <f>COUNTIFS('Region 1'!$X$2:$X$498,$B4,'Region 1'!$S$2:$S$498,O$1)</f>
        <v>0</v>
      </c>
      <c r="Q4" t="e">
        <f>AVERAGEIFS('Region 1'!$W$2:$W$498,'Region 1'!$X$2:$X$498,$B4,'Region 1'!$S$2:$S$498,J$1)</f>
        <v>#DIV/0!</v>
      </c>
      <c r="R4" t="e">
        <f>AVERAGEIFS('Region 1'!$W$2:$W$498,'Region 1'!$X$2:$X$498,$B4,'Region 1'!$S$2:$S$498,K$1)</f>
        <v>#DIV/0!</v>
      </c>
      <c r="S4" t="e">
        <f>AVERAGEIFS('Region 1'!$W$2:$W$498,'Region 1'!$X$2:$X$498,$B4,'Region 1'!$S$2:$S$498,L$1)</f>
        <v>#DIV/0!</v>
      </c>
      <c r="T4" t="e">
        <f>AVERAGEIFS('Region 1'!$W$2:$W$498,'Region 1'!$X$2:$X$498,$B4,'Region 1'!$S$2:$S$498,M$1)</f>
        <v>#DIV/0!</v>
      </c>
      <c r="U4" t="e">
        <f>AVERAGEIFS('Region 1'!$W$2:$W$498,'Region 1'!$X$2:$X$498,$B4,'Region 1'!$S$2:$S$498,N$1)</f>
        <v>#DIV/0!</v>
      </c>
      <c r="V4" t="e">
        <f>AVERAGEIFS('Region 1'!$W$2:$W$498,'Region 1'!$X$2:$X$498,$B4,'Region 1'!$S$2:$S$498,O$1)</f>
        <v>#DIV/0!</v>
      </c>
    </row>
    <row r="5" spans="1:22" x14ac:dyDescent="0.3">
      <c r="A5">
        <v>1</v>
      </c>
      <c r="B5">
        <v>4</v>
      </c>
      <c r="C5" s="96">
        <f t="shared" si="0"/>
        <v>45.782585470085472</v>
      </c>
      <c r="D5" s="96">
        <f t="shared" si="1"/>
        <v>1040.3472222222222</v>
      </c>
      <c r="E5" s="96">
        <f t="shared" si="2"/>
        <v>28.65651709401709</v>
      </c>
      <c r="F5" s="96" t="str">
        <f t="shared" si="3"/>
        <v>-</v>
      </c>
      <c r="G5" s="96" t="str">
        <f t="shared" si="4"/>
        <v>-</v>
      </c>
      <c r="H5" s="96">
        <f t="shared" si="5"/>
        <v>1.1965811965811965</v>
      </c>
      <c r="J5" s="94">
        <f>COUNTIFS('Region 1'!$X$2:$X$498,$B5,'Region 1'!$S$2:$S$498,J$1)</f>
        <v>1</v>
      </c>
      <c r="K5" s="94">
        <f>COUNTIFS('Region 1'!$X$2:$X$498,$B5,'Region 1'!$S$2:$S$498,K$1)</f>
        <v>1</v>
      </c>
      <c r="L5" s="94">
        <f>COUNTIFS('Region 1'!$X$2:$X$498,$B5,'Region 1'!$S$2:$S$498,L$1)</f>
        <v>1</v>
      </c>
      <c r="M5" s="94">
        <f>COUNTIFS('Region 1'!$X$2:$X$498,$B5,'Region 1'!$S$2:$S$498,M$1)</f>
        <v>0</v>
      </c>
      <c r="N5" s="94">
        <f>COUNTIFS('Region 1'!$X$2:$X$498,$B5,'Region 1'!$S$2:$S$498,N$1)</f>
        <v>0</v>
      </c>
      <c r="O5" s="94">
        <f>COUNTIFS('Region 1'!$X$2:$X$498,$B5,'Region 1'!$S$2:$S$498,O$1)</f>
        <v>1</v>
      </c>
      <c r="Q5">
        <f>AVERAGEIFS('Region 1'!$W$2:$W$498,'Region 1'!$X$2:$X$498,$B5,'Region 1'!$S$2:$S$498,J$1)</f>
        <v>45.782585470085472</v>
      </c>
      <c r="R5">
        <f>AVERAGEIFS('Region 1'!$W$2:$W$498,'Region 1'!$X$2:$X$498,$B5,'Region 1'!$S$2:$S$498,K$1)</f>
        <v>1040.3472222222222</v>
      </c>
      <c r="S5">
        <f>AVERAGEIFS('Region 1'!$W$2:$W$498,'Region 1'!$X$2:$X$498,$B5,'Region 1'!$S$2:$S$498,L$1)</f>
        <v>28.65651709401709</v>
      </c>
      <c r="T5" t="e">
        <f>AVERAGEIFS('Region 1'!$W$2:$W$498,'Region 1'!$X$2:$X$498,$B5,'Region 1'!$S$2:$S$498,M$1)</f>
        <v>#DIV/0!</v>
      </c>
      <c r="U5" t="e">
        <f>AVERAGEIFS('Region 1'!$W$2:$W$498,'Region 1'!$X$2:$X$498,$B5,'Region 1'!$S$2:$S$498,N$1)</f>
        <v>#DIV/0!</v>
      </c>
      <c r="V5">
        <f>AVERAGEIFS('Region 1'!$W$2:$W$498,'Region 1'!$X$2:$X$498,$B5,'Region 1'!$S$2:$S$498,O$1)</f>
        <v>1.1965811965811965</v>
      </c>
    </row>
    <row r="6" spans="1:22" x14ac:dyDescent="0.3">
      <c r="A6">
        <f>A2+1</f>
        <v>2</v>
      </c>
      <c r="B6">
        <f>B2</f>
        <v>1</v>
      </c>
      <c r="C6" s="96">
        <f t="shared" si="0"/>
        <v>7.2624524065872329</v>
      </c>
      <c r="D6" s="96">
        <f t="shared" si="1"/>
        <v>472.09752941293073</v>
      </c>
      <c r="E6" s="96">
        <f t="shared" si="2"/>
        <v>48.44701508144756</v>
      </c>
      <c r="F6" s="96">
        <f t="shared" si="3"/>
        <v>0.80209880290543722</v>
      </c>
      <c r="G6" s="96">
        <f t="shared" si="4"/>
        <v>1.8448479001985523</v>
      </c>
      <c r="H6" s="96">
        <f t="shared" si="5"/>
        <v>3.3209795752275864</v>
      </c>
      <c r="J6">
        <f>COUNTIFS('Region 2'!$X$2:$X$29,$B6,'Region 2'!$S$2:$S$29,J$1)</f>
        <v>4</v>
      </c>
      <c r="K6">
        <f>COUNTIFS('Region 2'!$X$2:$X$29,$B6,'Region 2'!$S$2:$S$29,K$1)</f>
        <v>4</v>
      </c>
      <c r="L6">
        <f>COUNTIFS('Region 2'!$X$2:$X$29,$B6,'Region 2'!$S$2:$S$29,L$1)</f>
        <v>2</v>
      </c>
      <c r="M6">
        <f>COUNTIFS('Region 2'!$X$2:$X$29,$B6,'Region 2'!$S$2:$S$29,M$1)</f>
        <v>2</v>
      </c>
      <c r="N6">
        <f>COUNTIFS('Region 2'!$X$2:$X$29,$B6,'Region 2'!$S$2:$S$29,N$1)</f>
        <v>5</v>
      </c>
      <c r="O6">
        <f>COUNTIFS('Region 2'!$X$2:$X$29,$B6,'Region 2'!$S$2:$S$29,O$1)</f>
        <v>2</v>
      </c>
      <c r="Q6" s="94">
        <f>AVERAGEIFS('Region 2'!$W$2:$W$29,'Region 2'!$X$2:$X$29,$B6,'Region 2'!$S$2:$S$29,J$1)</f>
        <v>7.2624524065872329</v>
      </c>
      <c r="R6" s="94">
        <f>AVERAGEIFS('Region 2'!$W$2:$W$29,'Region 2'!$X$2:$X$29,$B6,'Region 2'!$S$2:$S$29,K$1)</f>
        <v>472.09752941293073</v>
      </c>
      <c r="S6" s="94">
        <f>AVERAGEIFS('Region 2'!$W$2:$W$29,'Region 2'!$X$2:$X$29,$B6,'Region 2'!$S$2:$S$29,L$1)</f>
        <v>48.44701508144756</v>
      </c>
      <c r="T6" s="94">
        <f>AVERAGEIFS('Region 2'!$W$2:$W$29,'Region 2'!$X$2:$X$29,$B6,'Region 2'!$S$2:$S$29,M$1)</f>
        <v>0.80209880290543722</v>
      </c>
      <c r="U6" s="94">
        <f>AVERAGEIFS('Region 2'!$W$2:$W$29,'Region 2'!$X$2:$X$29,$B6,'Region 2'!$S$2:$S$29,N$1)</f>
        <v>1.8448479001985523</v>
      </c>
      <c r="V6" s="94">
        <f>AVERAGEIFS('Region 2'!$W$2:$W$29,'Region 2'!$X$2:$X$29,$B6,'Region 2'!$S$2:$S$29,O$1)</f>
        <v>3.3209795752275864</v>
      </c>
    </row>
    <row r="7" spans="1:22" x14ac:dyDescent="0.3">
      <c r="A7">
        <f t="shared" ref="A7:A70" si="6">A3+1</f>
        <v>2</v>
      </c>
      <c r="B7">
        <f t="shared" ref="B7:B70" si="7">B3</f>
        <v>2</v>
      </c>
      <c r="C7" s="96" t="str">
        <f t="shared" si="0"/>
        <v>-</v>
      </c>
      <c r="D7" s="96" t="str">
        <f t="shared" si="1"/>
        <v>-</v>
      </c>
      <c r="E7" s="96" t="str">
        <f t="shared" si="2"/>
        <v>-</v>
      </c>
      <c r="F7" s="96" t="str">
        <f t="shared" si="3"/>
        <v>-</v>
      </c>
      <c r="G7" s="96" t="str">
        <f t="shared" si="4"/>
        <v>-</v>
      </c>
      <c r="H7" s="96" t="str">
        <f t="shared" si="5"/>
        <v>-</v>
      </c>
      <c r="J7">
        <f>COUNTIFS('Region 2'!$X$2:$X$29,$B7,'Region 2'!$S$2:$S$29,J$1)</f>
        <v>0</v>
      </c>
      <c r="K7">
        <f>COUNTIFS('Region 2'!$X$2:$X$29,$B7,'Region 2'!$S$2:$S$29,K$1)</f>
        <v>0</v>
      </c>
      <c r="L7">
        <f>COUNTIFS('Region 2'!$X$2:$X$29,$B7,'Region 2'!$S$2:$S$29,L$1)</f>
        <v>0</v>
      </c>
      <c r="M7">
        <f>COUNTIFS('Region 2'!$X$2:$X$29,$B7,'Region 2'!$S$2:$S$29,M$1)</f>
        <v>0</v>
      </c>
      <c r="N7">
        <f>COUNTIFS('Region 2'!$X$2:$X$29,$B7,'Region 2'!$S$2:$S$29,N$1)</f>
        <v>0</v>
      </c>
      <c r="O7">
        <f>COUNTIFS('Region 2'!$X$2:$X$29,$B7,'Region 2'!$S$2:$S$29,O$1)</f>
        <v>0</v>
      </c>
      <c r="Q7" s="94" t="e">
        <f>AVERAGEIFS('Region 2'!$W$2:$W$29,'Region 2'!$X$2:$X$29,$B7,'Region 2'!$S$2:$S$29,J$1)</f>
        <v>#DIV/0!</v>
      </c>
      <c r="R7" s="94" t="e">
        <f>AVERAGEIFS('Region 2'!$W$2:$W$29,'Region 2'!$X$2:$X$29,$B7,'Region 2'!$S$2:$S$29,K$1)</f>
        <v>#DIV/0!</v>
      </c>
      <c r="S7" s="94" t="e">
        <f>AVERAGEIFS('Region 2'!$W$2:$W$29,'Region 2'!$X$2:$X$29,$B7,'Region 2'!$S$2:$S$29,L$1)</f>
        <v>#DIV/0!</v>
      </c>
      <c r="T7" s="94" t="e">
        <f>AVERAGEIFS('Region 2'!$W$2:$W$29,'Region 2'!$X$2:$X$29,$B7,'Region 2'!$S$2:$S$29,M$1)</f>
        <v>#DIV/0!</v>
      </c>
      <c r="U7" s="94" t="e">
        <f>AVERAGEIFS('Region 2'!$W$2:$W$29,'Region 2'!$X$2:$X$29,$B7,'Region 2'!$S$2:$S$29,N$1)</f>
        <v>#DIV/0!</v>
      </c>
      <c r="V7" s="94" t="e">
        <f>AVERAGEIFS('Region 2'!$W$2:$W$29,'Region 2'!$X$2:$X$29,$B7,'Region 2'!$S$2:$S$29,O$1)</f>
        <v>#DIV/0!</v>
      </c>
    </row>
    <row r="8" spans="1:22" x14ac:dyDescent="0.3">
      <c r="A8">
        <f t="shared" si="6"/>
        <v>2</v>
      </c>
      <c r="B8">
        <f t="shared" si="7"/>
        <v>3</v>
      </c>
      <c r="C8" s="96">
        <f t="shared" si="0"/>
        <v>1.2367070375137466</v>
      </c>
      <c r="D8" s="116">
        <f t="shared" si="1"/>
        <v>57.68855726207731</v>
      </c>
      <c r="E8" s="96" t="str">
        <f t="shared" si="2"/>
        <v>-</v>
      </c>
      <c r="F8" s="96" t="str">
        <f t="shared" si="3"/>
        <v>-</v>
      </c>
      <c r="G8" s="96">
        <f t="shared" si="4"/>
        <v>4.9221633615445137</v>
      </c>
      <c r="H8" s="96" t="str">
        <f t="shared" si="5"/>
        <v>-</v>
      </c>
      <c r="J8">
        <f>COUNTIFS('Region 2'!$X$2:$X$29,$B8,'Region 2'!$S$2:$S$29,J$1)</f>
        <v>2</v>
      </c>
      <c r="K8">
        <f>COUNTIFS('Region 2'!$X$2:$X$29,$B8,'Region 2'!$S$2:$S$29,K$1)</f>
        <v>2</v>
      </c>
      <c r="L8">
        <f>COUNTIFS('Region 2'!$X$2:$X$29,$B8,'Region 2'!$S$2:$S$29,L$1)</f>
        <v>0</v>
      </c>
      <c r="M8">
        <f>COUNTIFS('Region 2'!$X$2:$X$29,$B8,'Region 2'!$S$2:$S$29,M$1)</f>
        <v>0</v>
      </c>
      <c r="N8">
        <f>COUNTIFS('Region 2'!$X$2:$X$29,$B8,'Region 2'!$S$2:$S$29,N$1)</f>
        <v>2</v>
      </c>
      <c r="O8">
        <f>COUNTIFS('Region 2'!$X$2:$X$29,$B8,'Region 2'!$S$2:$S$29,O$1)</f>
        <v>0</v>
      </c>
      <c r="Q8" s="94">
        <f>AVERAGEIFS('Region 2'!$W$2:$W$29,'Region 2'!$X$2:$X$29,$B8,'Region 2'!$S$2:$S$29,J$1)</f>
        <v>1.2367070375137466</v>
      </c>
      <c r="R8" s="94">
        <f>AVERAGEIFS('Region 2'!$W$2:$W$29,'Region 2'!$X$2:$X$29,$B8,'Region 2'!$S$2:$S$29,K$1)</f>
        <v>57.68855726207731</v>
      </c>
      <c r="S8" s="94" t="e">
        <f>AVERAGEIFS('Region 2'!$W$2:$W$29,'Region 2'!$X$2:$X$29,$B8,'Region 2'!$S$2:$S$29,L$1)</f>
        <v>#DIV/0!</v>
      </c>
      <c r="T8" s="94" t="e">
        <f>AVERAGEIFS('Region 2'!$W$2:$W$29,'Region 2'!$X$2:$X$29,$B8,'Region 2'!$S$2:$S$29,M$1)</f>
        <v>#DIV/0!</v>
      </c>
      <c r="U8" s="94">
        <f>AVERAGEIFS('Region 2'!$W$2:$W$29,'Region 2'!$X$2:$X$29,$B8,'Region 2'!$S$2:$S$29,N$1)</f>
        <v>4.9221633615445137</v>
      </c>
      <c r="V8" s="94" t="e">
        <f>AVERAGEIFS('Region 2'!$W$2:$W$29,'Region 2'!$X$2:$X$29,$B8,'Region 2'!$S$2:$S$29,O$1)</f>
        <v>#DIV/0!</v>
      </c>
    </row>
    <row r="9" spans="1:22" x14ac:dyDescent="0.3">
      <c r="A9">
        <f t="shared" si="6"/>
        <v>2</v>
      </c>
      <c r="B9">
        <f t="shared" si="7"/>
        <v>4</v>
      </c>
      <c r="C9" s="96">
        <f t="shared" si="0"/>
        <v>61.484678762915195</v>
      </c>
      <c r="D9" s="96">
        <f t="shared" si="1"/>
        <v>265.24459219426546</v>
      </c>
      <c r="E9" s="96" t="str">
        <f t="shared" si="2"/>
        <v>-</v>
      </c>
      <c r="F9" s="96" t="str">
        <f t="shared" si="3"/>
        <v>-</v>
      </c>
      <c r="G9" s="96">
        <f t="shared" si="4"/>
        <v>3.0473839500458659</v>
      </c>
      <c r="H9" s="96" t="str">
        <f t="shared" si="5"/>
        <v>-</v>
      </c>
      <c r="J9">
        <f>COUNTIFS('Region 2'!$X$2:$X$29,$B9,'Region 2'!$S$2:$S$29,J$1)</f>
        <v>1</v>
      </c>
      <c r="K9">
        <f>COUNTIFS('Region 2'!$X$2:$X$29,$B9,'Region 2'!$S$2:$S$29,K$1)</f>
        <v>1</v>
      </c>
      <c r="L9">
        <f>COUNTIFS('Region 2'!$X$2:$X$29,$B9,'Region 2'!$S$2:$S$29,L$1)</f>
        <v>0</v>
      </c>
      <c r="M9">
        <f>COUNTIFS('Region 2'!$X$2:$X$29,$B9,'Region 2'!$S$2:$S$29,M$1)</f>
        <v>0</v>
      </c>
      <c r="N9">
        <f>COUNTIFS('Region 2'!$X$2:$X$29,$B9,'Region 2'!$S$2:$S$29,N$1)</f>
        <v>1</v>
      </c>
      <c r="O9">
        <f>COUNTIFS('Region 2'!$X$2:$X$29,$B9,'Region 2'!$S$2:$S$29,O$1)</f>
        <v>0</v>
      </c>
      <c r="Q9" s="94">
        <f>AVERAGEIFS('Region 2'!$W$2:$W$29,'Region 2'!$X$2:$X$29,$B9,'Region 2'!$S$2:$S$29,J$1)</f>
        <v>61.484678762915195</v>
      </c>
      <c r="R9" s="94">
        <f>AVERAGEIFS('Region 2'!$W$2:$W$29,'Region 2'!$X$2:$X$29,$B9,'Region 2'!$S$2:$S$29,K$1)</f>
        <v>265.24459219426546</v>
      </c>
      <c r="S9" s="94" t="e">
        <f>AVERAGEIFS('Region 2'!$W$2:$W$29,'Region 2'!$X$2:$X$29,$B9,'Region 2'!$S$2:$S$29,L$1)</f>
        <v>#DIV/0!</v>
      </c>
      <c r="T9" s="94" t="e">
        <f>AVERAGEIFS('Region 2'!$W$2:$W$29,'Region 2'!$X$2:$X$29,$B9,'Region 2'!$S$2:$S$29,M$1)</f>
        <v>#DIV/0!</v>
      </c>
      <c r="U9" s="94">
        <f>AVERAGEIFS('Region 2'!$W$2:$W$29,'Region 2'!$X$2:$X$29,$B9,'Region 2'!$S$2:$S$29,N$1)</f>
        <v>3.0473839500458659</v>
      </c>
      <c r="V9" s="94" t="e">
        <f>AVERAGEIFS('Region 2'!$W$2:$W$29,'Region 2'!$X$2:$X$29,$B9,'Region 2'!$S$2:$S$29,O$1)</f>
        <v>#DIV/0!</v>
      </c>
    </row>
    <row r="10" spans="1:22" x14ac:dyDescent="0.3">
      <c r="A10">
        <f t="shared" si="6"/>
        <v>3</v>
      </c>
      <c r="B10">
        <f t="shared" si="7"/>
        <v>1</v>
      </c>
      <c r="C10" s="96" t="str">
        <f t="shared" si="0"/>
        <v>-</v>
      </c>
      <c r="D10" s="96" t="str">
        <f t="shared" si="1"/>
        <v>-</v>
      </c>
      <c r="E10" s="96" t="str">
        <f t="shared" si="2"/>
        <v>-</v>
      </c>
      <c r="F10" s="96" t="str">
        <f t="shared" si="3"/>
        <v>-</v>
      </c>
      <c r="G10" s="96" t="str">
        <f t="shared" si="4"/>
        <v>-</v>
      </c>
      <c r="H10" s="96" t="str">
        <f t="shared" si="5"/>
        <v>-</v>
      </c>
      <c r="J10" s="94">
        <f>COUNTIFS('Region 3'!$X$2:$X$500,$B10,'Region 3'!$S$2:$S$500,J$1)</f>
        <v>0</v>
      </c>
      <c r="K10" s="94">
        <f>COUNTIFS('Region 3'!$X$2:$X$500,$B10,'Region 3'!$S$2:$S$500,K$1)</f>
        <v>0</v>
      </c>
      <c r="L10" s="94">
        <f>COUNTIFS('Region 3'!$X$2:$X$500,$B10,'Region 3'!$S$2:$S$500,L$1)</f>
        <v>0</v>
      </c>
      <c r="M10" s="94">
        <f>COUNTIFS('Region 3'!$X$2:$X$500,$B10,'Region 3'!$S$2:$S$500,M$1)</f>
        <v>0</v>
      </c>
      <c r="N10" s="94">
        <f>COUNTIFS('Region 3'!$X$2:$X$500,$B10,'Region 3'!$S$2:$S$500,N$1)</f>
        <v>0</v>
      </c>
      <c r="O10" s="94">
        <f>COUNTIFS('Region 3'!$X$2:$X$500,$B10,'Region 3'!$S$2:$S$500,O$1)</f>
        <v>0</v>
      </c>
      <c r="Q10" t="e">
        <f ca="1">AVERAGEIFS('Region 3'!$W$2:$W$500,'Region 3'!$X$2:$X$500,$B10,'Region 3'!$S$2:$S$500,J$1)</f>
        <v>#DIV/0!</v>
      </c>
      <c r="R10" t="e">
        <f ca="1">AVERAGEIFS('Region 3'!$W$2:$W$500,'Region 3'!$X$2:$X$500,$B10,'Region 3'!$S$2:$S$500,K$1)</f>
        <v>#DIV/0!</v>
      </c>
      <c r="S10" t="e">
        <f ca="1">AVERAGEIFS('Region 3'!$W$2:$W$500,'Region 3'!$X$2:$X$500,$B10,'Region 3'!$S$2:$S$500,L$1)</f>
        <v>#DIV/0!</v>
      </c>
      <c r="T10" t="e">
        <f ca="1">AVERAGEIFS('Region 3'!$W$2:$W$500,'Region 3'!$X$2:$X$500,$B10,'Region 3'!$S$2:$S$500,M$1)</f>
        <v>#DIV/0!</v>
      </c>
      <c r="U10" t="e">
        <f ca="1">AVERAGEIFS('Region 3'!$W$2:$W$500,'Region 3'!$X$2:$X$500,$B10,'Region 3'!$S$2:$S$500,N$1)</f>
        <v>#DIV/0!</v>
      </c>
      <c r="V10" t="e">
        <f ca="1">AVERAGEIFS('Region 3'!$W$2:$W$500,'Region 3'!$X$2:$X$500,$B10,'Region 3'!$S$2:$S$500,O$1)</f>
        <v>#DIV/0!</v>
      </c>
    </row>
    <row r="11" spans="1:22" x14ac:dyDescent="0.3">
      <c r="A11">
        <f t="shared" si="6"/>
        <v>3</v>
      </c>
      <c r="B11">
        <f t="shared" si="7"/>
        <v>2</v>
      </c>
      <c r="C11" s="96" t="str">
        <f t="shared" si="0"/>
        <v>-</v>
      </c>
      <c r="D11" s="96" t="str">
        <f t="shared" si="1"/>
        <v>-</v>
      </c>
      <c r="E11" s="96" t="str">
        <f t="shared" si="2"/>
        <v>-</v>
      </c>
      <c r="F11" s="96" t="str">
        <f t="shared" si="3"/>
        <v>-</v>
      </c>
      <c r="G11" s="96" t="str">
        <f t="shared" si="4"/>
        <v>-</v>
      </c>
      <c r="H11" s="96" t="str">
        <f t="shared" si="5"/>
        <v>-</v>
      </c>
      <c r="J11" s="94">
        <f>COUNTIFS('Region 3'!$X$2:$X$500,$B11,'Region 3'!$S$2:$S$500,J$1)</f>
        <v>0</v>
      </c>
      <c r="K11" s="94">
        <f>COUNTIFS('Region 3'!$X$2:$X$500,$B11,'Region 3'!$S$2:$S$500,K$1)</f>
        <v>0</v>
      </c>
      <c r="L11" s="94">
        <f>COUNTIFS('Region 3'!$X$2:$X$500,$B11,'Region 3'!$S$2:$S$500,L$1)</f>
        <v>0</v>
      </c>
      <c r="M11" s="94">
        <f>COUNTIFS('Region 3'!$X$2:$X$500,$B11,'Region 3'!$S$2:$S$500,M$1)</f>
        <v>0</v>
      </c>
      <c r="N11" s="94">
        <f>COUNTIFS('Region 3'!$X$2:$X$500,$B11,'Region 3'!$S$2:$S$500,N$1)</f>
        <v>0</v>
      </c>
      <c r="O11" s="94">
        <f>COUNTIFS('Region 3'!$X$2:$X$500,$B11,'Region 3'!$S$2:$S$500,O$1)</f>
        <v>0</v>
      </c>
      <c r="Q11" t="e">
        <f ca="1">AVERAGEIFS('Region 3'!$W$2:$W$500,'Region 3'!$X$2:$X$500,$B11,'Region 3'!$S$2:$S$500,J$1)</f>
        <v>#DIV/0!</v>
      </c>
      <c r="R11" t="e">
        <f ca="1">AVERAGEIFS('Region 3'!$W$2:$W$500,'Region 3'!$X$2:$X$500,$B11,'Region 3'!$S$2:$S$500,K$1)</f>
        <v>#DIV/0!</v>
      </c>
      <c r="S11" t="e">
        <f ca="1">AVERAGEIFS('Region 3'!$W$2:$W$500,'Region 3'!$X$2:$X$500,$B11,'Region 3'!$S$2:$S$500,L$1)</f>
        <v>#DIV/0!</v>
      </c>
      <c r="T11" t="e">
        <f ca="1">AVERAGEIFS('Region 3'!$W$2:$W$500,'Region 3'!$X$2:$X$500,$B11,'Region 3'!$S$2:$S$500,M$1)</f>
        <v>#DIV/0!</v>
      </c>
      <c r="U11" t="e">
        <f ca="1">AVERAGEIFS('Region 3'!$W$2:$W$500,'Region 3'!$X$2:$X$500,$B11,'Region 3'!$S$2:$S$500,N$1)</f>
        <v>#DIV/0!</v>
      </c>
      <c r="V11" t="e">
        <f ca="1">AVERAGEIFS('Region 3'!$W$2:$W$500,'Region 3'!$X$2:$X$500,$B11,'Region 3'!$S$2:$S$500,O$1)</f>
        <v>#DIV/0!</v>
      </c>
    </row>
    <row r="12" spans="1:22" x14ac:dyDescent="0.3">
      <c r="A12">
        <f t="shared" si="6"/>
        <v>3</v>
      </c>
      <c r="B12">
        <f t="shared" si="7"/>
        <v>3</v>
      </c>
      <c r="C12" s="96" t="str">
        <f t="shared" si="0"/>
        <v>-</v>
      </c>
      <c r="D12" s="96" t="str">
        <f t="shared" si="1"/>
        <v>-</v>
      </c>
      <c r="E12" s="96" t="str">
        <f t="shared" si="2"/>
        <v>-</v>
      </c>
      <c r="F12" s="96" t="str">
        <f t="shared" si="3"/>
        <v>-</v>
      </c>
      <c r="G12" s="96" t="str">
        <f t="shared" si="4"/>
        <v>-</v>
      </c>
      <c r="H12" s="96" t="str">
        <f t="shared" si="5"/>
        <v>-</v>
      </c>
      <c r="J12" s="94">
        <f>COUNTIFS('Region 3'!$X$2:$X$500,$B12,'Region 3'!$S$2:$S$500,J$1)</f>
        <v>0</v>
      </c>
      <c r="K12" s="94">
        <f>COUNTIFS('Region 3'!$X$2:$X$500,$B12,'Region 3'!$S$2:$S$500,K$1)</f>
        <v>0</v>
      </c>
      <c r="L12" s="94">
        <f>COUNTIFS('Region 3'!$X$2:$X$500,$B12,'Region 3'!$S$2:$S$500,L$1)</f>
        <v>0</v>
      </c>
      <c r="M12" s="94">
        <f>COUNTIFS('Region 3'!$X$2:$X$500,$B12,'Region 3'!$S$2:$S$500,M$1)</f>
        <v>0</v>
      </c>
      <c r="N12" s="94">
        <f>COUNTIFS('Region 3'!$X$2:$X$500,$B12,'Region 3'!$S$2:$S$500,N$1)</f>
        <v>0</v>
      </c>
      <c r="O12" s="94">
        <f>COUNTIFS('Region 3'!$X$2:$X$500,$B12,'Region 3'!$S$2:$S$500,O$1)</f>
        <v>0</v>
      </c>
      <c r="Q12" t="e">
        <f ca="1">AVERAGEIFS('Region 3'!$W$2:$W$500,'Region 3'!$X$2:$X$500,$B12,'Region 3'!$S$2:$S$500,J$1)</f>
        <v>#DIV/0!</v>
      </c>
      <c r="R12" t="e">
        <f ca="1">AVERAGEIFS('Region 3'!$W$2:$W$500,'Region 3'!$X$2:$X$500,$B12,'Region 3'!$S$2:$S$500,K$1)</f>
        <v>#DIV/0!</v>
      </c>
      <c r="S12" t="e">
        <f ca="1">AVERAGEIFS('Region 3'!$W$2:$W$500,'Region 3'!$X$2:$X$500,$B12,'Region 3'!$S$2:$S$500,L$1)</f>
        <v>#DIV/0!</v>
      </c>
      <c r="T12" t="e">
        <f ca="1">AVERAGEIFS('Region 3'!$W$2:$W$500,'Region 3'!$X$2:$X$500,$B12,'Region 3'!$S$2:$S$500,M$1)</f>
        <v>#DIV/0!</v>
      </c>
      <c r="U12" t="e">
        <f ca="1">AVERAGEIFS('Region 3'!$W$2:$W$500,'Region 3'!$X$2:$X$500,$B12,'Region 3'!$S$2:$S$500,N$1)</f>
        <v>#DIV/0!</v>
      </c>
      <c r="V12" t="e">
        <f ca="1">AVERAGEIFS('Region 3'!$W$2:$W$500,'Region 3'!$X$2:$X$500,$B12,'Region 3'!$S$2:$S$500,O$1)</f>
        <v>#DIV/0!</v>
      </c>
    </row>
    <row r="13" spans="1:22" x14ac:dyDescent="0.3">
      <c r="A13">
        <f t="shared" si="6"/>
        <v>3</v>
      </c>
      <c r="B13">
        <f t="shared" si="7"/>
        <v>4</v>
      </c>
      <c r="C13" s="96" t="str">
        <f t="shared" si="0"/>
        <v>-</v>
      </c>
      <c r="D13" s="96" t="str">
        <f t="shared" si="1"/>
        <v>-</v>
      </c>
      <c r="E13" s="96" t="str">
        <f t="shared" si="2"/>
        <v>-</v>
      </c>
      <c r="F13" s="96" t="str">
        <f t="shared" si="3"/>
        <v>-</v>
      </c>
      <c r="G13" s="96" t="str">
        <f t="shared" si="4"/>
        <v>-</v>
      </c>
      <c r="H13" s="96" t="str">
        <f t="shared" si="5"/>
        <v>-</v>
      </c>
      <c r="J13" s="94">
        <f>COUNTIFS('Region 3'!$X$2:$X$500,$B13,'Region 3'!$S$2:$S$500,J$1)</f>
        <v>0</v>
      </c>
      <c r="K13" s="94">
        <f>COUNTIFS('Region 3'!$X$2:$X$500,$B13,'Region 3'!$S$2:$S$500,K$1)</f>
        <v>0</v>
      </c>
      <c r="L13" s="94">
        <f>COUNTIFS('Region 3'!$X$2:$X$500,$B13,'Region 3'!$S$2:$S$500,L$1)</f>
        <v>0</v>
      </c>
      <c r="M13" s="94">
        <f>COUNTIFS('Region 3'!$X$2:$X$500,$B13,'Region 3'!$S$2:$S$500,M$1)</f>
        <v>0</v>
      </c>
      <c r="N13" s="94">
        <f>COUNTIFS('Region 3'!$X$2:$X$500,$B13,'Region 3'!$S$2:$S$500,N$1)</f>
        <v>0</v>
      </c>
      <c r="O13" s="94">
        <f>COUNTIFS('Region 3'!$X$2:$X$500,$B13,'Region 3'!$S$2:$S$500,O$1)</f>
        <v>0</v>
      </c>
      <c r="Q13" t="e">
        <f ca="1">AVERAGEIFS('Region 3'!$W$2:$W$500,'Region 3'!$X$2:$X$500,$B13,'Region 3'!$S$2:$S$500,J$1)</f>
        <v>#DIV/0!</v>
      </c>
      <c r="R13" t="e">
        <f ca="1">AVERAGEIFS('Region 3'!$W$2:$W$500,'Region 3'!$X$2:$X$500,$B13,'Region 3'!$S$2:$S$500,K$1)</f>
        <v>#DIV/0!</v>
      </c>
      <c r="S13" t="e">
        <f ca="1">AVERAGEIFS('Region 3'!$W$2:$W$500,'Region 3'!$X$2:$X$500,$B13,'Region 3'!$S$2:$S$500,L$1)</f>
        <v>#DIV/0!</v>
      </c>
      <c r="T13" t="e">
        <f ca="1">AVERAGEIFS('Region 3'!$W$2:$W$500,'Region 3'!$X$2:$X$500,$B13,'Region 3'!$S$2:$S$500,M$1)</f>
        <v>#DIV/0!</v>
      </c>
      <c r="U13" t="e">
        <f ca="1">AVERAGEIFS('Region 3'!$W$2:$W$500,'Region 3'!$X$2:$X$500,$B13,'Region 3'!$S$2:$S$500,N$1)</f>
        <v>#DIV/0!</v>
      </c>
      <c r="V13" t="e">
        <f ca="1">AVERAGEIFS('Region 3'!$W$2:$W$500,'Region 3'!$X$2:$X$500,$B13,'Region 3'!$S$2:$S$500,O$1)</f>
        <v>#DIV/0!</v>
      </c>
    </row>
    <row r="14" spans="1:22" x14ac:dyDescent="0.3">
      <c r="A14">
        <f t="shared" si="6"/>
        <v>4</v>
      </c>
      <c r="B14">
        <f t="shared" si="7"/>
        <v>1</v>
      </c>
      <c r="C14" s="96">
        <f t="shared" si="0"/>
        <v>35.5</v>
      </c>
      <c r="D14" s="96">
        <f t="shared" si="1"/>
        <v>735</v>
      </c>
      <c r="E14" s="96">
        <f t="shared" si="2"/>
        <v>90</v>
      </c>
      <c r="F14" s="96" t="str">
        <f t="shared" si="3"/>
        <v>-</v>
      </c>
      <c r="G14" s="96" t="str">
        <f t="shared" si="4"/>
        <v>-</v>
      </c>
      <c r="H14" s="96" t="str">
        <f t="shared" si="5"/>
        <v>-</v>
      </c>
      <c r="J14">
        <f>COUNTIFS('Region 4'!$X$2:$X$10,$B14,'Region 4'!$S$2:$S$10,J$1)</f>
        <v>2</v>
      </c>
      <c r="K14">
        <f>COUNTIFS('Region 4'!$X$2:$X$10,$B14,'Region 4'!$S$2:$S$10,K$1)</f>
        <v>2</v>
      </c>
      <c r="L14">
        <f>COUNTIFS('Region 4'!$X$2:$X$10,$B14,'Region 4'!$S$2:$S$10,L$1)</f>
        <v>2</v>
      </c>
      <c r="M14">
        <f>COUNTIFS('Region 4'!$X$2:$X$10,$B14,'Region 4'!$S$2:$S$10,M$1)</f>
        <v>0</v>
      </c>
      <c r="N14">
        <f>COUNTIFS('Region 4'!$X$2:$X$10,$B14,'Region 4'!$S$2:$S$10,N$1)</f>
        <v>0</v>
      </c>
      <c r="O14">
        <f>COUNTIFS('Region 4'!$X$2:$X$10,$B14,'Region 4'!$S$2:$S$10,O$1)</f>
        <v>0</v>
      </c>
      <c r="Q14" s="94">
        <f>AVERAGEIFS('Region 4'!$W$2:$W$10,'Region 4'!$X$2:$X$10,$B14,'Region 4'!$S$2:$S$10,J$1)</f>
        <v>35.5</v>
      </c>
      <c r="R14" s="94">
        <f>AVERAGEIFS('Region 4'!$W$2:$W$10,'Region 4'!$X$2:$X$10,$B14,'Region 4'!$S$2:$S$10,K$1)</f>
        <v>735</v>
      </c>
      <c r="S14" s="94">
        <f>AVERAGEIFS('Region 4'!$W$2:$W$10,'Region 4'!$X$2:$X$10,$B14,'Region 4'!$S$2:$S$10,L$1)</f>
        <v>90</v>
      </c>
      <c r="T14" s="94" t="e">
        <f>AVERAGEIFS('Region 4'!$W$2:$W$10,'Region 4'!$X$2:$X$10,$B14,'Region 4'!$S$2:$S$10,M$1)</f>
        <v>#DIV/0!</v>
      </c>
      <c r="U14" s="94" t="e">
        <f>AVERAGEIFS('Region 4'!$W$2:$W$10,'Region 4'!$X$2:$X$10,$B14,'Region 4'!$S$2:$S$10,N$1)</f>
        <v>#DIV/0!</v>
      </c>
      <c r="V14" s="94" t="e">
        <f>AVERAGEIFS('Region 4'!$W$2:$W$10,'Region 4'!$X$2:$X$10,$B14,'Region 4'!$S$2:$S$10,O$1)</f>
        <v>#DIV/0!</v>
      </c>
    </row>
    <row r="15" spans="1:22" x14ac:dyDescent="0.3">
      <c r="A15">
        <f t="shared" si="6"/>
        <v>4</v>
      </c>
      <c r="B15">
        <f t="shared" si="7"/>
        <v>2</v>
      </c>
      <c r="C15" s="96">
        <f t="shared" si="0"/>
        <v>27</v>
      </c>
      <c r="D15" s="96">
        <f t="shared" si="1"/>
        <v>1315</v>
      </c>
      <c r="E15" s="96">
        <f t="shared" si="2"/>
        <v>40</v>
      </c>
      <c r="F15" s="96" t="str">
        <f t="shared" si="3"/>
        <v>-</v>
      </c>
      <c r="G15" s="96" t="str">
        <f t="shared" si="4"/>
        <v>-</v>
      </c>
      <c r="H15" s="96" t="str">
        <f t="shared" si="5"/>
        <v>-</v>
      </c>
      <c r="J15">
        <f>COUNTIFS('Region 4'!$X$2:$X$10,$B15,'Region 4'!$S$2:$S$10,J$1)</f>
        <v>1</v>
      </c>
      <c r="K15">
        <f>COUNTIFS('Region 4'!$X$2:$X$10,$B15,'Region 4'!$S$2:$S$10,K$1)</f>
        <v>1</v>
      </c>
      <c r="L15">
        <f>COUNTIFS('Region 4'!$X$2:$X$10,$B15,'Region 4'!$S$2:$S$10,L$1)</f>
        <v>1</v>
      </c>
      <c r="M15">
        <f>COUNTIFS('Region 4'!$X$2:$X$10,$B15,'Region 4'!$S$2:$S$10,M$1)</f>
        <v>0</v>
      </c>
      <c r="N15">
        <f>COUNTIFS('Region 4'!$X$2:$X$10,$B15,'Region 4'!$S$2:$S$10,N$1)</f>
        <v>0</v>
      </c>
      <c r="O15">
        <f>COUNTIFS('Region 4'!$X$2:$X$10,$B15,'Region 4'!$S$2:$S$10,O$1)</f>
        <v>0</v>
      </c>
      <c r="Q15" s="94">
        <f>AVERAGEIFS('Region 4'!$W$2:$W$10,'Region 4'!$X$2:$X$10,$B15,'Region 4'!$S$2:$S$10,J$1)</f>
        <v>27</v>
      </c>
      <c r="R15" s="94">
        <f>AVERAGEIFS('Region 4'!$W$2:$W$10,'Region 4'!$X$2:$X$10,$B15,'Region 4'!$S$2:$S$10,K$1)</f>
        <v>1315</v>
      </c>
      <c r="S15" s="94">
        <f>AVERAGEIFS('Region 4'!$W$2:$W$10,'Region 4'!$X$2:$X$10,$B15,'Region 4'!$S$2:$S$10,L$1)</f>
        <v>40</v>
      </c>
      <c r="T15" s="94" t="e">
        <f>AVERAGEIFS('Region 4'!$W$2:$W$10,'Region 4'!$X$2:$X$10,$B15,'Region 4'!$S$2:$S$10,M$1)</f>
        <v>#DIV/0!</v>
      </c>
      <c r="U15" s="94" t="e">
        <f>AVERAGEIFS('Region 4'!$W$2:$W$10,'Region 4'!$X$2:$X$10,$B15,'Region 4'!$S$2:$S$10,N$1)</f>
        <v>#DIV/0!</v>
      </c>
      <c r="V15" s="94" t="e">
        <f>AVERAGEIFS('Region 4'!$W$2:$W$10,'Region 4'!$X$2:$X$10,$B15,'Region 4'!$S$2:$S$10,O$1)</f>
        <v>#DIV/0!</v>
      </c>
    </row>
    <row r="16" spans="1:22" x14ac:dyDescent="0.3">
      <c r="A16">
        <f t="shared" si="6"/>
        <v>4</v>
      </c>
      <c r="B16">
        <f t="shared" si="7"/>
        <v>3</v>
      </c>
      <c r="C16" s="96" t="str">
        <f t="shared" si="0"/>
        <v>-</v>
      </c>
      <c r="D16" s="96" t="str">
        <f t="shared" si="1"/>
        <v>-</v>
      </c>
      <c r="E16" s="96" t="str">
        <f t="shared" si="2"/>
        <v>-</v>
      </c>
      <c r="F16" s="96" t="str">
        <f t="shared" si="3"/>
        <v>-</v>
      </c>
      <c r="G16" s="96" t="str">
        <f t="shared" si="4"/>
        <v>-</v>
      </c>
      <c r="H16" s="96" t="str">
        <f t="shared" si="5"/>
        <v>-</v>
      </c>
      <c r="J16">
        <f>COUNTIFS('Region 4'!$X$2:$X$10,$B16,'Region 4'!$S$2:$S$10,J$1)</f>
        <v>0</v>
      </c>
      <c r="K16">
        <f>COUNTIFS('Region 4'!$X$2:$X$10,$B16,'Region 4'!$S$2:$S$10,K$1)</f>
        <v>0</v>
      </c>
      <c r="L16">
        <f>COUNTIFS('Region 4'!$X$2:$X$10,$B16,'Region 4'!$S$2:$S$10,L$1)</f>
        <v>0</v>
      </c>
      <c r="M16">
        <f>COUNTIFS('Region 4'!$X$2:$X$10,$B16,'Region 4'!$S$2:$S$10,M$1)</f>
        <v>0</v>
      </c>
      <c r="N16">
        <f>COUNTIFS('Region 4'!$X$2:$X$10,$B16,'Region 4'!$S$2:$S$10,N$1)</f>
        <v>0</v>
      </c>
      <c r="O16">
        <f>COUNTIFS('Region 4'!$X$2:$X$10,$B16,'Region 4'!$S$2:$S$10,O$1)</f>
        <v>0</v>
      </c>
      <c r="Q16" s="94" t="e">
        <f>AVERAGEIFS('Region 4'!$W$2:$W$10,'Region 4'!$X$2:$X$10,$B16,'Region 4'!$S$2:$S$10,J$1)</f>
        <v>#DIV/0!</v>
      </c>
      <c r="R16" s="94" t="e">
        <f>AVERAGEIFS('Region 4'!$W$2:$W$10,'Region 4'!$X$2:$X$10,$B16,'Region 4'!$S$2:$S$10,K$1)</f>
        <v>#DIV/0!</v>
      </c>
      <c r="S16" s="94" t="e">
        <f>AVERAGEIFS('Region 4'!$W$2:$W$10,'Region 4'!$X$2:$X$10,$B16,'Region 4'!$S$2:$S$10,L$1)</f>
        <v>#DIV/0!</v>
      </c>
      <c r="T16" s="94" t="e">
        <f>AVERAGEIFS('Region 4'!$W$2:$W$10,'Region 4'!$X$2:$X$10,$B16,'Region 4'!$S$2:$S$10,M$1)</f>
        <v>#DIV/0!</v>
      </c>
      <c r="U16" s="94" t="e">
        <f>AVERAGEIFS('Region 4'!$W$2:$W$10,'Region 4'!$X$2:$X$10,$B16,'Region 4'!$S$2:$S$10,N$1)</f>
        <v>#DIV/0!</v>
      </c>
      <c r="V16" s="94" t="e">
        <f>AVERAGEIFS('Region 4'!$W$2:$W$10,'Region 4'!$X$2:$X$10,$B16,'Region 4'!$S$2:$S$10,O$1)</f>
        <v>#DIV/0!</v>
      </c>
    </row>
    <row r="17" spans="1:22" x14ac:dyDescent="0.3">
      <c r="A17">
        <f t="shared" si="6"/>
        <v>4</v>
      </c>
      <c r="B17">
        <f t="shared" si="7"/>
        <v>4</v>
      </c>
      <c r="C17" s="96" t="str">
        <f t="shared" si="0"/>
        <v>-</v>
      </c>
      <c r="D17" s="96" t="str">
        <f t="shared" si="1"/>
        <v>-</v>
      </c>
      <c r="E17" s="96" t="str">
        <f t="shared" si="2"/>
        <v>-</v>
      </c>
      <c r="F17" s="96" t="str">
        <f t="shared" si="3"/>
        <v>-</v>
      </c>
      <c r="G17" s="96" t="str">
        <f t="shared" si="4"/>
        <v>-</v>
      </c>
      <c r="H17" s="96" t="str">
        <f t="shared" si="5"/>
        <v>-</v>
      </c>
      <c r="J17">
        <f>COUNTIFS('Region 4'!$X$2:$X$10,$B17,'Region 4'!$S$2:$S$10,J$1)</f>
        <v>0</v>
      </c>
      <c r="K17">
        <f>COUNTIFS('Region 4'!$X$2:$X$10,$B17,'Region 4'!$S$2:$S$10,K$1)</f>
        <v>0</v>
      </c>
      <c r="L17">
        <f>COUNTIFS('Region 4'!$X$2:$X$10,$B17,'Region 4'!$S$2:$S$10,L$1)</f>
        <v>0</v>
      </c>
      <c r="M17">
        <f>COUNTIFS('Region 4'!$X$2:$X$10,$B17,'Region 4'!$S$2:$S$10,M$1)</f>
        <v>0</v>
      </c>
      <c r="N17">
        <f>COUNTIFS('Region 4'!$X$2:$X$10,$B17,'Region 4'!$S$2:$S$10,N$1)</f>
        <v>0</v>
      </c>
      <c r="O17">
        <f>COUNTIFS('Region 4'!$X$2:$X$10,$B17,'Region 4'!$S$2:$S$10,O$1)</f>
        <v>0</v>
      </c>
      <c r="Q17" s="94" t="e">
        <f>AVERAGEIFS('Region 4'!$W$2:$W$10,'Region 4'!$X$2:$X$10,$B17,'Region 4'!$S$2:$S$10,J$1)</f>
        <v>#DIV/0!</v>
      </c>
      <c r="R17" s="94" t="e">
        <f>AVERAGEIFS('Region 4'!$W$2:$W$10,'Region 4'!$X$2:$X$10,$B17,'Region 4'!$S$2:$S$10,K$1)</f>
        <v>#DIV/0!</v>
      </c>
      <c r="S17" s="94" t="e">
        <f>AVERAGEIFS('Region 4'!$W$2:$W$10,'Region 4'!$X$2:$X$10,$B17,'Region 4'!$S$2:$S$10,L$1)</f>
        <v>#DIV/0!</v>
      </c>
      <c r="T17" s="94" t="e">
        <f>AVERAGEIFS('Region 4'!$W$2:$W$10,'Region 4'!$X$2:$X$10,$B17,'Region 4'!$S$2:$S$10,M$1)</f>
        <v>#DIV/0!</v>
      </c>
      <c r="U17" s="94" t="e">
        <f>AVERAGEIFS('Region 4'!$W$2:$W$10,'Region 4'!$X$2:$X$10,$B17,'Region 4'!$S$2:$S$10,N$1)</f>
        <v>#DIV/0!</v>
      </c>
      <c r="V17" s="94" t="e">
        <f>AVERAGEIFS('Region 4'!$W$2:$W$10,'Region 4'!$X$2:$X$10,$B17,'Region 4'!$S$2:$S$10,O$1)</f>
        <v>#DIV/0!</v>
      </c>
    </row>
    <row r="18" spans="1:22" x14ac:dyDescent="0.3">
      <c r="A18">
        <f t="shared" si="6"/>
        <v>5</v>
      </c>
      <c r="B18">
        <f t="shared" si="7"/>
        <v>1</v>
      </c>
      <c r="C18" s="96" t="str">
        <f t="shared" si="0"/>
        <v>-</v>
      </c>
      <c r="D18" s="96">
        <f t="shared" si="1"/>
        <v>897.65252584307746</v>
      </c>
      <c r="E18" s="96">
        <f>IF(L18=0,"-",S18)</f>
        <v>868.96</v>
      </c>
      <c r="F18" s="96" t="str">
        <f t="shared" si="3"/>
        <v>-</v>
      </c>
      <c r="G18" s="96" t="str">
        <f t="shared" si="4"/>
        <v>-</v>
      </c>
      <c r="H18" s="96">
        <f t="shared" si="5"/>
        <v>0.8</v>
      </c>
      <c r="J18" s="94">
        <f>COUNTIFS('Region 5'!$X$2:$X$496,$B18,'Region 5'!$S$2:$S$496,J$1)</f>
        <v>0</v>
      </c>
      <c r="K18" s="94">
        <f>COUNTIFS('Region 5'!$X$2:$X$496,$B18,'Region 5'!$S$2:$S$496,K$1)</f>
        <v>3</v>
      </c>
      <c r="L18" s="94">
        <f>COUNTIFS('Region 5'!$X$2:$X$496,$B18,'Region 5'!$S$2:$S$496,L$1)</f>
        <v>1</v>
      </c>
      <c r="M18" s="94">
        <f>COUNTIFS('Region 5'!$X$2:$X$496,$B18,'Region 5'!$S$2:$S$496,M$1)</f>
        <v>0</v>
      </c>
      <c r="N18" s="94">
        <f>COUNTIFS('Region 5'!$X$2:$X$496,$B18,'Region 5'!$S$2:$S$496,N$1)</f>
        <v>0</v>
      </c>
      <c r="O18" s="94">
        <f>COUNTIFS('Region 5'!$X$2:$X$496,$B18,'Region 5'!$S$2:$S$496,O$1)</f>
        <v>1</v>
      </c>
      <c r="Q18" t="e">
        <f>AVERAGEIFS('Region 5'!$W$2:$W$496,'Region 5'!$X$2:$X$496,$B18,'Region 5'!$S$2:$S$496,J$1)</f>
        <v>#DIV/0!</v>
      </c>
      <c r="R18">
        <f>AVERAGEIFS('Region 5'!$W$2:$W$496,'Region 5'!$X$2:$X$496,$B18,'Region 5'!$S$2:$S$496,K$1)</f>
        <v>897.65252584307746</v>
      </c>
      <c r="S18">
        <f>AVERAGEIFS('Region 5'!$W$2:$W$496,'Region 5'!$X$2:$X$496,$B18,'Region 5'!$S$2:$S$496,L$1)</f>
        <v>868.96</v>
      </c>
      <c r="T18" t="e">
        <f>AVERAGEIFS('Region 5'!$W$2:$W$496,'Region 5'!$X$2:$X$496,$B18,'Region 5'!$S$2:$S$496,M$1)</f>
        <v>#DIV/0!</v>
      </c>
      <c r="U18" t="e">
        <f>AVERAGEIFS('Region 5'!$W$2:$W$496,'Region 5'!$X$2:$X$496,$B18,'Region 5'!$S$2:$S$496,N$1)</f>
        <v>#DIV/0!</v>
      </c>
      <c r="V18">
        <f>AVERAGEIFS('Region 5'!$W$2:$W$496,'Region 5'!$X$2:$X$496,$B18,'Region 5'!$S$2:$S$496,O$1)</f>
        <v>0.8</v>
      </c>
    </row>
    <row r="19" spans="1:22" x14ac:dyDescent="0.3">
      <c r="A19">
        <f t="shared" si="6"/>
        <v>5</v>
      </c>
      <c r="B19">
        <f t="shared" si="7"/>
        <v>2</v>
      </c>
      <c r="C19" s="96" t="str">
        <f t="shared" si="0"/>
        <v>-</v>
      </c>
      <c r="D19" s="96" t="str">
        <f t="shared" si="1"/>
        <v>-</v>
      </c>
      <c r="E19" s="96" t="str">
        <f t="shared" si="2"/>
        <v>-</v>
      </c>
      <c r="F19" s="96" t="str">
        <f t="shared" si="3"/>
        <v>-</v>
      </c>
      <c r="G19" s="96" t="str">
        <f t="shared" si="4"/>
        <v>-</v>
      </c>
      <c r="H19" s="96" t="str">
        <f t="shared" si="5"/>
        <v>-</v>
      </c>
      <c r="J19" s="94">
        <f>COUNTIFS('Region 5'!$X$2:$X$496,$B19,'Region 5'!$S$2:$S$496,J$1)</f>
        <v>0</v>
      </c>
      <c r="K19" s="94">
        <f>COUNTIFS('Region 5'!$X$2:$X$496,$B19,'Region 5'!$S$2:$S$496,K$1)</f>
        <v>0</v>
      </c>
      <c r="L19" s="94">
        <f>COUNTIFS('Region 5'!$X$2:$X$496,$B19,'Region 5'!$S$2:$S$496,L$1)</f>
        <v>0</v>
      </c>
      <c r="M19" s="94">
        <f>COUNTIFS('Region 5'!$X$2:$X$496,$B19,'Region 5'!$S$2:$S$496,M$1)</f>
        <v>0</v>
      </c>
      <c r="N19" s="94">
        <f>COUNTIFS('Region 5'!$X$2:$X$496,$B19,'Region 5'!$S$2:$S$496,N$1)</f>
        <v>0</v>
      </c>
      <c r="O19" s="94">
        <f>COUNTIFS('Region 5'!$X$2:$X$496,$B19,'Region 5'!$S$2:$S$496,O$1)</f>
        <v>0</v>
      </c>
      <c r="Q19" t="e">
        <f>AVERAGEIFS('Region 5'!$W$2:$W$496,'Region 5'!$X$2:$X$496,$B19,'Region 5'!$S$2:$S$496,J$1)</f>
        <v>#DIV/0!</v>
      </c>
      <c r="R19" t="e">
        <f>AVERAGEIFS('Region 5'!$W$2:$W$496,'Region 5'!$X$2:$X$496,$B19,'Region 5'!$S$2:$S$496,K$1)</f>
        <v>#DIV/0!</v>
      </c>
      <c r="S19" t="e">
        <f>AVERAGEIFS('Region 5'!$W$2:$W$496,'Region 5'!$X$2:$X$496,$B19,'Region 5'!$S$2:$S$496,L$1)</f>
        <v>#DIV/0!</v>
      </c>
      <c r="T19" t="e">
        <f>AVERAGEIFS('Region 5'!$W$2:$W$496,'Region 5'!$X$2:$X$496,$B19,'Region 5'!$S$2:$S$496,M$1)</f>
        <v>#DIV/0!</v>
      </c>
      <c r="U19" t="e">
        <f>AVERAGEIFS('Region 5'!$W$2:$W$496,'Region 5'!$X$2:$X$496,$B19,'Region 5'!$S$2:$S$496,N$1)</f>
        <v>#DIV/0!</v>
      </c>
      <c r="V19" t="e">
        <f>AVERAGEIFS('Region 5'!$W$2:$W$496,'Region 5'!$X$2:$X$496,$B19,'Region 5'!$S$2:$S$496,O$1)</f>
        <v>#DIV/0!</v>
      </c>
    </row>
    <row r="20" spans="1:22" x14ac:dyDescent="0.3">
      <c r="A20">
        <f t="shared" si="6"/>
        <v>5</v>
      </c>
      <c r="B20">
        <f t="shared" si="7"/>
        <v>3</v>
      </c>
      <c r="C20" s="96" t="str">
        <f t="shared" si="0"/>
        <v>-</v>
      </c>
      <c r="D20" s="96" t="str">
        <f t="shared" si="1"/>
        <v>-</v>
      </c>
      <c r="E20" s="96" t="str">
        <f t="shared" si="2"/>
        <v>-</v>
      </c>
      <c r="F20" s="96" t="str">
        <f t="shared" si="3"/>
        <v>-</v>
      </c>
      <c r="G20" s="96" t="str">
        <f t="shared" si="4"/>
        <v>-</v>
      </c>
      <c r="H20" s="96" t="str">
        <f t="shared" si="5"/>
        <v>-</v>
      </c>
      <c r="J20" s="94">
        <f>COUNTIFS('Region 5'!$X$2:$X$496,$B20,'Region 5'!$S$2:$S$496,J$1)</f>
        <v>0</v>
      </c>
      <c r="K20" s="94">
        <f>COUNTIFS('Region 5'!$X$2:$X$496,$B20,'Region 5'!$S$2:$S$496,K$1)</f>
        <v>0</v>
      </c>
      <c r="L20" s="94">
        <f>COUNTIFS('Region 5'!$X$2:$X$496,$B20,'Region 5'!$S$2:$S$496,L$1)</f>
        <v>0</v>
      </c>
      <c r="M20" s="94">
        <f>COUNTIFS('Region 5'!$X$2:$X$496,$B20,'Region 5'!$S$2:$S$496,M$1)</f>
        <v>0</v>
      </c>
      <c r="N20" s="94">
        <f>COUNTIFS('Region 5'!$X$2:$X$496,$B20,'Region 5'!$S$2:$S$496,N$1)</f>
        <v>0</v>
      </c>
      <c r="O20" s="94">
        <f>COUNTIFS('Region 5'!$X$2:$X$496,$B20,'Region 5'!$S$2:$S$496,O$1)</f>
        <v>0</v>
      </c>
      <c r="Q20" t="e">
        <f>AVERAGEIFS('Region 5'!$W$2:$W$496,'Region 5'!$X$2:$X$496,$B20,'Region 5'!$S$2:$S$496,J$1)</f>
        <v>#DIV/0!</v>
      </c>
      <c r="R20" t="e">
        <f>AVERAGEIFS('Region 5'!$W$2:$W$496,'Region 5'!$X$2:$X$496,$B20,'Region 5'!$S$2:$S$496,K$1)</f>
        <v>#DIV/0!</v>
      </c>
      <c r="S20" t="e">
        <f>AVERAGEIFS('Region 5'!$W$2:$W$496,'Region 5'!$X$2:$X$496,$B20,'Region 5'!$S$2:$S$496,L$1)</f>
        <v>#DIV/0!</v>
      </c>
      <c r="T20" t="e">
        <f>AVERAGEIFS('Region 5'!$W$2:$W$496,'Region 5'!$X$2:$X$496,$B20,'Region 5'!$S$2:$S$496,M$1)</f>
        <v>#DIV/0!</v>
      </c>
      <c r="U20" t="e">
        <f>AVERAGEIFS('Region 5'!$W$2:$W$496,'Region 5'!$X$2:$X$496,$B20,'Region 5'!$S$2:$S$496,N$1)</f>
        <v>#DIV/0!</v>
      </c>
      <c r="V20" t="e">
        <f>AVERAGEIFS('Region 5'!$W$2:$W$496,'Region 5'!$X$2:$X$496,$B20,'Region 5'!$S$2:$S$496,O$1)</f>
        <v>#DIV/0!</v>
      </c>
    </row>
    <row r="21" spans="1:22" x14ac:dyDescent="0.3">
      <c r="A21">
        <f t="shared" si="6"/>
        <v>5</v>
      </c>
      <c r="B21">
        <f t="shared" si="7"/>
        <v>4</v>
      </c>
      <c r="C21" s="96" t="str">
        <f t="shared" si="0"/>
        <v>-</v>
      </c>
      <c r="D21" s="96">
        <f t="shared" si="1"/>
        <v>611.19075053207666</v>
      </c>
      <c r="E21" s="96">
        <f t="shared" si="2"/>
        <v>20.63</v>
      </c>
      <c r="F21" s="96" t="str">
        <f t="shared" si="3"/>
        <v>-</v>
      </c>
      <c r="G21" s="96" t="str">
        <f t="shared" si="4"/>
        <v>-</v>
      </c>
      <c r="H21" s="96">
        <f t="shared" si="5"/>
        <v>0.66333333333333344</v>
      </c>
      <c r="J21" s="94">
        <f>COUNTIFS('Region 5'!$X$2:$X$496,$B21,'Region 5'!$S$2:$S$496,J$1)</f>
        <v>0</v>
      </c>
      <c r="K21" s="94">
        <f>COUNTIFS('Region 5'!$X$2:$X$496,$B21,'Region 5'!$S$2:$S$496,K$1)</f>
        <v>5</v>
      </c>
      <c r="L21" s="94">
        <f>COUNTIFS('Region 5'!$X$2:$X$496,$B21,'Region 5'!$S$2:$S$496,L$1)</f>
        <v>3</v>
      </c>
      <c r="M21" s="94">
        <f>COUNTIFS('Region 5'!$X$2:$X$496,$B21,'Region 5'!$S$2:$S$496,M$1)</f>
        <v>0</v>
      </c>
      <c r="N21" s="94">
        <f>COUNTIFS('Region 5'!$X$2:$X$496,$B21,'Region 5'!$S$2:$S$496,N$1)</f>
        <v>0</v>
      </c>
      <c r="O21" s="94">
        <f>COUNTIFS('Region 5'!$X$2:$X$496,$B21,'Region 5'!$S$2:$S$496,O$1)</f>
        <v>3</v>
      </c>
      <c r="Q21" t="e">
        <f>AVERAGEIFS('Region 5'!$W$2:$W$496,'Region 5'!$X$2:$X$496,$B21,'Region 5'!$S$2:$S$496,J$1)</f>
        <v>#DIV/0!</v>
      </c>
      <c r="R21">
        <f>AVERAGEIFS('Region 5'!$W$2:$W$496,'Region 5'!$X$2:$X$496,$B21,'Region 5'!$S$2:$S$496,K$1)</f>
        <v>611.19075053207666</v>
      </c>
      <c r="S21">
        <f>AVERAGEIFS('Region 5'!$W$2:$W$496,'Region 5'!$X$2:$X$496,$B21,'Region 5'!$S$2:$S$496,L$1)</f>
        <v>20.63</v>
      </c>
      <c r="T21" t="e">
        <f>AVERAGEIFS('Region 5'!$W$2:$W$496,'Region 5'!$X$2:$X$496,$B21,'Region 5'!$S$2:$S$496,M$1)</f>
        <v>#DIV/0!</v>
      </c>
      <c r="U21" t="e">
        <f>AVERAGEIFS('Region 5'!$W$2:$W$496,'Region 5'!$X$2:$X$496,$B21,'Region 5'!$S$2:$S$496,N$1)</f>
        <v>#DIV/0!</v>
      </c>
      <c r="V21">
        <f>AVERAGEIFS('Region 5'!$W$2:$W$496,'Region 5'!$X$2:$X$496,$B21,'Region 5'!$S$2:$S$496,O$1)</f>
        <v>0.66333333333333344</v>
      </c>
    </row>
    <row r="22" spans="1:22" x14ac:dyDescent="0.3">
      <c r="A22">
        <f t="shared" si="6"/>
        <v>6</v>
      </c>
      <c r="B22">
        <f t="shared" si="7"/>
        <v>1</v>
      </c>
      <c r="C22" s="96">
        <f t="shared" si="0"/>
        <v>35.150000000000006</v>
      </c>
      <c r="D22" s="96">
        <f t="shared" si="1"/>
        <v>607.63541666666663</v>
      </c>
      <c r="E22" s="96">
        <f t="shared" si="2"/>
        <v>19.783333333333335</v>
      </c>
      <c r="F22" s="96" t="str">
        <f t="shared" si="3"/>
        <v>-</v>
      </c>
      <c r="G22" s="96" t="str">
        <f t="shared" si="4"/>
        <v>-</v>
      </c>
      <c r="H22" s="96">
        <f t="shared" si="5"/>
        <v>1.175</v>
      </c>
      <c r="J22">
        <f>COUNTIFS('Region 6'!$X$2:$X$20,$B22,'Region 6'!$S$2:$S$20,J$1)</f>
        <v>2</v>
      </c>
      <c r="K22">
        <f>COUNTIFS('Region 6'!$X$2:$X$20,$B22,'Region 6'!$S$2:$S$20,K$1)</f>
        <v>3</v>
      </c>
      <c r="L22">
        <f>COUNTIFS('Region 6'!$X$2:$X$20,$B22,'Region 6'!$S$2:$S$20,L$1)</f>
        <v>3</v>
      </c>
      <c r="M22">
        <f>COUNTIFS('Region 6'!$X$2:$X$20,$B22,'Region 6'!$S$2:$S$20,M$1)</f>
        <v>0</v>
      </c>
      <c r="N22">
        <f>COUNTIFS('Region 6'!$X$2:$X$20,$B22,'Region 6'!$S$2:$S$20,N$1)</f>
        <v>0</v>
      </c>
      <c r="O22">
        <f>COUNTIFS('Region 6'!$X$2:$X$20,$B22,'Region 6'!$S$2:$S$20,O$1)</f>
        <v>2</v>
      </c>
      <c r="Q22" s="94">
        <f>AVERAGEIFS('Region 6'!$W$2:$W$20,'Region 6'!$X$2:$X$20,$B22,'Region 6'!$S$2:$S$20,J$1)</f>
        <v>35.150000000000006</v>
      </c>
      <c r="R22" s="94">
        <f>AVERAGEIFS('Region 6'!$W$2:$W$20,'Region 6'!$X$2:$X$20,$B22,'Region 6'!$S$2:$S$20,K$1)</f>
        <v>607.63541666666663</v>
      </c>
      <c r="S22" s="94">
        <f>AVERAGEIFS('Region 6'!$W$2:$W$20,'Region 6'!$X$2:$X$20,$B22,'Region 6'!$S$2:$S$20,L$1)</f>
        <v>19.783333333333335</v>
      </c>
      <c r="T22" s="94" t="e">
        <f>AVERAGEIFS('Region 6'!$W$2:$W$20,'Region 6'!$X$2:$X$20,$B22,'Region 6'!$S$2:$S$20,M$1)</f>
        <v>#DIV/0!</v>
      </c>
      <c r="U22" s="94" t="e">
        <f>AVERAGEIFS('Region 6'!$W$2:$W$20,'Region 6'!$X$2:$X$20,$B22,'Region 6'!$S$2:$S$20,N$1)</f>
        <v>#DIV/0!</v>
      </c>
      <c r="V22" s="94">
        <f>AVERAGEIFS('Region 6'!$W$2:$W$20,'Region 6'!$X$2:$X$20,$B22,'Region 6'!$S$2:$S$20,O$1)</f>
        <v>1.175</v>
      </c>
    </row>
    <row r="23" spans="1:22" x14ac:dyDescent="0.3">
      <c r="A23">
        <f t="shared" si="6"/>
        <v>6</v>
      </c>
      <c r="B23">
        <f t="shared" si="7"/>
        <v>2</v>
      </c>
      <c r="C23" s="96">
        <f t="shared" si="0"/>
        <v>39.285714285714285</v>
      </c>
      <c r="D23" s="96">
        <f t="shared" si="1"/>
        <v>894.85714285714289</v>
      </c>
      <c r="E23" s="96">
        <f t="shared" si="2"/>
        <v>17.678571428571427</v>
      </c>
      <c r="F23" s="96" t="str">
        <f t="shared" si="3"/>
        <v>-</v>
      </c>
      <c r="G23" s="96" t="str">
        <f t="shared" si="4"/>
        <v>-</v>
      </c>
      <c r="H23" s="96">
        <f t="shared" si="5"/>
        <v>1.0714285714285714</v>
      </c>
      <c r="J23">
        <f>COUNTIFS('Region 6'!$X$2:$X$20,$B23,'Region 6'!$S$2:$S$20,J$1)</f>
        <v>1</v>
      </c>
      <c r="K23">
        <f>COUNTIFS('Region 6'!$X$2:$X$20,$B23,'Region 6'!$S$2:$S$20,K$1)</f>
        <v>1</v>
      </c>
      <c r="L23">
        <f>COUNTIFS('Region 6'!$X$2:$X$20,$B23,'Region 6'!$S$2:$S$20,L$1)</f>
        <v>1</v>
      </c>
      <c r="M23">
        <f>COUNTIFS('Region 6'!$X$2:$X$20,$B23,'Region 6'!$S$2:$S$20,M$1)</f>
        <v>0</v>
      </c>
      <c r="N23">
        <f>COUNTIFS('Region 6'!$X$2:$X$20,$B23,'Region 6'!$S$2:$S$20,N$1)</f>
        <v>0</v>
      </c>
      <c r="O23">
        <f>COUNTIFS('Region 6'!$X$2:$X$20,$B23,'Region 6'!$S$2:$S$20,O$1)</f>
        <v>1</v>
      </c>
      <c r="Q23" s="94">
        <f>AVERAGEIFS('Region 6'!$W$2:$W$20,'Region 6'!$X$2:$X$20,$B23,'Region 6'!$S$2:$S$20,J$1)</f>
        <v>39.285714285714285</v>
      </c>
      <c r="R23" s="94">
        <f>AVERAGEIFS('Region 6'!$W$2:$W$20,'Region 6'!$X$2:$X$20,$B23,'Region 6'!$S$2:$S$20,K$1)</f>
        <v>894.85714285714289</v>
      </c>
      <c r="S23" s="94">
        <f>AVERAGEIFS('Region 6'!$W$2:$W$20,'Region 6'!$X$2:$X$20,$B23,'Region 6'!$S$2:$S$20,L$1)</f>
        <v>17.678571428571427</v>
      </c>
      <c r="T23" s="94" t="e">
        <f>AVERAGEIFS('Region 6'!$W$2:$W$20,'Region 6'!$X$2:$X$20,$B23,'Region 6'!$S$2:$S$20,M$1)</f>
        <v>#DIV/0!</v>
      </c>
      <c r="U23" s="94" t="e">
        <f>AVERAGEIFS('Region 6'!$W$2:$W$20,'Region 6'!$X$2:$X$20,$B23,'Region 6'!$S$2:$S$20,N$1)</f>
        <v>#DIV/0!</v>
      </c>
      <c r="V23" s="94">
        <f>AVERAGEIFS('Region 6'!$W$2:$W$20,'Region 6'!$X$2:$X$20,$B23,'Region 6'!$S$2:$S$20,O$1)</f>
        <v>1.0714285714285714</v>
      </c>
    </row>
    <row r="24" spans="1:22" x14ac:dyDescent="0.3">
      <c r="A24">
        <f t="shared" si="6"/>
        <v>6</v>
      </c>
      <c r="B24">
        <f t="shared" si="7"/>
        <v>3</v>
      </c>
      <c r="C24" s="96">
        <f t="shared" si="0"/>
        <v>37.5</v>
      </c>
      <c r="D24" s="96">
        <f t="shared" si="1"/>
        <v>933</v>
      </c>
      <c r="E24" s="96">
        <f t="shared" si="2"/>
        <v>2.7</v>
      </c>
      <c r="F24" s="96" t="str">
        <f t="shared" si="3"/>
        <v>-</v>
      </c>
      <c r="G24" s="96" t="str">
        <f t="shared" si="4"/>
        <v>-</v>
      </c>
      <c r="H24" s="96">
        <f t="shared" si="5"/>
        <v>1.8</v>
      </c>
      <c r="J24">
        <f>COUNTIFS('Region 6'!$X$2:$X$20,$B24,'Region 6'!$S$2:$S$20,J$1)</f>
        <v>1</v>
      </c>
      <c r="K24">
        <f>COUNTIFS('Region 6'!$X$2:$X$20,$B24,'Region 6'!$S$2:$S$20,K$1)</f>
        <v>1</v>
      </c>
      <c r="L24">
        <f>COUNTIFS('Region 6'!$X$2:$X$20,$B24,'Region 6'!$S$2:$S$20,L$1)</f>
        <v>1</v>
      </c>
      <c r="M24">
        <f>COUNTIFS('Region 6'!$X$2:$X$20,$B24,'Region 6'!$S$2:$S$20,M$1)</f>
        <v>0</v>
      </c>
      <c r="N24">
        <f>COUNTIFS('Region 6'!$X$2:$X$20,$B24,'Region 6'!$S$2:$S$20,N$1)</f>
        <v>0</v>
      </c>
      <c r="O24">
        <f>COUNTIFS('Region 6'!$X$2:$X$20,$B24,'Region 6'!$S$2:$S$20,O$1)</f>
        <v>1</v>
      </c>
      <c r="Q24" s="94">
        <f>AVERAGEIFS('Region 6'!$W$2:$W$20,'Region 6'!$X$2:$X$20,$B24,'Region 6'!$S$2:$S$20,J$1)</f>
        <v>37.5</v>
      </c>
      <c r="R24" s="94">
        <f>AVERAGEIFS('Region 6'!$W$2:$W$20,'Region 6'!$X$2:$X$20,$B24,'Region 6'!$S$2:$S$20,K$1)</f>
        <v>933</v>
      </c>
      <c r="S24" s="94">
        <f>AVERAGEIFS('Region 6'!$W$2:$W$20,'Region 6'!$X$2:$X$20,$B24,'Region 6'!$S$2:$S$20,L$1)</f>
        <v>2.7</v>
      </c>
      <c r="T24" s="94" t="e">
        <f>AVERAGEIFS('Region 6'!$W$2:$W$20,'Region 6'!$X$2:$X$20,$B24,'Region 6'!$S$2:$S$20,M$1)</f>
        <v>#DIV/0!</v>
      </c>
      <c r="U24" s="94" t="e">
        <f>AVERAGEIFS('Region 6'!$W$2:$W$20,'Region 6'!$X$2:$X$20,$B24,'Region 6'!$S$2:$S$20,N$1)</f>
        <v>#DIV/0!</v>
      </c>
      <c r="V24" s="94">
        <f>AVERAGEIFS('Region 6'!$W$2:$W$20,'Region 6'!$X$2:$X$20,$B24,'Region 6'!$S$2:$S$20,O$1)</f>
        <v>1.8</v>
      </c>
    </row>
    <row r="25" spans="1:22" x14ac:dyDescent="0.3">
      <c r="A25">
        <f t="shared" si="6"/>
        <v>6</v>
      </c>
      <c r="B25">
        <f t="shared" si="7"/>
        <v>4</v>
      </c>
      <c r="C25" s="96" t="str">
        <f t="shared" si="0"/>
        <v>-</v>
      </c>
      <c r="D25" s="96" t="str">
        <f t="shared" si="1"/>
        <v>-</v>
      </c>
      <c r="E25" s="96" t="str">
        <f t="shared" si="2"/>
        <v>-</v>
      </c>
      <c r="F25" s="96" t="str">
        <f t="shared" si="3"/>
        <v>-</v>
      </c>
      <c r="G25" s="96" t="str">
        <f t="shared" si="4"/>
        <v>-</v>
      </c>
      <c r="H25" s="96" t="str">
        <f t="shared" si="5"/>
        <v>-</v>
      </c>
      <c r="J25">
        <f>COUNTIFS('Region 6'!$X$2:$X$20,$B25,'Region 6'!$S$2:$S$20,J$1)</f>
        <v>0</v>
      </c>
      <c r="K25">
        <f>COUNTIFS('Region 6'!$X$2:$X$20,$B25,'Region 6'!$S$2:$S$20,K$1)</f>
        <v>0</v>
      </c>
      <c r="L25">
        <f>COUNTIFS('Region 6'!$X$2:$X$20,$B25,'Region 6'!$S$2:$S$20,L$1)</f>
        <v>0</v>
      </c>
      <c r="M25">
        <f>COUNTIFS('Region 6'!$X$2:$X$20,$B25,'Region 6'!$S$2:$S$20,M$1)</f>
        <v>0</v>
      </c>
      <c r="N25">
        <f>COUNTIFS('Region 6'!$X$2:$X$20,$B25,'Region 6'!$S$2:$S$20,N$1)</f>
        <v>0</v>
      </c>
      <c r="O25">
        <f>COUNTIFS('Region 6'!$X$2:$X$20,$B25,'Region 6'!$S$2:$S$20,O$1)</f>
        <v>0</v>
      </c>
      <c r="Q25" s="94" t="e">
        <f>AVERAGEIFS('Region 6'!$W$2:$W$20,'Region 6'!$X$2:$X$20,$B25,'Region 6'!$S$2:$S$20,J$1)</f>
        <v>#DIV/0!</v>
      </c>
      <c r="R25" s="94" t="e">
        <f>AVERAGEIFS('Region 6'!$W$2:$W$20,'Region 6'!$X$2:$X$20,$B25,'Region 6'!$S$2:$S$20,K$1)</f>
        <v>#DIV/0!</v>
      </c>
      <c r="S25" s="94" t="e">
        <f>AVERAGEIFS('Region 6'!$W$2:$W$20,'Region 6'!$X$2:$X$20,$B25,'Region 6'!$S$2:$S$20,L$1)</f>
        <v>#DIV/0!</v>
      </c>
      <c r="T25" s="94" t="e">
        <f>AVERAGEIFS('Region 6'!$W$2:$W$20,'Region 6'!$X$2:$X$20,$B25,'Region 6'!$S$2:$S$20,M$1)</f>
        <v>#DIV/0!</v>
      </c>
      <c r="U25" s="94" t="e">
        <f>AVERAGEIFS('Region 6'!$W$2:$W$20,'Region 6'!$X$2:$X$20,$B25,'Region 6'!$S$2:$S$20,N$1)</f>
        <v>#DIV/0!</v>
      </c>
      <c r="V25" s="94" t="e">
        <f>AVERAGEIFS('Region 6'!$W$2:$W$20,'Region 6'!$X$2:$X$20,$B25,'Region 6'!$S$2:$S$20,O$1)</f>
        <v>#DIV/0!</v>
      </c>
    </row>
    <row r="26" spans="1:22" x14ac:dyDescent="0.3">
      <c r="A26">
        <f t="shared" si="6"/>
        <v>7</v>
      </c>
      <c r="B26">
        <f t="shared" si="7"/>
        <v>1</v>
      </c>
      <c r="C26" s="96" t="str">
        <f t="shared" si="0"/>
        <v>-</v>
      </c>
      <c r="D26" s="96" t="str">
        <f t="shared" si="1"/>
        <v>-</v>
      </c>
      <c r="E26" s="96" t="str">
        <f t="shared" si="2"/>
        <v>-</v>
      </c>
      <c r="F26" s="96" t="str">
        <f t="shared" si="3"/>
        <v>-</v>
      </c>
      <c r="G26" s="96" t="str">
        <f t="shared" si="4"/>
        <v>-</v>
      </c>
      <c r="H26" s="96" t="str">
        <f t="shared" si="5"/>
        <v>-</v>
      </c>
      <c r="J26" s="94">
        <f>COUNTIFS('Region 7'!$X$2:$X$500,$B26,'Region 7'!$S$2:$S$500,J$1)</f>
        <v>0</v>
      </c>
      <c r="K26" s="94">
        <f>COUNTIFS('Region 7'!$X$2:$X$500,$B26,'Region 7'!$S$2:$S$500,K$1)</f>
        <v>0</v>
      </c>
      <c r="L26" s="94">
        <f>COUNTIFS('Region 7'!$X$2:$X$500,$B26,'Region 7'!$S$2:$S$500,L$1)</f>
        <v>0</v>
      </c>
      <c r="M26" s="94">
        <f>COUNTIFS('Region 7'!$X$2:$X$500,$B26,'Region 7'!$S$2:$S$500,M$1)</f>
        <v>0</v>
      </c>
      <c r="N26" s="94">
        <f>COUNTIFS('Region 7'!$X$2:$X$500,$B26,'Region 7'!$S$2:$S$500,N$1)</f>
        <v>0</v>
      </c>
      <c r="O26" s="94">
        <f>COUNTIFS('Region 7'!$X$2:$X$500,$B26,'Region 7'!$S$2:$S$500,O$1)</f>
        <v>0</v>
      </c>
      <c r="Q26" t="e">
        <f ca="1">AVERAGEIFS('Region 7'!$W$2:$W$500,'Region 7'!$X$2:$X$500,$B26,'Region 7'!$S$2:$S$500,J$1)</f>
        <v>#DIV/0!</v>
      </c>
      <c r="R26" t="e">
        <f ca="1">AVERAGEIFS('Region 7'!$W$2:$W$500,'Region 7'!$X$2:$X$500,$B26,'Region 7'!$S$2:$S$500,K$1)</f>
        <v>#DIV/0!</v>
      </c>
      <c r="S26" t="e">
        <f ca="1">AVERAGEIFS('Region 7'!$W$2:$W$500,'Region 7'!$X$2:$X$500,$B26,'Region 7'!$S$2:$S$500,L$1)</f>
        <v>#DIV/0!</v>
      </c>
      <c r="T26" t="e">
        <f ca="1">AVERAGEIFS('Region 7'!$W$2:$W$500,'Region 7'!$X$2:$X$500,$B26,'Region 7'!$S$2:$S$500,M$1)</f>
        <v>#DIV/0!</v>
      </c>
      <c r="U26" t="e">
        <f ca="1">AVERAGEIFS('Region 7'!$W$2:$W$500,'Region 7'!$X$2:$X$500,$B26,'Region 7'!$S$2:$S$500,N$1)</f>
        <v>#DIV/0!</v>
      </c>
      <c r="V26" t="e">
        <f ca="1">AVERAGEIFS('Region 7'!$W$2:$W$500,'Region 7'!$X$2:$X$500,$B26,'Region 7'!$S$2:$S$500,O$1)</f>
        <v>#DIV/0!</v>
      </c>
    </row>
    <row r="27" spans="1:22" x14ac:dyDescent="0.3">
      <c r="A27">
        <f t="shared" si="6"/>
        <v>7</v>
      </c>
      <c r="B27">
        <f t="shared" si="7"/>
        <v>2</v>
      </c>
      <c r="C27" s="96" t="str">
        <f t="shared" si="0"/>
        <v>-</v>
      </c>
      <c r="D27" s="96" t="str">
        <f t="shared" si="1"/>
        <v>-</v>
      </c>
      <c r="E27" s="96" t="str">
        <f t="shared" si="2"/>
        <v>-</v>
      </c>
      <c r="F27" s="96" t="str">
        <f t="shared" si="3"/>
        <v>-</v>
      </c>
      <c r="G27" s="96" t="str">
        <f t="shared" si="4"/>
        <v>-</v>
      </c>
      <c r="H27" s="96" t="str">
        <f t="shared" si="5"/>
        <v>-</v>
      </c>
      <c r="J27" s="94">
        <f>COUNTIFS('Region 7'!$X$2:$X$500,$B27,'Region 7'!$S$2:$S$500,J$1)</f>
        <v>0</v>
      </c>
      <c r="K27" s="94">
        <f>COUNTIFS('Region 7'!$X$2:$X$500,$B27,'Region 7'!$S$2:$S$500,K$1)</f>
        <v>0</v>
      </c>
      <c r="L27" s="94">
        <f>COUNTIFS('Region 7'!$X$2:$X$500,$B27,'Region 7'!$S$2:$S$500,L$1)</f>
        <v>0</v>
      </c>
      <c r="M27" s="94">
        <f>COUNTIFS('Region 7'!$X$2:$X$500,$B27,'Region 7'!$S$2:$S$500,M$1)</f>
        <v>0</v>
      </c>
      <c r="N27" s="94">
        <f>COUNTIFS('Region 7'!$X$2:$X$500,$B27,'Region 7'!$S$2:$S$500,N$1)</f>
        <v>0</v>
      </c>
      <c r="O27" s="94">
        <f>COUNTIFS('Region 7'!$X$2:$X$500,$B27,'Region 7'!$S$2:$S$500,O$1)</f>
        <v>0</v>
      </c>
      <c r="Q27" t="e">
        <f ca="1">AVERAGEIFS('Region 7'!$W$2:$W$500,'Region 7'!$X$2:$X$500,$B27,'Region 7'!$S$2:$S$500,J$1)</f>
        <v>#DIV/0!</v>
      </c>
      <c r="R27" t="e">
        <f ca="1">AVERAGEIFS('Region 7'!$W$2:$W$500,'Region 7'!$X$2:$X$500,$B27,'Region 7'!$S$2:$S$500,K$1)</f>
        <v>#DIV/0!</v>
      </c>
      <c r="S27" t="e">
        <f ca="1">AVERAGEIFS('Region 7'!$W$2:$W$500,'Region 7'!$X$2:$X$500,$B27,'Region 7'!$S$2:$S$500,L$1)</f>
        <v>#DIV/0!</v>
      </c>
      <c r="T27" t="e">
        <f ca="1">AVERAGEIFS('Region 7'!$W$2:$W$500,'Region 7'!$X$2:$X$500,$B27,'Region 7'!$S$2:$S$500,M$1)</f>
        <v>#DIV/0!</v>
      </c>
      <c r="U27" t="e">
        <f ca="1">AVERAGEIFS('Region 7'!$W$2:$W$500,'Region 7'!$X$2:$X$500,$B27,'Region 7'!$S$2:$S$500,N$1)</f>
        <v>#DIV/0!</v>
      </c>
      <c r="V27" t="e">
        <f ca="1">AVERAGEIFS('Region 7'!$W$2:$W$500,'Region 7'!$X$2:$X$500,$B27,'Region 7'!$S$2:$S$500,O$1)</f>
        <v>#DIV/0!</v>
      </c>
    </row>
    <row r="28" spans="1:22" x14ac:dyDescent="0.3">
      <c r="A28">
        <f t="shared" si="6"/>
        <v>7</v>
      </c>
      <c r="B28">
        <f t="shared" si="7"/>
        <v>3</v>
      </c>
      <c r="C28" s="96" t="str">
        <f t="shared" si="0"/>
        <v>-</v>
      </c>
      <c r="D28" s="96" t="str">
        <f t="shared" si="1"/>
        <v>-</v>
      </c>
      <c r="E28" s="96" t="str">
        <f t="shared" si="2"/>
        <v>-</v>
      </c>
      <c r="F28" s="96" t="str">
        <f t="shared" si="3"/>
        <v>-</v>
      </c>
      <c r="G28" s="96" t="str">
        <f t="shared" si="4"/>
        <v>-</v>
      </c>
      <c r="H28" s="96" t="str">
        <f t="shared" si="5"/>
        <v>-</v>
      </c>
      <c r="J28" s="94">
        <f>COUNTIFS('Region 7'!$X$2:$X$500,$B28,'Region 7'!$S$2:$S$500,J$1)</f>
        <v>0</v>
      </c>
      <c r="K28" s="94">
        <f>COUNTIFS('Region 7'!$X$2:$X$500,$B28,'Region 7'!$S$2:$S$500,K$1)</f>
        <v>0</v>
      </c>
      <c r="L28" s="94">
        <f>COUNTIFS('Region 7'!$X$2:$X$500,$B28,'Region 7'!$S$2:$S$500,L$1)</f>
        <v>0</v>
      </c>
      <c r="M28" s="94">
        <f>COUNTIFS('Region 7'!$X$2:$X$500,$B28,'Region 7'!$S$2:$S$500,M$1)</f>
        <v>0</v>
      </c>
      <c r="N28" s="94">
        <f>COUNTIFS('Region 7'!$X$2:$X$500,$B28,'Region 7'!$S$2:$S$500,N$1)</f>
        <v>0</v>
      </c>
      <c r="O28" s="94">
        <f>COUNTIFS('Region 7'!$X$2:$X$500,$B28,'Region 7'!$S$2:$S$500,O$1)</f>
        <v>0</v>
      </c>
      <c r="Q28" t="e">
        <f ca="1">AVERAGEIFS('Region 7'!$W$2:$W$500,'Region 7'!$X$2:$X$500,$B28,'Region 7'!$S$2:$S$500,J$1)</f>
        <v>#DIV/0!</v>
      </c>
      <c r="R28" t="e">
        <f ca="1">AVERAGEIFS('Region 7'!$W$2:$W$500,'Region 7'!$X$2:$X$500,$B28,'Region 7'!$S$2:$S$500,K$1)</f>
        <v>#DIV/0!</v>
      </c>
      <c r="S28" t="e">
        <f ca="1">AVERAGEIFS('Region 7'!$W$2:$W$500,'Region 7'!$X$2:$X$500,$B28,'Region 7'!$S$2:$S$500,L$1)</f>
        <v>#DIV/0!</v>
      </c>
      <c r="T28" t="e">
        <f ca="1">AVERAGEIFS('Region 7'!$W$2:$W$500,'Region 7'!$X$2:$X$500,$B28,'Region 7'!$S$2:$S$500,M$1)</f>
        <v>#DIV/0!</v>
      </c>
      <c r="U28" t="e">
        <f ca="1">AVERAGEIFS('Region 7'!$W$2:$W$500,'Region 7'!$X$2:$X$500,$B28,'Region 7'!$S$2:$S$500,N$1)</f>
        <v>#DIV/0!</v>
      </c>
      <c r="V28" t="e">
        <f ca="1">AVERAGEIFS('Region 7'!$W$2:$W$500,'Region 7'!$X$2:$X$500,$B28,'Region 7'!$S$2:$S$500,O$1)</f>
        <v>#DIV/0!</v>
      </c>
    </row>
    <row r="29" spans="1:22" x14ac:dyDescent="0.3">
      <c r="A29">
        <f t="shared" si="6"/>
        <v>7</v>
      </c>
      <c r="B29">
        <f t="shared" si="7"/>
        <v>4</v>
      </c>
      <c r="C29" s="96" t="str">
        <f t="shared" si="0"/>
        <v>-</v>
      </c>
      <c r="D29" s="96" t="str">
        <f t="shared" si="1"/>
        <v>-</v>
      </c>
      <c r="E29" s="96" t="str">
        <f t="shared" si="2"/>
        <v>-</v>
      </c>
      <c r="F29" s="96" t="str">
        <f t="shared" si="3"/>
        <v>-</v>
      </c>
      <c r="G29" s="96" t="str">
        <f t="shared" si="4"/>
        <v>-</v>
      </c>
      <c r="H29" s="96" t="str">
        <f t="shared" si="5"/>
        <v>-</v>
      </c>
      <c r="J29" s="94">
        <f>COUNTIFS('Region 7'!$X$2:$X$500,$B29,'Region 7'!$S$2:$S$500,J$1)</f>
        <v>0</v>
      </c>
      <c r="K29" s="94">
        <f>COUNTIFS('Region 7'!$X$2:$X$500,$B29,'Region 7'!$S$2:$S$500,K$1)</f>
        <v>0</v>
      </c>
      <c r="L29" s="94">
        <f>COUNTIFS('Region 7'!$X$2:$X$500,$B29,'Region 7'!$S$2:$S$500,L$1)</f>
        <v>0</v>
      </c>
      <c r="M29" s="94">
        <f>COUNTIFS('Region 7'!$X$2:$X$500,$B29,'Region 7'!$S$2:$S$500,M$1)</f>
        <v>0</v>
      </c>
      <c r="N29" s="94">
        <f>COUNTIFS('Region 7'!$X$2:$X$500,$B29,'Region 7'!$S$2:$S$500,N$1)</f>
        <v>0</v>
      </c>
      <c r="O29" s="94">
        <f>COUNTIFS('Region 7'!$X$2:$X$500,$B29,'Region 7'!$S$2:$S$500,O$1)</f>
        <v>0</v>
      </c>
      <c r="Q29" t="e">
        <f ca="1">AVERAGEIFS('Region 7'!$W$2:$W$500,'Region 7'!$X$2:$X$500,$B29,'Region 7'!$S$2:$S$500,J$1)</f>
        <v>#DIV/0!</v>
      </c>
      <c r="R29" t="e">
        <f ca="1">AVERAGEIFS('Region 7'!$W$2:$W$500,'Region 7'!$X$2:$X$500,$B29,'Region 7'!$S$2:$S$500,K$1)</f>
        <v>#DIV/0!</v>
      </c>
      <c r="S29" t="e">
        <f ca="1">AVERAGEIFS('Region 7'!$W$2:$W$500,'Region 7'!$X$2:$X$500,$B29,'Region 7'!$S$2:$S$500,L$1)</f>
        <v>#DIV/0!</v>
      </c>
      <c r="T29" t="e">
        <f ca="1">AVERAGEIFS('Region 7'!$W$2:$W$500,'Region 7'!$X$2:$X$500,$B29,'Region 7'!$S$2:$S$500,M$1)</f>
        <v>#DIV/0!</v>
      </c>
      <c r="U29" t="e">
        <f ca="1">AVERAGEIFS('Region 7'!$W$2:$W$500,'Region 7'!$X$2:$X$500,$B29,'Region 7'!$S$2:$S$500,N$1)</f>
        <v>#DIV/0!</v>
      </c>
      <c r="V29" t="e">
        <f ca="1">AVERAGEIFS('Region 7'!$W$2:$W$500,'Region 7'!$X$2:$X$500,$B29,'Region 7'!$S$2:$S$500,O$1)</f>
        <v>#DIV/0!</v>
      </c>
    </row>
    <row r="30" spans="1:22" x14ac:dyDescent="0.3">
      <c r="A30">
        <f t="shared" si="6"/>
        <v>8</v>
      </c>
      <c r="B30">
        <f t="shared" si="7"/>
        <v>1</v>
      </c>
      <c r="C30" s="96">
        <f t="shared" si="0"/>
        <v>8.9345216411166355</v>
      </c>
      <c r="D30" s="96">
        <f t="shared" si="1"/>
        <v>675.66256197514224</v>
      </c>
      <c r="E30" s="96">
        <f t="shared" si="2"/>
        <v>6.8864337012604029</v>
      </c>
      <c r="F30" s="96" t="str">
        <f t="shared" si="3"/>
        <v>-</v>
      </c>
      <c r="G30" s="96">
        <f t="shared" si="4"/>
        <v>2.8863709207098167</v>
      </c>
      <c r="H30" s="96">
        <f t="shared" si="5"/>
        <v>3.5481853116641308E-2</v>
      </c>
      <c r="J30">
        <f>COUNTIFS('Region 8'!$X$2:$X$497,$B30,'Region 8'!$S$2:$S$497,J$1)</f>
        <v>2</v>
      </c>
      <c r="K30">
        <f>COUNTIFS('Region 8'!$X$2:$X$497,$B30,'Region 8'!$S$2:$S$497,K$1)</f>
        <v>2</v>
      </c>
      <c r="L30">
        <f>COUNTIFS('Region 8'!$X$2:$X$497,$B30,'Region 8'!$S$2:$S$497,L$1)</f>
        <v>2</v>
      </c>
      <c r="M30">
        <f>COUNTIFS('Region 8'!$X$2:$X$497,$B30,'Region 8'!$S$2:$S$497,M$1)</f>
        <v>0</v>
      </c>
      <c r="N30">
        <f>COUNTIFS('Region 8'!$X$2:$X$497,$B30,'Region 8'!$S$2:$S$497,N$1)</f>
        <v>2</v>
      </c>
      <c r="O30">
        <f>COUNTIFS('Region 8'!$X$2:$X$497,$B30,'Region 8'!$S$2:$S$497,O$1)</f>
        <v>2</v>
      </c>
      <c r="Q30" s="94">
        <f>AVERAGEIFS('Region 8'!$W$2:$W$497,'Region 8'!$X$2:$X$497,$B30,'Region 8'!$S$2:$S$497,J$1)</f>
        <v>8.9345216411166355</v>
      </c>
      <c r="R30" s="94">
        <f>AVERAGEIFS('Region 8'!$W$2:$W$497,'Region 8'!$X$2:$X$497,$B30,'Region 8'!$S$2:$S$497,K$1)</f>
        <v>675.66256197514224</v>
      </c>
      <c r="S30" s="94">
        <f>AVERAGEIFS('Region 8'!$W$2:$W$497,'Region 8'!$X$2:$X$497,$B30,'Region 8'!$S$2:$S$497,L$1)</f>
        <v>6.8864337012604029</v>
      </c>
      <c r="T30" s="94" t="e">
        <f>AVERAGEIFS('Region 8'!$W$2:$W$497,'Region 8'!$X$2:$X$497,$B30,'Region 8'!$S$2:$S$497,M$1)</f>
        <v>#DIV/0!</v>
      </c>
      <c r="U30" s="94">
        <f>AVERAGEIFS('Region 8'!$W$2:$W$497,'Region 8'!$X$2:$X$497,$B30,'Region 8'!$S$2:$S$497,N$1)</f>
        <v>2.8863709207098167</v>
      </c>
      <c r="V30" s="94">
        <f>AVERAGEIFS('Region 8'!$W$2:$W$497,'Region 8'!$X$2:$X$497,$B30,'Region 8'!$S$2:$S$497,O$1)</f>
        <v>3.5481853116641308E-2</v>
      </c>
    </row>
    <row r="31" spans="1:22" x14ac:dyDescent="0.3">
      <c r="A31">
        <f t="shared" si="6"/>
        <v>8</v>
      </c>
      <c r="B31">
        <f t="shared" si="7"/>
        <v>2</v>
      </c>
      <c r="C31" s="96" t="str">
        <f t="shared" si="0"/>
        <v>-</v>
      </c>
      <c r="D31" s="96" t="str">
        <f t="shared" si="1"/>
        <v>-</v>
      </c>
      <c r="E31" s="96" t="str">
        <f t="shared" si="2"/>
        <v>-</v>
      </c>
      <c r="F31" s="96" t="str">
        <f t="shared" si="3"/>
        <v>-</v>
      </c>
      <c r="G31" s="96" t="str">
        <f t="shared" si="4"/>
        <v>-</v>
      </c>
      <c r="H31" s="96" t="str">
        <f t="shared" si="5"/>
        <v>-</v>
      </c>
      <c r="J31">
        <f>COUNTIFS('Region 8'!$X$2:$X$497,$B31,'Region 8'!$S$2:$S$497,J$1)</f>
        <v>0</v>
      </c>
      <c r="K31">
        <f>COUNTIFS('Region 8'!$X$2:$X$497,$B31,'Region 8'!$S$2:$S$497,K$1)</f>
        <v>0</v>
      </c>
      <c r="L31">
        <f>COUNTIFS('Region 8'!$X$2:$X$497,$B31,'Region 8'!$S$2:$S$497,L$1)</f>
        <v>0</v>
      </c>
      <c r="M31">
        <f>COUNTIFS('Region 8'!$X$2:$X$497,$B31,'Region 8'!$S$2:$S$497,M$1)</f>
        <v>0</v>
      </c>
      <c r="N31">
        <f>COUNTIFS('Region 8'!$X$2:$X$497,$B31,'Region 8'!$S$2:$S$497,N$1)</f>
        <v>0</v>
      </c>
      <c r="O31">
        <f>COUNTIFS('Region 8'!$X$2:$X$497,$B31,'Region 8'!$S$2:$S$497,O$1)</f>
        <v>0</v>
      </c>
      <c r="Q31" s="94" t="e">
        <f>AVERAGEIFS('Region 8'!$W$2:$W$497,'Region 8'!$X$2:$X$497,$B31,'Region 8'!$S$2:$S$497,J$1)</f>
        <v>#DIV/0!</v>
      </c>
      <c r="R31" s="94" t="e">
        <f>AVERAGEIFS('Region 8'!$W$2:$W$497,'Region 8'!$X$2:$X$497,$B31,'Region 8'!$S$2:$S$497,K$1)</f>
        <v>#DIV/0!</v>
      </c>
      <c r="S31" s="94" t="e">
        <f>AVERAGEIFS('Region 8'!$W$2:$W$497,'Region 8'!$X$2:$X$497,$B31,'Region 8'!$S$2:$S$497,L$1)</f>
        <v>#DIV/0!</v>
      </c>
      <c r="T31" s="94" t="e">
        <f>AVERAGEIFS('Region 8'!$W$2:$W$497,'Region 8'!$X$2:$X$497,$B31,'Region 8'!$S$2:$S$497,M$1)</f>
        <v>#DIV/0!</v>
      </c>
      <c r="U31" s="94" t="e">
        <f>AVERAGEIFS('Region 8'!$W$2:$W$497,'Region 8'!$X$2:$X$497,$B31,'Region 8'!$S$2:$S$497,N$1)</f>
        <v>#DIV/0!</v>
      </c>
      <c r="V31" s="94" t="e">
        <f>AVERAGEIFS('Region 8'!$W$2:$W$497,'Region 8'!$X$2:$X$497,$B31,'Region 8'!$S$2:$S$497,O$1)</f>
        <v>#DIV/0!</v>
      </c>
    </row>
    <row r="32" spans="1:22" x14ac:dyDescent="0.3">
      <c r="A32">
        <f t="shared" si="6"/>
        <v>8</v>
      </c>
      <c r="B32">
        <f t="shared" si="7"/>
        <v>3</v>
      </c>
      <c r="C32" s="96">
        <f t="shared" si="0"/>
        <v>26.728395061728396</v>
      </c>
      <c r="D32" s="96" t="str">
        <f t="shared" si="1"/>
        <v>-</v>
      </c>
      <c r="E32" s="96">
        <f t="shared" si="2"/>
        <v>42.057098765432102</v>
      </c>
      <c r="F32" s="96" t="str">
        <f t="shared" si="3"/>
        <v>-</v>
      </c>
      <c r="G32" s="96" t="str">
        <f t="shared" si="4"/>
        <v>-</v>
      </c>
      <c r="H32" s="96" t="str">
        <f t="shared" si="5"/>
        <v>-</v>
      </c>
      <c r="J32">
        <f>COUNTIFS('Region 8'!$X$2:$X$497,$B32,'Region 8'!$S$2:$S$497,J$1)</f>
        <v>1</v>
      </c>
      <c r="K32">
        <f>COUNTIFS('Region 8'!$X$2:$X$497,$B32,'Region 8'!$S$2:$S$497,K$1)</f>
        <v>0</v>
      </c>
      <c r="L32">
        <f>COUNTIFS('Region 8'!$X$2:$X$497,$B32,'Region 8'!$S$2:$S$497,L$1)</f>
        <v>1</v>
      </c>
      <c r="M32">
        <f>COUNTIFS('Region 8'!$X$2:$X$497,$B32,'Region 8'!$S$2:$S$497,M$1)</f>
        <v>0</v>
      </c>
      <c r="N32">
        <f>COUNTIFS('Region 8'!$X$2:$X$497,$B32,'Region 8'!$S$2:$S$497,N$1)</f>
        <v>0</v>
      </c>
      <c r="O32">
        <f>COUNTIFS('Region 8'!$X$2:$X$497,$B32,'Region 8'!$S$2:$S$497,O$1)</f>
        <v>0</v>
      </c>
      <c r="Q32" s="94">
        <f>AVERAGEIFS('Region 8'!$W$2:$W$497,'Region 8'!$X$2:$X$497,$B32,'Region 8'!$S$2:$S$497,J$1)</f>
        <v>26.728395061728396</v>
      </c>
      <c r="R32" s="94" t="e">
        <f>AVERAGEIFS('Region 8'!$W$2:$W$497,'Region 8'!$X$2:$X$497,$B32,'Region 8'!$S$2:$S$497,K$1)</f>
        <v>#DIV/0!</v>
      </c>
      <c r="S32" s="94">
        <f>AVERAGEIFS('Region 8'!$W$2:$W$497,'Region 8'!$X$2:$X$497,$B32,'Region 8'!$S$2:$S$497,L$1)</f>
        <v>42.057098765432102</v>
      </c>
      <c r="T32" s="94" t="e">
        <f>AVERAGEIFS('Region 8'!$W$2:$W$497,'Region 8'!$X$2:$X$497,$B32,'Region 8'!$S$2:$S$497,M$1)</f>
        <v>#DIV/0!</v>
      </c>
      <c r="U32" s="94" t="e">
        <f>AVERAGEIFS('Region 8'!$W$2:$W$497,'Region 8'!$X$2:$X$497,$B32,'Region 8'!$S$2:$S$497,N$1)</f>
        <v>#DIV/0!</v>
      </c>
      <c r="V32" s="94" t="e">
        <f>AVERAGEIFS('Region 8'!$W$2:$W$497,'Region 8'!$X$2:$X$497,$B32,'Region 8'!$S$2:$S$497,O$1)</f>
        <v>#DIV/0!</v>
      </c>
    </row>
    <row r="33" spans="1:23" x14ac:dyDescent="0.3">
      <c r="A33">
        <f t="shared" si="6"/>
        <v>8</v>
      </c>
      <c r="B33">
        <f t="shared" si="7"/>
        <v>4</v>
      </c>
      <c r="C33" s="96" t="str">
        <f t="shared" si="0"/>
        <v>-</v>
      </c>
      <c r="D33" s="96" t="str">
        <f t="shared" si="1"/>
        <v>-</v>
      </c>
      <c r="E33" s="96" t="str">
        <f t="shared" si="2"/>
        <v>-</v>
      </c>
      <c r="F33" s="96" t="str">
        <f t="shared" si="3"/>
        <v>-</v>
      </c>
      <c r="G33" s="96" t="str">
        <f t="shared" si="4"/>
        <v>-</v>
      </c>
      <c r="H33" s="96" t="str">
        <f t="shared" si="5"/>
        <v>-</v>
      </c>
      <c r="J33">
        <f>COUNTIFS('Region 8'!$X$2:$X$497,$B33,'Region 8'!$S$2:$S$497,J$1)</f>
        <v>0</v>
      </c>
      <c r="K33">
        <f>COUNTIFS('Region 8'!$X$2:$X$497,$B33,'Region 8'!$S$2:$S$497,K$1)</f>
        <v>0</v>
      </c>
      <c r="L33">
        <f>COUNTIFS('Region 8'!$X$2:$X$497,$B33,'Region 8'!$S$2:$S$497,L$1)</f>
        <v>0</v>
      </c>
      <c r="M33">
        <f>COUNTIFS('Region 8'!$X$2:$X$497,$B33,'Region 8'!$S$2:$S$497,M$1)</f>
        <v>0</v>
      </c>
      <c r="N33">
        <f>COUNTIFS('Region 8'!$X$2:$X$497,$B33,'Region 8'!$S$2:$S$497,N$1)</f>
        <v>0</v>
      </c>
      <c r="O33">
        <f>COUNTIFS('Region 8'!$X$2:$X$497,$B33,'Region 8'!$S$2:$S$497,O$1)</f>
        <v>0</v>
      </c>
      <c r="Q33" s="94" t="e">
        <f>AVERAGEIFS('Region 8'!$W$2:$W$497,'Region 8'!$X$2:$X$497,$B33,'Region 8'!$S$2:$S$497,J$1)</f>
        <v>#DIV/0!</v>
      </c>
      <c r="R33" s="94" t="e">
        <f>AVERAGEIFS('Region 8'!$W$2:$W$497,'Region 8'!$X$2:$X$497,$B33,'Region 8'!$S$2:$S$497,K$1)</f>
        <v>#DIV/0!</v>
      </c>
      <c r="S33" s="94" t="e">
        <f>AVERAGEIFS('Region 8'!$W$2:$W$497,'Region 8'!$X$2:$X$497,$B33,'Region 8'!$S$2:$S$497,L$1)</f>
        <v>#DIV/0!</v>
      </c>
      <c r="T33" s="94" t="e">
        <f>AVERAGEIFS('Region 8'!$W$2:$W$497,'Region 8'!$X$2:$X$497,$B33,'Region 8'!$S$2:$S$497,M$1)</f>
        <v>#DIV/0!</v>
      </c>
      <c r="U33" s="94" t="e">
        <f>AVERAGEIFS('Region 8'!$W$2:$W$497,'Region 8'!$X$2:$X$497,$B33,'Region 8'!$S$2:$S$497,N$1)</f>
        <v>#DIV/0!</v>
      </c>
      <c r="V33" s="94" t="e">
        <f>AVERAGEIFS('Region 8'!$W$2:$W$497,'Region 8'!$X$2:$X$497,$B33,'Region 8'!$S$2:$S$497,O$1)</f>
        <v>#DIV/0!</v>
      </c>
    </row>
    <row r="34" spans="1:23" x14ac:dyDescent="0.3">
      <c r="A34">
        <f t="shared" si="6"/>
        <v>9</v>
      </c>
      <c r="B34">
        <f t="shared" si="7"/>
        <v>1</v>
      </c>
      <c r="C34" s="96" t="str">
        <f t="shared" ref="C34:C65" si="8">IF(J34=0,"-",Q34)</f>
        <v>-</v>
      </c>
      <c r="D34" s="96" t="str">
        <f t="shared" ref="D34:D65" si="9">IF(K34=0,"-",R34)</f>
        <v>-</v>
      </c>
      <c r="E34" s="96" t="str">
        <f t="shared" ref="E34:E65" si="10">IF(L34=0,"-",S34)</f>
        <v>-</v>
      </c>
      <c r="F34" s="96" t="str">
        <f t="shared" ref="F34:F65" si="11">IF(M34=0,"-",T34)</f>
        <v>-</v>
      </c>
      <c r="G34" s="96" t="str">
        <f t="shared" ref="G34:G65" si="12">IF(N34=0,"-",U34)</f>
        <v>-</v>
      </c>
      <c r="H34" s="96" t="str">
        <f t="shared" ref="H34:H65" si="13">IF(O34=0,"-",V34)</f>
        <v>-</v>
      </c>
      <c r="J34" s="94">
        <f>COUNTIFS('Region 9'!$X$2:$X$500,$B34,'Region 9'!$S$2:$S$500,J$1)</f>
        <v>0</v>
      </c>
      <c r="K34" s="94">
        <f>COUNTIFS('Region 9'!$X$2:$X$500,$B34,'Region 9'!$S$2:$S$500,K$1)</f>
        <v>0</v>
      </c>
      <c r="L34" s="94">
        <f>COUNTIFS('Region 9'!$X$2:$X$500,$B34,'Region 9'!$S$2:$S$500,L$1)</f>
        <v>0</v>
      </c>
      <c r="M34" s="94">
        <f>COUNTIFS('Region 9'!$X$2:$X$500,$B34,'Region 9'!$S$2:$S$500,M$1)</f>
        <v>0</v>
      </c>
      <c r="N34" s="94">
        <f>COUNTIFS('Region 9'!$X$2:$X$500,$B34,'Region 9'!$S$2:$S$500,N$1)</f>
        <v>0</v>
      </c>
      <c r="O34" s="94">
        <f>COUNTIFS('Region 9'!$X$2:$X$500,$B34,'Region 9'!$S$2:$S$500,O$1)</f>
        <v>0</v>
      </c>
      <c r="Q34" t="e">
        <f ca="1">AVERAGEIFS('Region 9'!$W$2:$W$500,'Region 9'!$X$2:$X$500,$B34,'Region 9'!$S$2:$S$500,J$1)</f>
        <v>#DIV/0!</v>
      </c>
      <c r="R34" t="e">
        <f ca="1">AVERAGEIFS('Region 9'!$W$2:$W$500,'Region 9'!$X$2:$X$500,$B34,'Region 9'!$S$2:$S$500,K$1)</f>
        <v>#DIV/0!</v>
      </c>
      <c r="S34" t="e">
        <f ca="1">AVERAGEIFS('Region 9'!$W$2:$W$500,'Region 9'!$X$2:$X$500,$B34,'Region 9'!$S$2:$S$500,L$1)</f>
        <v>#DIV/0!</v>
      </c>
      <c r="T34" t="e">
        <f ca="1">AVERAGEIFS('Region 9'!$W$2:$W$500,'Region 9'!$X$2:$X$500,$B34,'Region 9'!$S$2:$S$500,M$1)</f>
        <v>#DIV/0!</v>
      </c>
      <c r="U34" t="e">
        <f ca="1">AVERAGEIFS('Region 9'!$W$2:$W$500,'Region 9'!$X$2:$X$500,$B34,'Region 9'!$S$2:$S$500,N$1)</f>
        <v>#DIV/0!</v>
      </c>
      <c r="V34" t="e">
        <f ca="1">AVERAGEIFS('Region 9'!$W$2:$W$500,'Region 9'!$X$2:$X$500,$B34,'Region 9'!$S$2:$S$500,O$1)</f>
        <v>#DIV/0!</v>
      </c>
    </row>
    <row r="35" spans="1:23" x14ac:dyDescent="0.3">
      <c r="A35">
        <f t="shared" si="6"/>
        <v>9</v>
      </c>
      <c r="B35">
        <f t="shared" si="7"/>
        <v>2</v>
      </c>
      <c r="C35" s="96" t="str">
        <f t="shared" si="8"/>
        <v>-</v>
      </c>
      <c r="D35" s="96" t="str">
        <f t="shared" si="9"/>
        <v>-</v>
      </c>
      <c r="E35" s="96" t="str">
        <f t="shared" si="10"/>
        <v>-</v>
      </c>
      <c r="F35" s="96" t="str">
        <f t="shared" si="11"/>
        <v>-</v>
      </c>
      <c r="G35" s="96" t="str">
        <f t="shared" si="12"/>
        <v>-</v>
      </c>
      <c r="H35" s="96" t="str">
        <f t="shared" si="13"/>
        <v>-</v>
      </c>
      <c r="J35" s="94">
        <f>COUNTIFS('Region 9'!$X$2:$X$500,$B35,'Region 9'!$S$2:$S$500,J$1)</f>
        <v>0</v>
      </c>
      <c r="K35" s="94">
        <f>COUNTIFS('Region 9'!$X$2:$X$500,$B35,'Region 9'!$S$2:$S$500,K$1)</f>
        <v>0</v>
      </c>
      <c r="L35" s="94">
        <f>COUNTIFS('Region 9'!$X$2:$X$500,$B35,'Region 9'!$S$2:$S$500,L$1)</f>
        <v>0</v>
      </c>
      <c r="M35" s="94">
        <f>COUNTIFS('Region 9'!$X$2:$X$500,$B35,'Region 9'!$S$2:$S$500,M$1)</f>
        <v>0</v>
      </c>
      <c r="N35" s="94">
        <f>COUNTIFS('Region 9'!$X$2:$X$500,$B35,'Region 9'!$S$2:$S$500,N$1)</f>
        <v>0</v>
      </c>
      <c r="O35" s="94">
        <f>COUNTIFS('Region 9'!$X$2:$X$500,$B35,'Region 9'!$S$2:$S$500,O$1)</f>
        <v>0</v>
      </c>
      <c r="Q35" t="e">
        <f ca="1">AVERAGEIFS('Region 9'!$W$2:$W$500,'Region 9'!$X$2:$X$500,$B35,'Region 9'!$S$2:$S$500,J$1)</f>
        <v>#DIV/0!</v>
      </c>
      <c r="R35" t="e">
        <f ca="1">AVERAGEIFS('Region 9'!$W$2:$W$500,'Region 9'!$X$2:$X$500,$B35,'Region 9'!$S$2:$S$500,K$1)</f>
        <v>#DIV/0!</v>
      </c>
      <c r="S35" t="e">
        <f ca="1">AVERAGEIFS('Region 9'!$W$2:$W$500,'Region 9'!$X$2:$X$500,$B35,'Region 9'!$S$2:$S$500,L$1)</f>
        <v>#DIV/0!</v>
      </c>
      <c r="T35" t="e">
        <f ca="1">AVERAGEIFS('Region 9'!$W$2:$W$500,'Region 9'!$X$2:$X$500,$B35,'Region 9'!$S$2:$S$500,M$1)</f>
        <v>#DIV/0!</v>
      </c>
      <c r="U35" t="e">
        <f ca="1">AVERAGEIFS('Region 9'!$W$2:$W$500,'Region 9'!$X$2:$X$500,$B35,'Region 9'!$S$2:$S$500,N$1)</f>
        <v>#DIV/0!</v>
      </c>
      <c r="V35" t="e">
        <f ca="1">AVERAGEIFS('Region 9'!$W$2:$W$500,'Region 9'!$X$2:$X$500,$B35,'Region 9'!$S$2:$S$500,O$1)</f>
        <v>#DIV/0!</v>
      </c>
    </row>
    <row r="36" spans="1:23" x14ac:dyDescent="0.3">
      <c r="A36">
        <f t="shared" si="6"/>
        <v>9</v>
      </c>
      <c r="B36">
        <f t="shared" si="7"/>
        <v>3</v>
      </c>
      <c r="C36" s="96" t="str">
        <f t="shared" si="8"/>
        <v>-</v>
      </c>
      <c r="D36" s="96" t="str">
        <f t="shared" si="9"/>
        <v>-</v>
      </c>
      <c r="E36" s="96" t="str">
        <f t="shared" si="10"/>
        <v>-</v>
      </c>
      <c r="F36" s="96" t="str">
        <f t="shared" si="11"/>
        <v>-</v>
      </c>
      <c r="G36" s="96" t="str">
        <f t="shared" si="12"/>
        <v>-</v>
      </c>
      <c r="H36" s="96" t="str">
        <f t="shared" si="13"/>
        <v>-</v>
      </c>
      <c r="J36" s="94">
        <f>COUNTIFS('Region 9'!$X$2:$X$500,$B36,'Region 9'!$S$2:$S$500,J$1)</f>
        <v>0</v>
      </c>
      <c r="K36" s="94">
        <f>COUNTIFS('Region 9'!$X$2:$X$500,$B36,'Region 9'!$S$2:$S$500,K$1)</f>
        <v>0</v>
      </c>
      <c r="L36" s="94">
        <f>COUNTIFS('Region 9'!$X$2:$X$500,$B36,'Region 9'!$S$2:$S$500,L$1)</f>
        <v>0</v>
      </c>
      <c r="M36" s="94">
        <f>COUNTIFS('Region 9'!$X$2:$X$500,$B36,'Region 9'!$S$2:$S$500,M$1)</f>
        <v>0</v>
      </c>
      <c r="N36" s="94">
        <f>COUNTIFS('Region 9'!$X$2:$X$500,$B36,'Region 9'!$S$2:$S$500,N$1)</f>
        <v>0</v>
      </c>
      <c r="O36" s="94">
        <f>COUNTIFS('Region 9'!$X$2:$X$500,$B36,'Region 9'!$S$2:$S$500,O$1)</f>
        <v>0</v>
      </c>
      <c r="Q36" t="e">
        <f ca="1">AVERAGEIFS('Region 9'!$W$2:$W$500,'Region 9'!$X$2:$X$500,$B36,'Region 9'!$S$2:$S$500,J$1)</f>
        <v>#DIV/0!</v>
      </c>
      <c r="R36" t="e">
        <f ca="1">AVERAGEIFS('Region 9'!$W$2:$W$500,'Region 9'!$X$2:$X$500,$B36,'Region 9'!$S$2:$S$500,K$1)</f>
        <v>#DIV/0!</v>
      </c>
      <c r="S36" t="e">
        <f ca="1">AVERAGEIFS('Region 9'!$W$2:$W$500,'Region 9'!$X$2:$X$500,$B36,'Region 9'!$S$2:$S$500,L$1)</f>
        <v>#DIV/0!</v>
      </c>
      <c r="T36" t="e">
        <f ca="1">AVERAGEIFS('Region 9'!$W$2:$W$500,'Region 9'!$X$2:$X$500,$B36,'Region 9'!$S$2:$S$500,M$1)</f>
        <v>#DIV/0!</v>
      </c>
      <c r="U36" t="e">
        <f ca="1">AVERAGEIFS('Region 9'!$W$2:$W$500,'Region 9'!$X$2:$X$500,$B36,'Region 9'!$S$2:$S$500,N$1)</f>
        <v>#DIV/0!</v>
      </c>
      <c r="V36" t="e">
        <f ca="1">AVERAGEIFS('Region 9'!$W$2:$W$500,'Region 9'!$X$2:$X$500,$B36,'Region 9'!$S$2:$S$500,O$1)</f>
        <v>#DIV/0!</v>
      </c>
    </row>
    <row r="37" spans="1:23" x14ac:dyDescent="0.3">
      <c r="A37">
        <f t="shared" si="6"/>
        <v>9</v>
      </c>
      <c r="B37">
        <f t="shared" si="7"/>
        <v>4</v>
      </c>
      <c r="C37" s="96" t="str">
        <f t="shared" si="8"/>
        <v>-</v>
      </c>
      <c r="D37" s="96" t="str">
        <f t="shared" si="9"/>
        <v>-</v>
      </c>
      <c r="E37" s="96" t="str">
        <f t="shared" si="10"/>
        <v>-</v>
      </c>
      <c r="F37" s="96" t="str">
        <f t="shared" si="11"/>
        <v>-</v>
      </c>
      <c r="G37" s="96" t="str">
        <f t="shared" si="12"/>
        <v>-</v>
      </c>
      <c r="H37" s="96" t="str">
        <f t="shared" si="13"/>
        <v>-</v>
      </c>
      <c r="J37" s="94">
        <f>COUNTIFS('Region 9'!$X$2:$X$500,$B37,'Region 9'!$S$2:$S$500,J$1)</f>
        <v>0</v>
      </c>
      <c r="K37" s="94">
        <f>COUNTIFS('Region 9'!$X$2:$X$500,$B37,'Region 9'!$S$2:$S$500,K$1)</f>
        <v>0</v>
      </c>
      <c r="L37" s="94">
        <f>COUNTIFS('Region 9'!$X$2:$X$500,$B37,'Region 9'!$S$2:$S$500,L$1)</f>
        <v>0</v>
      </c>
      <c r="M37" s="94">
        <f>COUNTIFS('Region 9'!$X$2:$X$500,$B37,'Region 9'!$S$2:$S$500,M$1)</f>
        <v>0</v>
      </c>
      <c r="N37" s="94">
        <f>COUNTIFS('Region 9'!$X$2:$X$500,$B37,'Region 9'!$S$2:$S$500,N$1)</f>
        <v>0</v>
      </c>
      <c r="O37" s="94">
        <f>COUNTIFS('Region 9'!$X$2:$X$500,$B37,'Region 9'!$S$2:$S$500,O$1)</f>
        <v>0</v>
      </c>
      <c r="Q37" t="e">
        <f ca="1">AVERAGEIFS('Region 9'!$W$2:$W$500,'Region 9'!$X$2:$X$500,$B37,'Region 9'!$S$2:$S$500,J$1)</f>
        <v>#DIV/0!</v>
      </c>
      <c r="R37" t="e">
        <f ca="1">AVERAGEIFS('Region 9'!$W$2:$W$500,'Region 9'!$X$2:$X$500,$B37,'Region 9'!$S$2:$S$500,K$1)</f>
        <v>#DIV/0!</v>
      </c>
      <c r="S37" t="e">
        <f ca="1">AVERAGEIFS('Region 9'!$W$2:$W$500,'Region 9'!$X$2:$X$500,$B37,'Region 9'!$S$2:$S$500,L$1)</f>
        <v>#DIV/0!</v>
      </c>
      <c r="T37" t="e">
        <f ca="1">AVERAGEIFS('Region 9'!$W$2:$W$500,'Region 9'!$X$2:$X$500,$B37,'Region 9'!$S$2:$S$500,M$1)</f>
        <v>#DIV/0!</v>
      </c>
      <c r="U37" t="e">
        <f ca="1">AVERAGEIFS('Region 9'!$W$2:$W$500,'Region 9'!$X$2:$X$500,$B37,'Region 9'!$S$2:$S$500,N$1)</f>
        <v>#DIV/0!</v>
      </c>
      <c r="V37" t="e">
        <f ca="1">AVERAGEIFS('Region 9'!$W$2:$W$500,'Region 9'!$X$2:$X$500,$B37,'Region 9'!$S$2:$S$500,O$1)</f>
        <v>#DIV/0!</v>
      </c>
    </row>
    <row r="38" spans="1:23" x14ac:dyDescent="0.3">
      <c r="A38">
        <f t="shared" si="6"/>
        <v>10</v>
      </c>
      <c r="B38">
        <f t="shared" si="7"/>
        <v>1</v>
      </c>
      <c r="C38" s="96" t="str">
        <f t="shared" si="8"/>
        <v>-</v>
      </c>
      <c r="D38" s="96" t="str">
        <f t="shared" si="9"/>
        <v>-</v>
      </c>
      <c r="E38" s="96" t="str">
        <f t="shared" si="10"/>
        <v>-</v>
      </c>
      <c r="F38" s="96">
        <f t="shared" si="11"/>
        <v>0.76585365853658538</v>
      </c>
      <c r="G38" s="96" t="str">
        <f t="shared" si="12"/>
        <v>-</v>
      </c>
      <c r="H38" s="96" t="str">
        <f t="shared" si="13"/>
        <v>-</v>
      </c>
      <c r="J38">
        <f>COUNTIFS('Region 10'!$X$2:$X$500,$B38,'Region 10'!$S$2:$S$500,J$1)</f>
        <v>0</v>
      </c>
      <c r="K38">
        <f>COUNTIFS('Region 10'!$X$2:$X$500,$B38,'Region 10'!$S$2:$S$500,K$1)</f>
        <v>0</v>
      </c>
      <c r="L38">
        <f>COUNTIFS('Region 10'!$X$2:$X$500,$B38,'Region 10'!$S$2:$S$500,L$1)</f>
        <v>0</v>
      </c>
      <c r="M38">
        <f>COUNTIFS('Region 10'!$X$2:$X$500,$B38,'Region 10'!$S$2:$S$500,M$1)</f>
        <v>1</v>
      </c>
      <c r="N38">
        <f>COUNTIFS('Region 10'!$X$2:$X$500,$B38,'Region 10'!$S$2:$S$500,N$1)</f>
        <v>0</v>
      </c>
      <c r="O38">
        <f>COUNTIFS('Region 10'!$X$2:$X$500,$B38,'Region 10'!$S$2:$S$500,O$1)</f>
        <v>0</v>
      </c>
      <c r="Q38" s="94" t="e">
        <f>AVERAGEIFS('Region 10'!$W$2:$W$500,'Region 10'!$X$2:$X$500,$B38,'Region 10'!$S$2:$S$500,J$1)</f>
        <v>#DIV/0!</v>
      </c>
      <c r="R38" s="94" t="e">
        <f>AVERAGEIFS('Region 10'!$W$2:$W$500,'Region 10'!$X$2:$X$500,$B38,'Region 10'!$S$2:$S$500,K$1)</f>
        <v>#DIV/0!</v>
      </c>
      <c r="S38" s="94" t="e">
        <f>AVERAGEIFS('Region 10'!$W$2:$W$500,'Region 10'!$X$2:$X$500,$B38,'Region 10'!$S$2:$S$500,L$1)</f>
        <v>#DIV/0!</v>
      </c>
      <c r="T38" s="94">
        <f>AVERAGEIFS('Region 10'!$W$2:$W$500,'Region 10'!$X$2:$X$500,$B38,'Region 10'!$S$2:$S$500,M$1)</f>
        <v>0.76585365853658538</v>
      </c>
      <c r="U38" s="94" t="e">
        <f>AVERAGEIFS('Region 10'!$W$2:$W$500,'Region 10'!$X$2:$X$500,$B38,'Region 10'!$S$2:$S$500,N$1)</f>
        <v>#DIV/0!</v>
      </c>
      <c r="V38" s="94" t="e">
        <f>AVERAGEIFS('Region 10'!$W$2:$W$500,'Region 10'!$X$2:$X$500,$B38,'Region 10'!$S$2:$S$500,O$1)</f>
        <v>#DIV/0!</v>
      </c>
    </row>
    <row r="39" spans="1:23" x14ac:dyDescent="0.3">
      <c r="A39">
        <f t="shared" si="6"/>
        <v>10</v>
      </c>
      <c r="B39">
        <f t="shared" si="7"/>
        <v>2</v>
      </c>
      <c r="C39" s="96" t="str">
        <f t="shared" si="8"/>
        <v>-</v>
      </c>
      <c r="D39" s="96" t="str">
        <f t="shared" si="9"/>
        <v>-</v>
      </c>
      <c r="E39" s="96" t="str">
        <f t="shared" si="10"/>
        <v>-</v>
      </c>
      <c r="F39" s="96" t="str">
        <f t="shared" si="11"/>
        <v>-</v>
      </c>
      <c r="G39" s="96" t="str">
        <f t="shared" si="12"/>
        <v>-</v>
      </c>
      <c r="H39" s="96" t="str">
        <f t="shared" si="13"/>
        <v>-</v>
      </c>
      <c r="J39">
        <f>COUNTIFS('Region 10'!$X$2:$X$500,$B39,'Region 10'!$S$2:$S$500,J$1)</f>
        <v>0</v>
      </c>
      <c r="K39">
        <f>COUNTIFS('Region 10'!$X$2:$X$500,$B39,'Region 10'!$S$2:$S$500,K$1)</f>
        <v>0</v>
      </c>
      <c r="L39">
        <f>COUNTIFS('Region 10'!$X$2:$X$500,$B39,'Region 10'!$S$2:$S$500,L$1)</f>
        <v>0</v>
      </c>
      <c r="M39">
        <f>COUNTIFS('Region 10'!$X$2:$X$500,$B39,'Region 10'!$S$2:$S$500,M$1)</f>
        <v>0</v>
      </c>
      <c r="N39">
        <f>COUNTIFS('Region 10'!$X$2:$X$500,$B39,'Region 10'!$S$2:$S$500,N$1)</f>
        <v>0</v>
      </c>
      <c r="O39">
        <f>COUNTIFS('Region 10'!$X$2:$X$500,$B39,'Region 10'!$S$2:$S$500,O$1)</f>
        <v>0</v>
      </c>
      <c r="Q39" s="94" t="e">
        <f>AVERAGEIFS('Region 10'!$W$2:$W$500,'Region 10'!$X$2:$X$500,$B39,'Region 10'!$S$2:$S$500,J$1)</f>
        <v>#DIV/0!</v>
      </c>
      <c r="R39" s="94" t="e">
        <f>AVERAGEIFS('Region 10'!$W$2:$W$500,'Region 10'!$X$2:$X$500,$B39,'Region 10'!$S$2:$S$500,K$1)</f>
        <v>#DIV/0!</v>
      </c>
      <c r="S39" s="94" t="e">
        <f>AVERAGEIFS('Region 10'!$W$2:$W$500,'Region 10'!$X$2:$X$500,$B39,'Region 10'!$S$2:$S$500,L$1)</f>
        <v>#DIV/0!</v>
      </c>
      <c r="T39" s="94" t="e">
        <f>AVERAGEIFS('Region 10'!$W$2:$W$500,'Region 10'!$X$2:$X$500,$B39,'Region 10'!$S$2:$S$500,M$1)</f>
        <v>#DIV/0!</v>
      </c>
      <c r="U39" s="94" t="e">
        <f>AVERAGEIFS('Region 10'!$W$2:$W$500,'Region 10'!$X$2:$X$500,$B39,'Region 10'!$S$2:$S$500,N$1)</f>
        <v>#DIV/0!</v>
      </c>
      <c r="V39" s="94" t="e">
        <f>AVERAGEIFS('Region 10'!$W$2:$W$500,'Region 10'!$X$2:$X$500,$B39,'Region 10'!$S$2:$S$500,O$1)</f>
        <v>#DIV/0!</v>
      </c>
    </row>
    <row r="40" spans="1:23" x14ac:dyDescent="0.3">
      <c r="A40">
        <f t="shared" si="6"/>
        <v>10</v>
      </c>
      <c r="B40">
        <f t="shared" si="7"/>
        <v>3</v>
      </c>
      <c r="C40" s="96" t="str">
        <f t="shared" si="8"/>
        <v>-</v>
      </c>
      <c r="D40" s="96" t="str">
        <f t="shared" si="9"/>
        <v>-</v>
      </c>
      <c r="E40" s="96" t="str">
        <f t="shared" si="10"/>
        <v>-</v>
      </c>
      <c r="F40" s="96">
        <f t="shared" si="11"/>
        <v>0.3902439024390244</v>
      </c>
      <c r="G40" s="96" t="str">
        <f t="shared" si="12"/>
        <v>-</v>
      </c>
      <c r="H40" s="96" t="str">
        <f t="shared" si="13"/>
        <v>-</v>
      </c>
      <c r="J40">
        <f>COUNTIFS('Region 10'!$X$2:$X$500,$B40,'Region 10'!$S$2:$S$500,J$1)</f>
        <v>0</v>
      </c>
      <c r="K40">
        <f>COUNTIFS('Region 10'!$X$2:$X$500,$B40,'Region 10'!$S$2:$S$500,K$1)</f>
        <v>0</v>
      </c>
      <c r="L40">
        <f>COUNTIFS('Region 10'!$X$2:$X$500,$B40,'Region 10'!$S$2:$S$500,L$1)</f>
        <v>0</v>
      </c>
      <c r="M40">
        <f>COUNTIFS('Region 10'!$X$2:$X$500,$B40,'Region 10'!$S$2:$S$500,M$1)</f>
        <v>1</v>
      </c>
      <c r="N40">
        <f>COUNTIFS('Region 10'!$X$2:$X$500,$B40,'Region 10'!$S$2:$S$500,N$1)</f>
        <v>0</v>
      </c>
      <c r="O40">
        <f>COUNTIFS('Region 10'!$X$2:$X$500,$B40,'Region 10'!$S$2:$S$500,O$1)</f>
        <v>0</v>
      </c>
      <c r="Q40" s="94" t="e">
        <f>AVERAGEIFS('Region 10'!$W$2:$W$500,'Region 10'!$X$2:$X$500,$B40,'Region 10'!$S$2:$S$500,J$1)</f>
        <v>#DIV/0!</v>
      </c>
      <c r="R40" s="94" t="e">
        <f>AVERAGEIFS('Region 10'!$W$2:$W$500,'Region 10'!$X$2:$X$500,$B40,'Region 10'!$S$2:$S$500,K$1)</f>
        <v>#DIV/0!</v>
      </c>
      <c r="S40" s="94" t="e">
        <f>AVERAGEIFS('Region 10'!$W$2:$W$500,'Region 10'!$X$2:$X$500,$B40,'Region 10'!$S$2:$S$500,L$1)</f>
        <v>#DIV/0!</v>
      </c>
      <c r="T40" s="94">
        <f>AVERAGEIFS('Region 10'!$W$2:$W$500,'Region 10'!$X$2:$X$500,$B40,'Region 10'!$S$2:$S$500,M$1)</f>
        <v>0.3902439024390244</v>
      </c>
      <c r="U40" s="94" t="e">
        <f>AVERAGEIFS('Region 10'!$W$2:$W$500,'Region 10'!$X$2:$X$500,$B40,'Region 10'!$S$2:$S$500,N$1)</f>
        <v>#DIV/0!</v>
      </c>
      <c r="V40" s="94" t="e">
        <f>AVERAGEIFS('Region 10'!$W$2:$W$500,'Region 10'!$X$2:$X$500,$B40,'Region 10'!$S$2:$S$500,O$1)</f>
        <v>#DIV/0!</v>
      </c>
    </row>
    <row r="41" spans="1:23" x14ac:dyDescent="0.3">
      <c r="A41">
        <f t="shared" si="6"/>
        <v>10</v>
      </c>
      <c r="B41">
        <f t="shared" si="7"/>
        <v>4</v>
      </c>
      <c r="C41" s="96" t="str">
        <f t="shared" si="8"/>
        <v>-</v>
      </c>
      <c r="D41" s="96" t="str">
        <f t="shared" si="9"/>
        <v>-</v>
      </c>
      <c r="E41" s="96" t="str">
        <f t="shared" si="10"/>
        <v>-</v>
      </c>
      <c r="F41" s="96" t="str">
        <f t="shared" si="11"/>
        <v>-</v>
      </c>
      <c r="G41" s="96" t="str">
        <f t="shared" si="12"/>
        <v>-</v>
      </c>
      <c r="H41" s="96" t="str">
        <f t="shared" si="13"/>
        <v>-</v>
      </c>
      <c r="J41">
        <f>COUNTIFS('Region 10'!$X$2:$X$500,$B41,'Region 10'!$S$2:$S$500,J$1)</f>
        <v>0</v>
      </c>
      <c r="K41">
        <f>COUNTIFS('Region 10'!$X$2:$X$500,$B41,'Region 10'!$S$2:$S$500,K$1)</f>
        <v>0</v>
      </c>
      <c r="L41">
        <f>COUNTIFS('Region 10'!$X$2:$X$500,$B41,'Region 10'!$S$2:$S$500,L$1)</f>
        <v>0</v>
      </c>
      <c r="M41">
        <f>COUNTIFS('Region 10'!$X$2:$X$500,$B41,'Region 10'!$S$2:$S$500,M$1)</f>
        <v>0</v>
      </c>
      <c r="N41">
        <f>COUNTIFS('Region 10'!$X$2:$X$500,$B41,'Region 10'!$S$2:$S$500,N$1)</f>
        <v>0</v>
      </c>
      <c r="O41">
        <f>COUNTIFS('Region 10'!$X$2:$X$500,$B41,'Region 10'!$S$2:$S$500,O$1)</f>
        <v>0</v>
      </c>
      <c r="Q41" s="94" t="e">
        <f>AVERAGEIFS('Region 10'!$W$2:$W$500,'Region 10'!$X$2:$X$500,$B41,'Region 10'!$S$2:$S$500,J$1)</f>
        <v>#DIV/0!</v>
      </c>
      <c r="R41" s="94" t="e">
        <f>AVERAGEIFS('Region 10'!$W$2:$W$500,'Region 10'!$X$2:$X$500,$B41,'Region 10'!$S$2:$S$500,K$1)</f>
        <v>#DIV/0!</v>
      </c>
      <c r="S41" s="94" t="e">
        <f>AVERAGEIFS('Region 10'!$W$2:$W$500,'Region 10'!$X$2:$X$500,$B41,'Region 10'!$S$2:$S$500,L$1)</f>
        <v>#DIV/0!</v>
      </c>
      <c r="T41" s="94" t="e">
        <f>AVERAGEIFS('Region 10'!$W$2:$W$500,'Region 10'!$X$2:$X$500,$B41,'Region 10'!$S$2:$S$500,M$1)</f>
        <v>#DIV/0!</v>
      </c>
      <c r="U41" s="94" t="e">
        <f>AVERAGEIFS('Region 10'!$W$2:$W$500,'Region 10'!$X$2:$X$500,$B41,'Region 10'!$S$2:$S$500,N$1)</f>
        <v>#DIV/0!</v>
      </c>
      <c r="V41" s="94" t="e">
        <f>AVERAGEIFS('Region 10'!$W$2:$W$500,'Region 10'!$X$2:$X$500,$B41,'Region 10'!$S$2:$S$500,O$1)</f>
        <v>#DIV/0!</v>
      </c>
    </row>
    <row r="42" spans="1:23" s="98" customFormat="1" x14ac:dyDescent="0.3">
      <c r="A42">
        <f t="shared" si="6"/>
        <v>11</v>
      </c>
      <c r="B42">
        <f t="shared" si="7"/>
        <v>1</v>
      </c>
      <c r="C42" s="96">
        <f t="shared" si="8"/>
        <v>47.900826446280988</v>
      </c>
      <c r="D42" s="96">
        <f t="shared" si="9"/>
        <v>1507.0432659330572</v>
      </c>
      <c r="E42" s="96">
        <f t="shared" si="10"/>
        <v>77.28848677852713</v>
      </c>
      <c r="F42" s="96">
        <f t="shared" si="11"/>
        <v>3.1098933941238003</v>
      </c>
      <c r="G42" s="96">
        <f t="shared" si="12"/>
        <v>0.93484419263456087</v>
      </c>
      <c r="H42" s="96">
        <f t="shared" si="13"/>
        <v>2.5123120505556766</v>
      </c>
      <c r="I42"/>
      <c r="J42" s="94">
        <f>COUNTIFS('Region 11'!$X$2:$X$391,$B42,'Region 11'!$S$2:$S$391,J$1)</f>
        <v>11</v>
      </c>
      <c r="K42" s="94">
        <f>COUNTIFS('Region 11'!$X$2:$X$391,$B42,'Region 11'!$S$2:$S$391,K$1)</f>
        <v>37</v>
      </c>
      <c r="L42" s="94">
        <f>COUNTIFS('Region 11'!$X$2:$X$391,$B42,'Region 11'!$S$2:$S$391,L$1)</f>
        <v>46</v>
      </c>
      <c r="M42" s="94">
        <f>COUNTIFS('Region 11'!$X$2:$X$391,$B42,'Region 11'!$S$2:$S$391,M$1)</f>
        <v>3</v>
      </c>
      <c r="N42" s="94">
        <f>COUNTIFS('Region 11'!$X$2:$X$391,$B42,'Region 11'!$S$2:$S$391,N$1)</f>
        <v>1</v>
      </c>
      <c r="O42" s="94">
        <f>COUNTIFS('Region 11'!$X$2:$X$391,$B42,'Region 11'!$S$2:$S$391,O$1)</f>
        <v>13</v>
      </c>
      <c r="P42"/>
      <c r="Q42">
        <f>AVERAGEIFS('Region 11'!$W$2:$W$391,'Region 11'!$X$2:$X$391,$B42,'Region 11'!$S$2:$S$391,C$1)</f>
        <v>47.900826446280988</v>
      </c>
      <c r="R42">
        <f>AVERAGEIFS('Region 11'!$W$2:$W$391,'Region 11'!$X$2:$X$391,$B42,'Region 11'!$S$2:$S$391,D$1)</f>
        <v>1507.0432659330572</v>
      </c>
      <c r="S42">
        <f>AVERAGEIFS('Region 11'!$W$2:$W$391,'Region 11'!$X$2:$X$391,$B42,'Region 11'!$S$2:$S$391,E$1)</f>
        <v>77.28848677852713</v>
      </c>
      <c r="T42">
        <f>AVERAGEIFS('Region 11'!$W$2:$W$391,'Region 11'!$X$2:$X$391,$B42,'Region 11'!$S$2:$S$391,F$1)</f>
        <v>3.1098933941238003</v>
      </c>
      <c r="U42">
        <f>AVERAGEIFS('Region 11'!$W$2:$W$391,'Region 11'!$X$2:$X$391,$B42,'Region 11'!$S$2:$S$391,G$1)</f>
        <v>0.93484419263456087</v>
      </c>
      <c r="V42">
        <f>AVERAGEIFS('Region 11'!$W$2:$W$391,'Region 11'!$X$2:$X$391,$B42,'Region 11'!$S$2:$S$391,H$1)</f>
        <v>2.5123120505556766</v>
      </c>
      <c r="W42"/>
    </row>
    <row r="43" spans="1:23" s="98" customFormat="1" x14ac:dyDescent="0.3">
      <c r="A43">
        <f t="shared" si="6"/>
        <v>11</v>
      </c>
      <c r="B43">
        <f t="shared" si="7"/>
        <v>2</v>
      </c>
      <c r="C43" s="96">
        <f t="shared" si="8"/>
        <v>24.632478632478634</v>
      </c>
      <c r="D43" s="96">
        <f t="shared" si="9"/>
        <v>796.02457264957263</v>
      </c>
      <c r="E43" s="96">
        <f t="shared" si="10"/>
        <v>35.773254985754988</v>
      </c>
      <c r="F43" s="96" t="str">
        <f t="shared" si="11"/>
        <v>-</v>
      </c>
      <c r="G43" s="96">
        <f t="shared" si="12"/>
        <v>0.23425925925925928</v>
      </c>
      <c r="H43" s="96" t="str">
        <f t="shared" si="13"/>
        <v>-</v>
      </c>
      <c r="I43"/>
      <c r="J43" s="94">
        <f>COUNTIFS('Region 11'!$X$2:$X$391,$B43,'Region 11'!$S$2:$S$391,J$1)</f>
        <v>1</v>
      </c>
      <c r="K43" s="94">
        <f>COUNTIFS('Region 11'!$X$2:$X$391,$B43,'Region 11'!$S$2:$S$391,K$1)</f>
        <v>4</v>
      </c>
      <c r="L43" s="94">
        <f>COUNTIFS('Region 11'!$X$2:$X$391,$B43,'Region 11'!$S$2:$S$391,L$1)</f>
        <v>4</v>
      </c>
      <c r="M43" s="94">
        <f>COUNTIFS('Region 11'!$X$2:$X$391,$B43,'Region 11'!$S$2:$S$391,M$1)</f>
        <v>0</v>
      </c>
      <c r="N43" s="94">
        <f>COUNTIFS('Region 11'!$X$2:$X$391,$B43,'Region 11'!$S$2:$S$391,N$1)</f>
        <v>1</v>
      </c>
      <c r="O43" s="94">
        <f>COUNTIFS('Region 11'!$X$2:$X$391,$B43,'Region 11'!$S$2:$S$391,O$1)</f>
        <v>0</v>
      </c>
      <c r="P43"/>
      <c r="Q43">
        <f>AVERAGEIFS('Region 11'!$W$2:$W$391,'Region 11'!$X$2:$X$391,$B43,'Region 11'!$S$2:$S$391,C$1)</f>
        <v>24.632478632478634</v>
      </c>
      <c r="R43">
        <f>AVERAGEIFS('Region 11'!$W$2:$W$391,'Region 11'!$X$2:$X$391,$B43,'Region 11'!$S$2:$S$391,D$1)</f>
        <v>796.02457264957263</v>
      </c>
      <c r="S43">
        <f>AVERAGEIFS('Region 11'!$W$2:$W$391,'Region 11'!$X$2:$X$391,$B43,'Region 11'!$S$2:$S$391,E$1)</f>
        <v>35.773254985754988</v>
      </c>
      <c r="T43" t="e">
        <f>AVERAGEIFS('Region 11'!$W$2:$W$391,'Region 11'!$X$2:$X$391,$B43,'Region 11'!$S$2:$S$391,F$1)</f>
        <v>#DIV/0!</v>
      </c>
      <c r="U43">
        <f>AVERAGEIFS('Region 11'!$W$2:$W$391,'Region 11'!$X$2:$X$391,$B43,'Region 11'!$S$2:$S$391,G$1)</f>
        <v>0.23425925925925928</v>
      </c>
      <c r="V43" t="e">
        <f>AVERAGEIFS('Region 11'!$W$2:$W$391,'Region 11'!$X$2:$X$391,$B43,'Region 11'!$S$2:$S$391,H$1)</f>
        <v>#DIV/0!</v>
      </c>
      <c r="W43"/>
    </row>
    <row r="44" spans="1:23" s="98" customFormat="1" x14ac:dyDescent="0.3">
      <c r="A44">
        <f t="shared" si="6"/>
        <v>11</v>
      </c>
      <c r="B44">
        <f t="shared" si="7"/>
        <v>3</v>
      </c>
      <c r="C44" s="96">
        <f t="shared" si="8"/>
        <v>76.244333477799998</v>
      </c>
      <c r="D44" s="96">
        <f t="shared" si="9"/>
        <v>567.98707977320635</v>
      </c>
      <c r="E44" s="96">
        <f t="shared" si="10"/>
        <v>49.88350202734096</v>
      </c>
      <c r="F44" s="96">
        <f t="shared" si="11"/>
        <v>0.14597262238461539</v>
      </c>
      <c r="G44" s="96">
        <f t="shared" si="12"/>
        <v>0.46362440546153844</v>
      </c>
      <c r="H44" s="96">
        <f t="shared" si="13"/>
        <v>11.208324904966666</v>
      </c>
      <c r="I44"/>
      <c r="J44" s="94">
        <f>COUNTIFS('Region 11'!$X$2:$X$391,$B44,'Region 11'!$S$2:$S$391,J$1)</f>
        <v>30</v>
      </c>
      <c r="K44" s="94">
        <f>COUNTIFS('Region 11'!$X$2:$X$391,$B44,'Region 11'!$S$2:$S$391,K$1)</f>
        <v>51</v>
      </c>
      <c r="L44" s="94">
        <f>COUNTIFS('Region 11'!$X$2:$X$391,$B44,'Region 11'!$S$2:$S$391,L$1)</f>
        <v>57</v>
      </c>
      <c r="M44" s="94">
        <f>COUNTIFS('Region 11'!$X$2:$X$391,$B44,'Region 11'!$S$2:$S$391,M$1)</f>
        <v>13</v>
      </c>
      <c r="N44" s="94">
        <f>COUNTIFS('Region 11'!$X$2:$X$391,$B44,'Region 11'!$S$2:$S$391,N$1)</f>
        <v>13</v>
      </c>
      <c r="O44" s="94">
        <f>COUNTIFS('Region 11'!$X$2:$X$391,$B44,'Region 11'!$S$2:$S$391,O$1)</f>
        <v>30</v>
      </c>
      <c r="P44"/>
      <c r="Q44">
        <f>AVERAGEIFS('Region 11'!$W$2:$W$391,'Region 11'!$X$2:$X$391,$B44,'Region 11'!$S$2:$S$391,C$1)</f>
        <v>76.244333477799998</v>
      </c>
      <c r="R44">
        <f>AVERAGEIFS('Region 11'!$W$2:$W$391,'Region 11'!$X$2:$X$391,$B44,'Region 11'!$S$2:$S$391,D$1)</f>
        <v>567.98707977320635</v>
      </c>
      <c r="S44">
        <f>AVERAGEIFS('Region 11'!$W$2:$W$391,'Region 11'!$X$2:$X$391,$B44,'Region 11'!$S$2:$S$391,E$1)</f>
        <v>49.88350202734096</v>
      </c>
      <c r="T44">
        <f>AVERAGEIFS('Region 11'!$W$2:$W$391,'Region 11'!$X$2:$X$391,$B44,'Region 11'!$S$2:$S$391,F$1)</f>
        <v>0.14597262238461539</v>
      </c>
      <c r="U44">
        <f>AVERAGEIFS('Region 11'!$W$2:$W$391,'Region 11'!$X$2:$X$391,$B44,'Region 11'!$S$2:$S$391,G$1)</f>
        <v>0.46362440546153844</v>
      </c>
      <c r="V44">
        <f>AVERAGEIFS('Region 11'!$W$2:$W$391,'Region 11'!$X$2:$X$391,$B44,'Region 11'!$S$2:$S$391,H$1)</f>
        <v>11.208324904966666</v>
      </c>
      <c r="W44"/>
    </row>
    <row r="45" spans="1:23" s="98" customFormat="1" x14ac:dyDescent="0.3">
      <c r="A45">
        <f t="shared" si="6"/>
        <v>11</v>
      </c>
      <c r="B45">
        <f t="shared" si="7"/>
        <v>4</v>
      </c>
      <c r="C45" s="96">
        <f t="shared" si="8"/>
        <v>142.29594017094016</v>
      </c>
      <c r="D45" s="96">
        <f t="shared" si="9"/>
        <v>850.70397676455116</v>
      </c>
      <c r="E45" s="96">
        <f t="shared" si="10"/>
        <v>26.996706535604645</v>
      </c>
      <c r="F45" s="96">
        <f t="shared" si="11"/>
        <v>1.3888888888888888E-2</v>
      </c>
      <c r="G45" s="96" t="str">
        <f t="shared" si="12"/>
        <v>-</v>
      </c>
      <c r="H45" s="96">
        <f t="shared" si="13"/>
        <v>4.75</v>
      </c>
      <c r="I45"/>
      <c r="J45" s="94">
        <f>COUNTIFS('Region 11'!$X$2:$X$391,$B45,'Region 11'!$S$2:$S$391,J$1)</f>
        <v>13</v>
      </c>
      <c r="K45" s="94">
        <f>COUNTIFS('Region 11'!$X$2:$X$391,$B45,'Region 11'!$S$2:$S$391,K$1)</f>
        <v>27</v>
      </c>
      <c r="L45" s="94">
        <f>COUNTIFS('Region 11'!$X$2:$X$391,$B45,'Region 11'!$S$2:$S$391,L$1)</f>
        <v>22</v>
      </c>
      <c r="M45" s="94">
        <f>COUNTIFS('Region 11'!$X$2:$X$391,$B45,'Region 11'!$S$2:$S$391,M$1)</f>
        <v>1</v>
      </c>
      <c r="N45" s="94">
        <f>COUNTIFS('Region 11'!$X$2:$X$391,$B45,'Region 11'!$S$2:$S$391,N$1)</f>
        <v>0</v>
      </c>
      <c r="O45" s="94">
        <f>COUNTIFS('Region 11'!$X$2:$X$391,$B45,'Region 11'!$S$2:$S$391,O$1)</f>
        <v>12</v>
      </c>
      <c r="P45"/>
      <c r="Q45">
        <f>AVERAGEIFS('Region 11'!$W$2:$W$391,'Region 11'!$X$2:$X$391,$B45,'Region 11'!$S$2:$S$391,C$1)</f>
        <v>142.29594017094016</v>
      </c>
      <c r="R45">
        <f>AVERAGEIFS('Region 11'!$W$2:$W$391,'Region 11'!$X$2:$X$391,$B45,'Region 11'!$S$2:$S$391,D$1)</f>
        <v>850.70397676455116</v>
      </c>
      <c r="S45">
        <f>AVERAGEIFS('Region 11'!$W$2:$W$391,'Region 11'!$X$2:$X$391,$B45,'Region 11'!$S$2:$S$391,E$1)</f>
        <v>26.996706535604645</v>
      </c>
      <c r="T45">
        <f>AVERAGEIFS('Region 11'!$W$2:$W$391,'Region 11'!$X$2:$X$391,$B45,'Region 11'!$S$2:$S$391,F$1)</f>
        <v>1.3888888888888888E-2</v>
      </c>
      <c r="U45" t="e">
        <f>AVERAGEIFS('Region 11'!$W$2:$W$391,'Region 11'!$X$2:$X$391,$B45,'Region 11'!$S$2:$S$391,G$1)</f>
        <v>#DIV/0!</v>
      </c>
      <c r="V45">
        <f>AVERAGEIFS('Region 11'!$W$2:$W$391,'Region 11'!$X$2:$X$391,$B45,'Region 11'!$S$2:$S$391,H$1)</f>
        <v>4.75</v>
      </c>
      <c r="W45"/>
    </row>
    <row r="46" spans="1:23" x14ac:dyDescent="0.3">
      <c r="A46">
        <f t="shared" si="6"/>
        <v>12</v>
      </c>
      <c r="B46">
        <f t="shared" si="7"/>
        <v>1</v>
      </c>
      <c r="C46" s="96" t="str">
        <f t="shared" si="8"/>
        <v>-</v>
      </c>
      <c r="D46" s="96">
        <f t="shared" si="9"/>
        <v>1892.8260648074968</v>
      </c>
      <c r="E46" s="96">
        <f t="shared" si="10"/>
        <v>99.360042401236967</v>
      </c>
      <c r="F46" s="96" t="str">
        <f t="shared" si="11"/>
        <v>-</v>
      </c>
      <c r="G46" s="96" t="str">
        <f t="shared" si="12"/>
        <v>-</v>
      </c>
      <c r="H46" s="96">
        <f t="shared" si="13"/>
        <v>33.543196654426758</v>
      </c>
      <c r="J46">
        <f>COUNTIFS('Region 12'!$X$2:$X$459,$B46,'Region 12'!$S$2:$S$459,J$1)</f>
        <v>0</v>
      </c>
      <c r="K46">
        <f>COUNTIFS('Region 12'!$X$2:$X$459,$B46,'Region 12'!$S$2:$S$459,K$1)</f>
        <v>19</v>
      </c>
      <c r="L46">
        <f>COUNTIFS('Region 12'!$X$2:$X$459,$B46,'Region 12'!$S$2:$S$459,L$1)</f>
        <v>24</v>
      </c>
      <c r="M46">
        <f>COUNTIFS('Region 12'!$X$2:$X$459,$B46,'Region 12'!$S$2:$S$459,M$1)</f>
        <v>0</v>
      </c>
      <c r="N46">
        <f>COUNTIFS('Region 12'!$X$2:$X$459,$B46,'Region 12'!$S$2:$S$459,N$1)</f>
        <v>0</v>
      </c>
      <c r="O46">
        <f>COUNTIFS('Region 12'!$X$2:$X$459,$B46,'Region 12'!$S$2:$S$459,O$1)</f>
        <v>4</v>
      </c>
      <c r="Q46" s="94" t="e">
        <f>AVERAGEIFS('Region 12'!$W$2:$W$459,'Region 12'!$X$2:$X$459,$B46,'Region 12'!$S$2:$S$459,J$1)</f>
        <v>#DIV/0!</v>
      </c>
      <c r="R46" s="94">
        <f>AVERAGEIFS('Region 12'!$W$2:$W$459,'Region 12'!$X$2:$X$459,$B46,'Region 12'!$S$2:$S$459,K$1)</f>
        <v>1892.8260648074968</v>
      </c>
      <c r="S46" s="94">
        <f>AVERAGEIFS('Region 12'!$W$2:$W$459,'Region 12'!$X$2:$X$459,$B46,'Region 12'!$S$2:$S$459,L$1)</f>
        <v>99.360042401236967</v>
      </c>
      <c r="T46" s="94" t="e">
        <f>AVERAGEIFS('Region 12'!$W$2:$W$459,'Region 12'!$X$2:$X$459,$B46,'Region 12'!$S$2:$S$459,M$1)</f>
        <v>#DIV/0!</v>
      </c>
      <c r="U46" s="94" t="e">
        <f>AVERAGEIFS('Region 12'!$W$2:$W$459,'Region 12'!$X$2:$X$459,$B46,'Region 12'!$S$2:$S$459,N$1)</f>
        <v>#DIV/0!</v>
      </c>
      <c r="V46" s="94">
        <f>AVERAGEIFS('Region 12'!$W$2:$W$459,'Region 12'!$X$2:$X$459,$B46,'Region 12'!$S$2:$S$459,O$1)</f>
        <v>33.543196654426758</v>
      </c>
    </row>
    <row r="47" spans="1:23" x14ac:dyDescent="0.3">
      <c r="A47">
        <f t="shared" si="6"/>
        <v>12</v>
      </c>
      <c r="B47">
        <f t="shared" si="7"/>
        <v>2</v>
      </c>
      <c r="C47" s="96" t="str">
        <f t="shared" si="8"/>
        <v>-</v>
      </c>
      <c r="D47" s="96" t="str">
        <f t="shared" si="9"/>
        <v>-</v>
      </c>
      <c r="E47" s="96" t="str">
        <f t="shared" si="10"/>
        <v>-</v>
      </c>
      <c r="F47" s="96" t="str">
        <f t="shared" si="11"/>
        <v>-</v>
      </c>
      <c r="G47" s="96" t="str">
        <f t="shared" si="12"/>
        <v>-</v>
      </c>
      <c r="H47" s="96" t="str">
        <f t="shared" si="13"/>
        <v>-</v>
      </c>
      <c r="J47">
        <f>COUNTIFS('Region 12'!$X$2:$X$459,$B47,'Region 12'!$S$2:$S$459,J$1)</f>
        <v>0</v>
      </c>
      <c r="K47">
        <f>COUNTIFS('Region 12'!$X$2:$X$459,$B47,'Region 12'!$S$2:$S$459,K$1)</f>
        <v>0</v>
      </c>
      <c r="L47">
        <f>COUNTIFS('Region 12'!$X$2:$X$459,$B47,'Region 12'!$S$2:$S$459,L$1)</f>
        <v>0</v>
      </c>
      <c r="M47">
        <f>COUNTIFS('Region 12'!$X$2:$X$459,$B47,'Region 12'!$S$2:$S$459,M$1)</f>
        <v>0</v>
      </c>
      <c r="N47">
        <f>COUNTIFS('Region 12'!$X$2:$X$459,$B47,'Region 12'!$S$2:$S$459,N$1)</f>
        <v>0</v>
      </c>
      <c r="O47">
        <f>COUNTIFS('Region 12'!$X$2:$X$459,$B47,'Region 12'!$S$2:$S$459,O$1)</f>
        <v>0</v>
      </c>
      <c r="Q47" s="94" t="e">
        <f>AVERAGEIFS('Region 12'!$W$2:$W$459,'Region 12'!$X$2:$X$459,$B47,'Region 12'!$S$2:$S$459,J$1)</f>
        <v>#DIV/0!</v>
      </c>
      <c r="R47" s="94" t="e">
        <f>AVERAGEIFS('Region 12'!$W$2:$W$459,'Region 12'!$X$2:$X$459,$B47,'Region 12'!$S$2:$S$459,K$1)</f>
        <v>#DIV/0!</v>
      </c>
      <c r="S47" s="94" t="e">
        <f>AVERAGEIFS('Region 12'!$W$2:$W$459,'Region 12'!$X$2:$X$459,$B47,'Region 12'!$S$2:$S$459,L$1)</f>
        <v>#DIV/0!</v>
      </c>
      <c r="T47" s="94" t="e">
        <f>AVERAGEIFS('Region 12'!$W$2:$W$459,'Region 12'!$X$2:$X$459,$B47,'Region 12'!$S$2:$S$459,M$1)</f>
        <v>#DIV/0!</v>
      </c>
      <c r="U47" s="94" t="e">
        <f>AVERAGEIFS('Region 12'!$W$2:$W$459,'Region 12'!$X$2:$X$459,$B47,'Region 12'!$S$2:$S$459,N$1)</f>
        <v>#DIV/0!</v>
      </c>
      <c r="V47" s="94" t="e">
        <f>AVERAGEIFS('Region 12'!$W$2:$W$459,'Region 12'!$X$2:$X$459,$B47,'Region 12'!$S$2:$S$459,O$1)</f>
        <v>#DIV/0!</v>
      </c>
    </row>
    <row r="48" spans="1:23" x14ac:dyDescent="0.3">
      <c r="A48">
        <f t="shared" si="6"/>
        <v>12</v>
      </c>
      <c r="B48">
        <f t="shared" si="7"/>
        <v>3</v>
      </c>
      <c r="C48" s="96" t="str">
        <f t="shared" si="8"/>
        <v>-</v>
      </c>
      <c r="D48" s="96">
        <f t="shared" si="9"/>
        <v>810.85825300217118</v>
      </c>
      <c r="E48" s="96">
        <f t="shared" si="10"/>
        <v>22.70913932813831</v>
      </c>
      <c r="F48" s="96" t="str">
        <f t="shared" si="11"/>
        <v>-</v>
      </c>
      <c r="G48" s="96" t="str">
        <f t="shared" si="12"/>
        <v>-</v>
      </c>
      <c r="H48" s="96" t="str">
        <f t="shared" si="13"/>
        <v>-</v>
      </c>
      <c r="J48">
        <f>COUNTIFS('Region 12'!$X$2:$X$459,$B48,'Region 12'!$S$2:$S$459,J$1)</f>
        <v>0</v>
      </c>
      <c r="K48">
        <f>COUNTIFS('Region 12'!$X$2:$X$459,$B48,'Region 12'!$S$2:$S$459,K$1)</f>
        <v>16</v>
      </c>
      <c r="L48">
        <f>COUNTIFS('Region 12'!$X$2:$X$459,$B48,'Region 12'!$S$2:$S$459,L$1)</f>
        <v>19</v>
      </c>
      <c r="M48">
        <f>COUNTIFS('Region 12'!$X$2:$X$459,$B48,'Region 12'!$S$2:$S$459,M$1)</f>
        <v>0</v>
      </c>
      <c r="N48">
        <f>COUNTIFS('Region 12'!$X$2:$X$459,$B48,'Region 12'!$S$2:$S$459,N$1)</f>
        <v>0</v>
      </c>
      <c r="O48">
        <f>COUNTIFS('Region 12'!$X$2:$X$459,$B48,'Region 12'!$S$2:$S$459,O$1)</f>
        <v>0</v>
      </c>
      <c r="Q48" s="94" t="e">
        <f>AVERAGEIFS('Region 12'!$W$2:$W$459,'Region 12'!$X$2:$X$459,$B48,'Region 12'!$S$2:$S$459,J$1)</f>
        <v>#DIV/0!</v>
      </c>
      <c r="R48" s="94">
        <f>AVERAGEIFS('Region 12'!$W$2:$W$459,'Region 12'!$X$2:$X$459,$B48,'Region 12'!$S$2:$S$459,K$1)</f>
        <v>810.85825300217118</v>
      </c>
      <c r="S48" s="94">
        <f>AVERAGEIFS('Region 12'!$W$2:$W$459,'Region 12'!$X$2:$X$459,$B48,'Region 12'!$S$2:$S$459,L$1)</f>
        <v>22.70913932813831</v>
      </c>
      <c r="T48" s="94" t="e">
        <f>AVERAGEIFS('Region 12'!$W$2:$W$459,'Region 12'!$X$2:$X$459,$B48,'Region 12'!$S$2:$S$459,M$1)</f>
        <v>#DIV/0!</v>
      </c>
      <c r="U48" s="94" t="e">
        <f>AVERAGEIFS('Region 12'!$W$2:$W$459,'Region 12'!$X$2:$X$459,$B48,'Region 12'!$S$2:$S$459,N$1)</f>
        <v>#DIV/0!</v>
      </c>
      <c r="V48" s="94" t="e">
        <f>AVERAGEIFS('Region 12'!$W$2:$W$459,'Region 12'!$X$2:$X$459,$B48,'Region 12'!$S$2:$S$459,O$1)</f>
        <v>#DIV/0!</v>
      </c>
    </row>
    <row r="49" spans="1:22" x14ac:dyDescent="0.3">
      <c r="A49">
        <f t="shared" si="6"/>
        <v>12</v>
      </c>
      <c r="B49">
        <f t="shared" si="7"/>
        <v>4</v>
      </c>
      <c r="C49" s="96" t="str">
        <f t="shared" si="8"/>
        <v>-</v>
      </c>
      <c r="D49" s="96">
        <f t="shared" si="9"/>
        <v>902.5911908189014</v>
      </c>
      <c r="E49" s="96">
        <f t="shared" si="10"/>
        <v>2.5379298417204401</v>
      </c>
      <c r="F49" s="96" t="str">
        <f t="shared" si="11"/>
        <v>-</v>
      </c>
      <c r="G49" s="96" t="str">
        <f t="shared" si="12"/>
        <v>-</v>
      </c>
      <c r="H49" s="96" t="str">
        <f t="shared" si="13"/>
        <v>-</v>
      </c>
      <c r="J49">
        <f>COUNTIFS('Region 12'!$X$2:$X$459,$B49,'Region 12'!$S$2:$S$459,J$1)</f>
        <v>0</v>
      </c>
      <c r="K49">
        <f>COUNTIFS('Region 12'!$X$2:$X$459,$B49,'Region 12'!$S$2:$S$459,K$1)</f>
        <v>8</v>
      </c>
      <c r="L49">
        <f>COUNTIFS('Region 12'!$X$2:$X$459,$B49,'Region 12'!$S$2:$S$459,L$1)</f>
        <v>4</v>
      </c>
      <c r="M49">
        <f>COUNTIFS('Region 12'!$X$2:$X$459,$B49,'Region 12'!$S$2:$S$459,M$1)</f>
        <v>0</v>
      </c>
      <c r="N49">
        <f>COUNTIFS('Region 12'!$X$2:$X$459,$B49,'Region 12'!$S$2:$S$459,N$1)</f>
        <v>0</v>
      </c>
      <c r="O49">
        <f>COUNTIFS('Region 12'!$X$2:$X$459,$B49,'Region 12'!$S$2:$S$459,O$1)</f>
        <v>0</v>
      </c>
      <c r="Q49" s="94" t="e">
        <f>AVERAGEIFS('Region 12'!$W$2:$W$459,'Region 12'!$X$2:$X$459,$B49,'Region 12'!$S$2:$S$459,J$1)</f>
        <v>#DIV/0!</v>
      </c>
      <c r="R49" s="94">
        <f>AVERAGEIFS('Region 12'!$W$2:$W$459,'Region 12'!$X$2:$X$459,$B49,'Region 12'!$S$2:$S$459,K$1)</f>
        <v>902.5911908189014</v>
      </c>
      <c r="S49" s="94">
        <f>AVERAGEIFS('Region 12'!$W$2:$W$459,'Region 12'!$X$2:$X$459,$B49,'Region 12'!$S$2:$S$459,L$1)</f>
        <v>2.5379298417204401</v>
      </c>
      <c r="T49" s="94" t="e">
        <f>AVERAGEIFS('Region 12'!$W$2:$W$459,'Region 12'!$X$2:$X$459,$B49,'Region 12'!$S$2:$S$459,M$1)</f>
        <v>#DIV/0!</v>
      </c>
      <c r="U49" s="94" t="e">
        <f>AVERAGEIFS('Region 12'!$W$2:$W$459,'Region 12'!$X$2:$X$459,$B49,'Region 12'!$S$2:$S$459,N$1)</f>
        <v>#DIV/0!</v>
      </c>
      <c r="V49" s="94" t="e">
        <f>AVERAGEIFS('Region 12'!$W$2:$W$459,'Region 12'!$X$2:$X$459,$B49,'Region 12'!$S$2:$S$459,O$1)</f>
        <v>#DIV/0!</v>
      </c>
    </row>
    <row r="50" spans="1:22" x14ac:dyDescent="0.3">
      <c r="A50">
        <f t="shared" si="6"/>
        <v>13</v>
      </c>
      <c r="B50">
        <f t="shared" si="7"/>
        <v>1</v>
      </c>
      <c r="C50" s="96" t="str">
        <f t="shared" si="8"/>
        <v>-</v>
      </c>
      <c r="D50" s="96" t="str">
        <f t="shared" si="9"/>
        <v>-</v>
      </c>
      <c r="E50" s="96" t="str">
        <f t="shared" si="10"/>
        <v>-</v>
      </c>
      <c r="F50" s="96" t="str">
        <f t="shared" si="11"/>
        <v>-</v>
      </c>
      <c r="G50" s="96" t="str">
        <f t="shared" si="12"/>
        <v>-</v>
      </c>
      <c r="H50" s="96" t="str">
        <f t="shared" si="13"/>
        <v>-</v>
      </c>
      <c r="J50" s="94">
        <f>COUNTIFS('Region 13'!$X$2:$X$500,$B50,'Region 13'!$S$2:$S$500,J$1)</f>
        <v>0</v>
      </c>
      <c r="K50" s="94">
        <f>COUNTIFS('Region 13'!$X$2:$X$500,$B50,'Region 13'!$S$2:$S$500,K$1)</f>
        <v>0</v>
      </c>
      <c r="L50" s="94">
        <f>COUNTIFS('Region 13'!$X$2:$X$500,$B50,'Region 13'!$S$2:$S$500,L$1)</f>
        <v>0</v>
      </c>
      <c r="M50" s="94">
        <f>COUNTIFS('Region 13'!$X$2:$X$500,$B50,'Region 13'!$S$2:$S$500,M$1)</f>
        <v>0</v>
      </c>
      <c r="N50" s="94">
        <f>COUNTIFS('Region 13'!$X$2:$X$500,$B50,'Region 13'!$S$2:$S$500,N$1)</f>
        <v>0</v>
      </c>
      <c r="O50" s="94">
        <f>COUNTIFS('Region 13'!$X$2:$X$500,$B50,'Region 13'!$S$2:$S$500,O$1)</f>
        <v>0</v>
      </c>
      <c r="Q50" t="e">
        <f>AVERAGEIFS('Region 13'!$W$2:$W$500,'Region 13'!$X$2:$X$500,$B50,'Region 13'!$S$2:$S$500,J$1)</f>
        <v>#DIV/0!</v>
      </c>
      <c r="R50" t="e">
        <f>AVERAGEIFS('Region 13'!$W$2:$W$500,'Region 13'!$X$2:$X$500,$B50,'Region 13'!$S$2:$S$500,K$1)</f>
        <v>#DIV/0!</v>
      </c>
      <c r="S50" t="e">
        <f>AVERAGEIFS('Region 13'!$W$2:$W$500,'Region 13'!$X$2:$X$500,$B50,'Region 13'!$S$2:$S$500,L$1)</f>
        <v>#DIV/0!</v>
      </c>
      <c r="T50" t="e">
        <f>AVERAGEIFS('Region 13'!$W$2:$W$500,'Region 13'!$X$2:$X$500,$B50,'Region 13'!$S$2:$S$500,M$1)</f>
        <v>#DIV/0!</v>
      </c>
      <c r="U50" t="e">
        <f>AVERAGEIFS('Region 13'!$W$2:$W$500,'Region 13'!$X$2:$X$500,$B50,'Region 13'!$S$2:$S$500,N$1)</f>
        <v>#DIV/0!</v>
      </c>
      <c r="V50" t="e">
        <f>AVERAGEIFS('Region 13'!$W$2:$W$500,'Region 13'!$X$2:$X$500,$B50,'Region 13'!$S$2:$S$500,O$1)</f>
        <v>#DIV/0!</v>
      </c>
    </row>
    <row r="51" spans="1:22" x14ac:dyDescent="0.3">
      <c r="A51">
        <f t="shared" si="6"/>
        <v>13</v>
      </c>
      <c r="B51">
        <f t="shared" si="7"/>
        <v>2</v>
      </c>
      <c r="C51" s="96" t="str">
        <f t="shared" si="8"/>
        <v>-</v>
      </c>
      <c r="D51" s="96" t="str">
        <f t="shared" si="9"/>
        <v>-</v>
      </c>
      <c r="E51" s="96" t="str">
        <f t="shared" si="10"/>
        <v>-</v>
      </c>
      <c r="F51" s="96" t="str">
        <f t="shared" si="11"/>
        <v>-</v>
      </c>
      <c r="G51" s="96" t="str">
        <f t="shared" si="12"/>
        <v>-</v>
      </c>
      <c r="H51" s="96" t="str">
        <f t="shared" si="13"/>
        <v>-</v>
      </c>
      <c r="J51" s="94">
        <f>COUNTIFS('Region 13'!$X$2:$X$500,$B51,'Region 13'!$S$2:$S$500,J$1)</f>
        <v>0</v>
      </c>
      <c r="K51" s="94">
        <f>COUNTIFS('Region 13'!$X$2:$X$500,$B51,'Region 13'!$S$2:$S$500,K$1)</f>
        <v>0</v>
      </c>
      <c r="L51" s="94">
        <f>COUNTIFS('Region 13'!$X$2:$X$500,$B51,'Region 13'!$S$2:$S$500,L$1)</f>
        <v>0</v>
      </c>
      <c r="M51" s="94">
        <f>COUNTIFS('Region 13'!$X$2:$X$500,$B51,'Region 13'!$S$2:$S$500,M$1)</f>
        <v>0</v>
      </c>
      <c r="N51" s="94">
        <f>COUNTIFS('Region 13'!$X$2:$X$500,$B51,'Region 13'!$S$2:$S$500,N$1)</f>
        <v>0</v>
      </c>
      <c r="O51" s="94">
        <f>COUNTIFS('Region 13'!$X$2:$X$500,$B51,'Region 13'!$S$2:$S$500,O$1)</f>
        <v>0</v>
      </c>
      <c r="Q51" t="e">
        <f>AVERAGEIFS('Region 13'!$W$2:$W$500,'Region 13'!$X$2:$X$500,$B51,'Region 13'!$S$2:$S$500,J$1)</f>
        <v>#DIV/0!</v>
      </c>
      <c r="R51" t="e">
        <f>AVERAGEIFS('Region 13'!$W$2:$W$500,'Region 13'!$X$2:$X$500,$B51,'Region 13'!$S$2:$S$500,K$1)</f>
        <v>#DIV/0!</v>
      </c>
      <c r="S51" t="e">
        <f>AVERAGEIFS('Region 13'!$W$2:$W$500,'Region 13'!$X$2:$X$500,$B51,'Region 13'!$S$2:$S$500,L$1)</f>
        <v>#DIV/0!</v>
      </c>
      <c r="T51" t="e">
        <f>AVERAGEIFS('Region 13'!$W$2:$W$500,'Region 13'!$X$2:$X$500,$B51,'Region 13'!$S$2:$S$500,M$1)</f>
        <v>#DIV/0!</v>
      </c>
      <c r="U51" t="e">
        <f>AVERAGEIFS('Region 13'!$W$2:$W$500,'Region 13'!$X$2:$X$500,$B51,'Region 13'!$S$2:$S$500,N$1)</f>
        <v>#DIV/0!</v>
      </c>
      <c r="V51" t="e">
        <f>AVERAGEIFS('Region 13'!$W$2:$W$500,'Region 13'!$X$2:$X$500,$B51,'Region 13'!$S$2:$S$500,O$1)</f>
        <v>#DIV/0!</v>
      </c>
    </row>
    <row r="52" spans="1:22" x14ac:dyDescent="0.3">
      <c r="A52">
        <f t="shared" si="6"/>
        <v>13</v>
      </c>
      <c r="B52">
        <f t="shared" si="7"/>
        <v>3</v>
      </c>
      <c r="C52" s="96">
        <f t="shared" si="8"/>
        <v>75.50272727272727</v>
      </c>
      <c r="D52" s="96">
        <f t="shared" si="9"/>
        <v>1507.6363636363637</v>
      </c>
      <c r="E52" s="96">
        <f t="shared" si="10"/>
        <v>9.5727272727272723</v>
      </c>
      <c r="F52" s="96" t="str">
        <f t="shared" si="11"/>
        <v>-</v>
      </c>
      <c r="G52" s="96" t="str">
        <f t="shared" si="12"/>
        <v>-</v>
      </c>
      <c r="H52" s="96" t="str">
        <f t="shared" si="13"/>
        <v>-</v>
      </c>
      <c r="J52" s="94">
        <f>COUNTIFS('Region 13'!$X$2:$X$500,$B52,'Region 13'!$S$2:$S$500,J$1)</f>
        <v>1</v>
      </c>
      <c r="K52" s="94">
        <f>COUNTIFS('Region 13'!$X$2:$X$500,$B52,'Region 13'!$S$2:$S$500,K$1)</f>
        <v>1</v>
      </c>
      <c r="L52" s="94">
        <f>COUNTIFS('Region 13'!$X$2:$X$500,$B52,'Region 13'!$S$2:$S$500,L$1)</f>
        <v>1</v>
      </c>
      <c r="M52" s="94">
        <f>COUNTIFS('Region 13'!$X$2:$X$500,$B52,'Region 13'!$S$2:$S$500,M$1)</f>
        <v>0</v>
      </c>
      <c r="N52" s="94">
        <f>COUNTIFS('Region 13'!$X$2:$X$500,$B52,'Region 13'!$S$2:$S$500,N$1)</f>
        <v>0</v>
      </c>
      <c r="O52" s="94">
        <f>COUNTIFS('Region 13'!$X$2:$X$500,$B52,'Region 13'!$S$2:$S$500,O$1)</f>
        <v>0</v>
      </c>
      <c r="Q52">
        <f>AVERAGEIFS('Region 13'!$W$2:$W$500,'Region 13'!$X$2:$X$500,$B52,'Region 13'!$S$2:$S$500,J$1)</f>
        <v>75.50272727272727</v>
      </c>
      <c r="R52">
        <f>AVERAGEIFS('Region 13'!$W$2:$W$500,'Region 13'!$X$2:$X$500,$B52,'Region 13'!$S$2:$S$500,K$1)</f>
        <v>1507.6363636363637</v>
      </c>
      <c r="S52">
        <f>AVERAGEIFS('Region 13'!$W$2:$W$500,'Region 13'!$X$2:$X$500,$B52,'Region 13'!$S$2:$S$500,L$1)</f>
        <v>9.5727272727272723</v>
      </c>
      <c r="T52" t="e">
        <f>AVERAGEIFS('Region 13'!$W$2:$W$500,'Region 13'!$X$2:$X$500,$B52,'Region 13'!$S$2:$S$500,M$1)</f>
        <v>#DIV/0!</v>
      </c>
      <c r="U52" t="e">
        <f>AVERAGEIFS('Region 13'!$W$2:$W$500,'Region 13'!$X$2:$X$500,$B52,'Region 13'!$S$2:$S$500,N$1)</f>
        <v>#DIV/0!</v>
      </c>
      <c r="V52" t="e">
        <f>AVERAGEIFS('Region 13'!$W$2:$W$500,'Region 13'!$X$2:$X$500,$B52,'Region 13'!$S$2:$S$500,O$1)</f>
        <v>#DIV/0!</v>
      </c>
    </row>
    <row r="53" spans="1:22" x14ac:dyDescent="0.3">
      <c r="A53">
        <f t="shared" si="6"/>
        <v>13</v>
      </c>
      <c r="B53">
        <f t="shared" si="7"/>
        <v>4</v>
      </c>
      <c r="C53" s="96">
        <f t="shared" si="8"/>
        <v>40.645076923076921</v>
      </c>
      <c r="D53" s="96">
        <f t="shared" si="9"/>
        <v>768.27323076923074</v>
      </c>
      <c r="E53" s="96">
        <f t="shared" si="10"/>
        <v>8.0792307692307688</v>
      </c>
      <c r="F53" s="96" t="str">
        <f t="shared" si="11"/>
        <v>-</v>
      </c>
      <c r="G53" s="96" t="str">
        <f t="shared" si="12"/>
        <v>-</v>
      </c>
      <c r="H53" s="96" t="str">
        <f t="shared" si="13"/>
        <v>-</v>
      </c>
      <c r="J53" s="94">
        <f>COUNTIFS('Region 13'!$X$2:$X$500,$B53,'Region 13'!$S$2:$S$500,J$1)</f>
        <v>1</v>
      </c>
      <c r="K53" s="94">
        <f>COUNTIFS('Region 13'!$X$2:$X$500,$B53,'Region 13'!$S$2:$S$500,K$1)</f>
        <v>1</v>
      </c>
      <c r="L53" s="94">
        <f>COUNTIFS('Region 13'!$X$2:$X$500,$B53,'Region 13'!$S$2:$S$500,L$1)</f>
        <v>1</v>
      </c>
      <c r="M53" s="94">
        <f>COUNTIFS('Region 13'!$X$2:$X$500,$B53,'Region 13'!$S$2:$S$500,M$1)</f>
        <v>0</v>
      </c>
      <c r="N53" s="94">
        <f>COUNTIFS('Region 13'!$X$2:$X$500,$B53,'Region 13'!$S$2:$S$500,N$1)</f>
        <v>0</v>
      </c>
      <c r="O53" s="94">
        <f>COUNTIFS('Region 13'!$X$2:$X$500,$B53,'Region 13'!$S$2:$S$500,O$1)</f>
        <v>0</v>
      </c>
      <c r="Q53">
        <f>AVERAGEIFS('Region 13'!$W$2:$W$500,'Region 13'!$X$2:$X$500,$B53,'Region 13'!$S$2:$S$500,J$1)</f>
        <v>40.645076923076921</v>
      </c>
      <c r="R53">
        <f>AVERAGEIFS('Region 13'!$W$2:$W$500,'Region 13'!$X$2:$X$500,$B53,'Region 13'!$S$2:$S$500,K$1)</f>
        <v>768.27323076923074</v>
      </c>
      <c r="S53">
        <f>AVERAGEIFS('Region 13'!$W$2:$W$500,'Region 13'!$X$2:$X$500,$B53,'Region 13'!$S$2:$S$500,L$1)</f>
        <v>8.0792307692307688</v>
      </c>
      <c r="T53" t="e">
        <f>AVERAGEIFS('Region 13'!$W$2:$W$500,'Region 13'!$X$2:$X$500,$B53,'Region 13'!$S$2:$S$500,M$1)</f>
        <v>#DIV/0!</v>
      </c>
      <c r="U53" t="e">
        <f>AVERAGEIFS('Region 13'!$W$2:$W$500,'Region 13'!$X$2:$X$500,$B53,'Region 13'!$S$2:$S$500,N$1)</f>
        <v>#DIV/0!</v>
      </c>
      <c r="V53" t="e">
        <f>AVERAGEIFS('Region 13'!$W$2:$W$500,'Region 13'!$X$2:$X$500,$B53,'Region 13'!$S$2:$S$500,O$1)</f>
        <v>#DIV/0!</v>
      </c>
    </row>
    <row r="54" spans="1:22" x14ac:dyDescent="0.3">
      <c r="A54">
        <f t="shared" si="6"/>
        <v>14</v>
      </c>
      <c r="B54">
        <f t="shared" si="7"/>
        <v>1</v>
      </c>
      <c r="C54" s="96" t="str">
        <f t="shared" si="8"/>
        <v>-</v>
      </c>
      <c r="D54" s="96" t="str">
        <f t="shared" si="9"/>
        <v>-</v>
      </c>
      <c r="E54" s="96" t="str">
        <f t="shared" si="10"/>
        <v>-</v>
      </c>
      <c r="F54" s="96" t="str">
        <f t="shared" si="11"/>
        <v>-</v>
      </c>
      <c r="G54" s="96" t="str">
        <f t="shared" si="12"/>
        <v>-</v>
      </c>
      <c r="H54" s="96" t="str">
        <f t="shared" si="13"/>
        <v>-</v>
      </c>
      <c r="J54">
        <f>COUNTIFS('Region 14'!$X$2:$X$500,$B54,'Region 14'!$S$2:$S$500,J$1)</f>
        <v>0</v>
      </c>
      <c r="K54">
        <f>COUNTIFS('Region 14'!$X$2:$X$500,$B54,'Region 14'!$S$2:$S$500,K$1)</f>
        <v>0</v>
      </c>
      <c r="L54">
        <f>COUNTIFS('Region 14'!$X$2:$X$500,$B54,'Region 14'!$S$2:$S$500,L$1)</f>
        <v>0</v>
      </c>
      <c r="M54">
        <f>COUNTIFS('Region 14'!$X$2:$X$500,$B54,'Region 14'!$S$2:$S$500,M$1)</f>
        <v>0</v>
      </c>
      <c r="N54">
        <f>COUNTIFS('Region 14'!$X$2:$X$500,$B54,'Region 14'!$S$2:$S$500,N$1)</f>
        <v>0</v>
      </c>
      <c r="O54">
        <f>COUNTIFS('Region 14'!$X$2:$X$500,$B54,'Region 14'!$S$2:$S$500,O$1)</f>
        <v>0</v>
      </c>
      <c r="Q54" s="94" t="e">
        <f ca="1">AVERAGEIFS('Region 14'!$W$2:$W$500,'Region 14'!$X$2:$X$500,$B54,'Region 14'!$S$2:$S$500,J$1)</f>
        <v>#DIV/0!</v>
      </c>
      <c r="R54" s="94" t="e">
        <f ca="1">AVERAGEIFS('Region 14'!$W$2:$W$500,'Region 14'!$X$2:$X$500,$B54,'Region 14'!$S$2:$S$500,K$1)</f>
        <v>#DIV/0!</v>
      </c>
      <c r="S54" s="94" t="e">
        <f ca="1">AVERAGEIFS('Region 14'!$W$2:$W$500,'Region 14'!$X$2:$X$500,$B54,'Region 14'!$S$2:$S$500,L$1)</f>
        <v>#DIV/0!</v>
      </c>
      <c r="T54" s="94" t="e">
        <f ca="1">AVERAGEIFS('Region 14'!$W$2:$W$500,'Region 14'!$X$2:$X$500,$B54,'Region 14'!$S$2:$S$500,M$1)</f>
        <v>#DIV/0!</v>
      </c>
      <c r="U54" s="94" t="e">
        <f ca="1">AVERAGEIFS('Region 14'!$W$2:$W$500,'Region 14'!$X$2:$X$500,$B54,'Region 14'!$S$2:$S$500,N$1)</f>
        <v>#DIV/0!</v>
      </c>
      <c r="V54" s="94" t="e">
        <f ca="1">AVERAGEIFS('Region 14'!$W$2:$W$500,'Region 14'!$X$2:$X$500,$B54,'Region 14'!$S$2:$S$500,O$1)</f>
        <v>#DIV/0!</v>
      </c>
    </row>
    <row r="55" spans="1:22" x14ac:dyDescent="0.3">
      <c r="A55">
        <f t="shared" si="6"/>
        <v>14</v>
      </c>
      <c r="B55">
        <f t="shared" si="7"/>
        <v>2</v>
      </c>
      <c r="C55" s="96" t="str">
        <f t="shared" si="8"/>
        <v>-</v>
      </c>
      <c r="D55" s="96" t="str">
        <f t="shared" si="9"/>
        <v>-</v>
      </c>
      <c r="E55" s="96" t="str">
        <f t="shared" si="10"/>
        <v>-</v>
      </c>
      <c r="F55" s="96" t="str">
        <f t="shared" si="11"/>
        <v>-</v>
      </c>
      <c r="G55" s="96" t="str">
        <f t="shared" si="12"/>
        <v>-</v>
      </c>
      <c r="H55" s="96" t="str">
        <f t="shared" si="13"/>
        <v>-</v>
      </c>
      <c r="J55">
        <f>COUNTIFS('Region 14'!$X$2:$X$500,$B55,'Region 14'!$S$2:$S$500,J$1)</f>
        <v>0</v>
      </c>
      <c r="K55">
        <f>COUNTIFS('Region 14'!$X$2:$X$500,$B55,'Region 14'!$S$2:$S$500,K$1)</f>
        <v>0</v>
      </c>
      <c r="L55">
        <f>COUNTIFS('Region 14'!$X$2:$X$500,$B55,'Region 14'!$S$2:$S$500,L$1)</f>
        <v>0</v>
      </c>
      <c r="M55">
        <f>COUNTIFS('Region 14'!$X$2:$X$500,$B55,'Region 14'!$S$2:$S$500,M$1)</f>
        <v>0</v>
      </c>
      <c r="N55">
        <f>COUNTIFS('Region 14'!$X$2:$X$500,$B55,'Region 14'!$S$2:$S$500,N$1)</f>
        <v>0</v>
      </c>
      <c r="O55">
        <f>COUNTIFS('Region 14'!$X$2:$X$500,$B55,'Region 14'!$S$2:$S$500,O$1)</f>
        <v>0</v>
      </c>
      <c r="Q55" s="94" t="e">
        <f ca="1">AVERAGEIFS('Region 14'!$W$2:$W$500,'Region 14'!$X$2:$X$500,$B55,'Region 14'!$S$2:$S$500,J$1)</f>
        <v>#DIV/0!</v>
      </c>
      <c r="R55" s="94" t="e">
        <f ca="1">AVERAGEIFS('Region 14'!$W$2:$W$500,'Region 14'!$X$2:$X$500,$B55,'Region 14'!$S$2:$S$500,K$1)</f>
        <v>#DIV/0!</v>
      </c>
      <c r="S55" s="94" t="e">
        <f ca="1">AVERAGEIFS('Region 14'!$W$2:$W$500,'Region 14'!$X$2:$X$500,$B55,'Region 14'!$S$2:$S$500,L$1)</f>
        <v>#DIV/0!</v>
      </c>
      <c r="T55" s="94" t="e">
        <f ca="1">AVERAGEIFS('Region 14'!$W$2:$W$500,'Region 14'!$X$2:$X$500,$B55,'Region 14'!$S$2:$S$500,M$1)</f>
        <v>#DIV/0!</v>
      </c>
      <c r="U55" s="94" t="e">
        <f ca="1">AVERAGEIFS('Region 14'!$W$2:$W$500,'Region 14'!$X$2:$X$500,$B55,'Region 14'!$S$2:$S$500,N$1)</f>
        <v>#DIV/0!</v>
      </c>
      <c r="V55" s="94" t="e">
        <f ca="1">AVERAGEIFS('Region 14'!$W$2:$W$500,'Region 14'!$X$2:$X$500,$B55,'Region 14'!$S$2:$S$500,O$1)</f>
        <v>#DIV/0!</v>
      </c>
    </row>
    <row r="56" spans="1:22" x14ac:dyDescent="0.3">
      <c r="A56">
        <f t="shared" si="6"/>
        <v>14</v>
      </c>
      <c r="B56">
        <f t="shared" si="7"/>
        <v>3</v>
      </c>
      <c r="C56" s="96" t="str">
        <f t="shared" si="8"/>
        <v>-</v>
      </c>
      <c r="D56" s="96" t="str">
        <f t="shared" si="9"/>
        <v>-</v>
      </c>
      <c r="E56" s="96" t="str">
        <f t="shared" si="10"/>
        <v>-</v>
      </c>
      <c r="F56" s="96" t="str">
        <f t="shared" si="11"/>
        <v>-</v>
      </c>
      <c r="G56" s="96" t="str">
        <f t="shared" si="12"/>
        <v>-</v>
      </c>
      <c r="H56" s="96" t="str">
        <f t="shared" si="13"/>
        <v>-</v>
      </c>
      <c r="J56">
        <f>COUNTIFS('Region 14'!$X$2:$X$500,$B56,'Region 14'!$S$2:$S$500,J$1)</f>
        <v>0</v>
      </c>
      <c r="K56">
        <f>COUNTIFS('Region 14'!$X$2:$X$500,$B56,'Region 14'!$S$2:$S$500,K$1)</f>
        <v>0</v>
      </c>
      <c r="L56">
        <f>COUNTIFS('Region 14'!$X$2:$X$500,$B56,'Region 14'!$S$2:$S$500,L$1)</f>
        <v>0</v>
      </c>
      <c r="M56">
        <f>COUNTIFS('Region 14'!$X$2:$X$500,$B56,'Region 14'!$S$2:$S$500,M$1)</f>
        <v>0</v>
      </c>
      <c r="N56">
        <f>COUNTIFS('Region 14'!$X$2:$X$500,$B56,'Region 14'!$S$2:$S$500,N$1)</f>
        <v>0</v>
      </c>
      <c r="O56">
        <f>COUNTIFS('Region 14'!$X$2:$X$500,$B56,'Region 14'!$S$2:$S$500,O$1)</f>
        <v>0</v>
      </c>
      <c r="Q56" s="94" t="e">
        <f ca="1">AVERAGEIFS('Region 14'!$W$2:$W$500,'Region 14'!$X$2:$X$500,$B56,'Region 14'!$S$2:$S$500,J$1)</f>
        <v>#DIV/0!</v>
      </c>
      <c r="R56" s="94" t="e">
        <f ca="1">AVERAGEIFS('Region 14'!$W$2:$W$500,'Region 14'!$X$2:$X$500,$B56,'Region 14'!$S$2:$S$500,K$1)</f>
        <v>#DIV/0!</v>
      </c>
      <c r="S56" s="94" t="e">
        <f ca="1">AVERAGEIFS('Region 14'!$W$2:$W$500,'Region 14'!$X$2:$X$500,$B56,'Region 14'!$S$2:$S$500,L$1)</f>
        <v>#DIV/0!</v>
      </c>
      <c r="T56" s="94" t="e">
        <f ca="1">AVERAGEIFS('Region 14'!$W$2:$W$500,'Region 14'!$X$2:$X$500,$B56,'Region 14'!$S$2:$S$500,M$1)</f>
        <v>#DIV/0!</v>
      </c>
      <c r="U56" s="94" t="e">
        <f ca="1">AVERAGEIFS('Region 14'!$W$2:$W$500,'Region 14'!$X$2:$X$500,$B56,'Region 14'!$S$2:$S$500,N$1)</f>
        <v>#DIV/0!</v>
      </c>
      <c r="V56" s="94" t="e">
        <f ca="1">AVERAGEIFS('Region 14'!$W$2:$W$500,'Region 14'!$X$2:$X$500,$B56,'Region 14'!$S$2:$S$500,O$1)</f>
        <v>#DIV/0!</v>
      </c>
    </row>
    <row r="57" spans="1:22" x14ac:dyDescent="0.3">
      <c r="A57">
        <f t="shared" si="6"/>
        <v>14</v>
      </c>
      <c r="B57">
        <f t="shared" si="7"/>
        <v>4</v>
      </c>
      <c r="C57" s="96" t="str">
        <f t="shared" si="8"/>
        <v>-</v>
      </c>
      <c r="D57" s="96" t="str">
        <f t="shared" si="9"/>
        <v>-</v>
      </c>
      <c r="E57" s="96" t="str">
        <f t="shared" si="10"/>
        <v>-</v>
      </c>
      <c r="F57" s="96" t="str">
        <f t="shared" si="11"/>
        <v>-</v>
      </c>
      <c r="G57" s="96" t="str">
        <f t="shared" si="12"/>
        <v>-</v>
      </c>
      <c r="H57" s="96" t="str">
        <f t="shared" si="13"/>
        <v>-</v>
      </c>
      <c r="J57">
        <f>COUNTIFS('Region 14'!$X$2:$X$500,$B57,'Region 14'!$S$2:$S$500,J$1)</f>
        <v>0</v>
      </c>
      <c r="K57">
        <f>COUNTIFS('Region 14'!$X$2:$X$500,$B57,'Region 14'!$S$2:$S$500,K$1)</f>
        <v>0</v>
      </c>
      <c r="L57">
        <f>COUNTIFS('Region 14'!$X$2:$X$500,$B57,'Region 14'!$S$2:$S$500,L$1)</f>
        <v>0</v>
      </c>
      <c r="M57">
        <f>COUNTIFS('Region 14'!$X$2:$X$500,$B57,'Region 14'!$S$2:$S$500,M$1)</f>
        <v>0</v>
      </c>
      <c r="N57">
        <f>COUNTIFS('Region 14'!$X$2:$X$500,$B57,'Region 14'!$S$2:$S$500,N$1)</f>
        <v>0</v>
      </c>
      <c r="O57">
        <f>COUNTIFS('Region 14'!$X$2:$X$500,$B57,'Region 14'!$S$2:$S$500,O$1)</f>
        <v>0</v>
      </c>
      <c r="Q57" s="94" t="e">
        <f ca="1">AVERAGEIFS('Region 14'!$W$2:$W$500,'Region 14'!$X$2:$X$500,$B57,'Region 14'!$S$2:$S$500,J$1)</f>
        <v>#DIV/0!</v>
      </c>
      <c r="R57" s="94" t="e">
        <f ca="1">AVERAGEIFS('Region 14'!$W$2:$W$500,'Region 14'!$X$2:$X$500,$B57,'Region 14'!$S$2:$S$500,K$1)</f>
        <v>#DIV/0!</v>
      </c>
      <c r="S57" s="94" t="e">
        <f ca="1">AVERAGEIFS('Region 14'!$W$2:$W$500,'Region 14'!$X$2:$X$500,$B57,'Region 14'!$S$2:$S$500,L$1)</f>
        <v>#DIV/0!</v>
      </c>
      <c r="T57" s="94" t="e">
        <f ca="1">AVERAGEIFS('Region 14'!$W$2:$W$500,'Region 14'!$X$2:$X$500,$B57,'Region 14'!$S$2:$S$500,M$1)</f>
        <v>#DIV/0!</v>
      </c>
      <c r="U57" s="94" t="e">
        <f ca="1">AVERAGEIFS('Region 14'!$W$2:$W$500,'Region 14'!$X$2:$X$500,$B57,'Region 14'!$S$2:$S$500,N$1)</f>
        <v>#DIV/0!</v>
      </c>
      <c r="V57" s="94" t="e">
        <f ca="1">AVERAGEIFS('Region 14'!$W$2:$W$500,'Region 14'!$X$2:$X$500,$B57,'Region 14'!$S$2:$S$500,O$1)</f>
        <v>#DIV/0!</v>
      </c>
    </row>
    <row r="58" spans="1:22" x14ac:dyDescent="0.3">
      <c r="A58">
        <f t="shared" si="6"/>
        <v>15</v>
      </c>
      <c r="B58">
        <f t="shared" si="7"/>
        <v>1</v>
      </c>
      <c r="C58" s="96" t="str">
        <f t="shared" si="8"/>
        <v>-</v>
      </c>
      <c r="D58" s="96" t="str">
        <f t="shared" si="9"/>
        <v>-</v>
      </c>
      <c r="E58" s="96" t="str">
        <f t="shared" si="10"/>
        <v>-</v>
      </c>
      <c r="F58" s="96" t="str">
        <f t="shared" si="11"/>
        <v>-</v>
      </c>
      <c r="G58" s="96" t="str">
        <f t="shared" si="12"/>
        <v>-</v>
      </c>
      <c r="H58" s="96" t="str">
        <f t="shared" si="13"/>
        <v>-</v>
      </c>
      <c r="J58" s="94">
        <f>COUNTIFS('Region 15'!$X$2:$X$500,$B58,'Region 15'!$S$2:$S$500,J$1)</f>
        <v>0</v>
      </c>
      <c r="K58" s="94">
        <f>COUNTIFS('Region 15'!$X$2:$X$500,$B58,'Region 15'!$S$2:$S$500,K$1)</f>
        <v>0</v>
      </c>
      <c r="L58" s="94">
        <f>COUNTIFS('Region 15'!$X$2:$X$500,$B58,'Region 15'!$S$2:$S$500,L$1)</f>
        <v>0</v>
      </c>
      <c r="M58" s="94">
        <f>COUNTIFS('Region 15'!$X$2:$X$500,$B58,'Region 15'!$S$2:$S$500,M$1)</f>
        <v>0</v>
      </c>
      <c r="N58" s="94">
        <f>COUNTIFS('Region 15'!$X$2:$X$500,$B58,'Region 15'!$S$2:$S$500,N$1)</f>
        <v>0</v>
      </c>
      <c r="O58" s="94">
        <f>COUNTIFS('Region 15'!$X$2:$X$500,$B58,'Region 15'!$S$2:$S$500,O$1)</f>
        <v>0</v>
      </c>
      <c r="Q58" t="e">
        <f ca="1">AVERAGEIFS('Region 15'!$W$2:$W$500,'Region 15'!$X$2:$X$500,$B58,'Region 15'!$S$2:$S$500,J$1)</f>
        <v>#DIV/0!</v>
      </c>
      <c r="R58" t="e">
        <f ca="1">AVERAGEIFS('Region 15'!$W$2:$W$500,'Region 15'!$X$2:$X$500,$B58,'Region 15'!$S$2:$S$500,K$1)</f>
        <v>#DIV/0!</v>
      </c>
      <c r="S58" t="e">
        <f ca="1">AVERAGEIFS('Region 15'!$W$2:$W$500,'Region 15'!$X$2:$X$500,$B58,'Region 15'!$S$2:$S$500,L$1)</f>
        <v>#DIV/0!</v>
      </c>
      <c r="T58" t="e">
        <f ca="1">AVERAGEIFS('Region 15'!$W$2:$W$500,'Region 15'!$X$2:$X$500,$B58,'Region 15'!$S$2:$S$500,M$1)</f>
        <v>#DIV/0!</v>
      </c>
      <c r="U58" t="e">
        <f ca="1">AVERAGEIFS('Region 15'!$W$2:$W$500,'Region 15'!$X$2:$X$500,$B58,'Region 15'!$S$2:$S$500,N$1)</f>
        <v>#DIV/0!</v>
      </c>
      <c r="V58" t="e">
        <f ca="1">AVERAGEIFS('Region 15'!$W$2:$W$500,'Region 15'!$X$2:$X$500,$B58,'Region 15'!$S$2:$S$500,O$1)</f>
        <v>#DIV/0!</v>
      </c>
    </row>
    <row r="59" spans="1:22" x14ac:dyDescent="0.3">
      <c r="A59">
        <f t="shared" si="6"/>
        <v>15</v>
      </c>
      <c r="B59">
        <f t="shared" si="7"/>
        <v>2</v>
      </c>
      <c r="C59" s="96" t="str">
        <f t="shared" si="8"/>
        <v>-</v>
      </c>
      <c r="D59" s="96" t="str">
        <f t="shared" si="9"/>
        <v>-</v>
      </c>
      <c r="E59" s="96" t="str">
        <f t="shared" si="10"/>
        <v>-</v>
      </c>
      <c r="F59" s="96" t="str">
        <f t="shared" si="11"/>
        <v>-</v>
      </c>
      <c r="G59" s="96" t="str">
        <f t="shared" si="12"/>
        <v>-</v>
      </c>
      <c r="H59" s="96" t="str">
        <f t="shared" si="13"/>
        <v>-</v>
      </c>
      <c r="J59" s="94">
        <f>COUNTIFS('Region 15'!$X$2:$X$500,$B59,'Region 15'!$S$2:$S$500,J$1)</f>
        <v>0</v>
      </c>
      <c r="K59" s="94">
        <f>COUNTIFS('Region 15'!$X$2:$X$500,$B59,'Region 15'!$S$2:$S$500,K$1)</f>
        <v>0</v>
      </c>
      <c r="L59" s="94">
        <f>COUNTIFS('Region 15'!$X$2:$X$500,$B59,'Region 15'!$S$2:$S$500,L$1)</f>
        <v>0</v>
      </c>
      <c r="M59" s="94">
        <f>COUNTIFS('Region 15'!$X$2:$X$500,$B59,'Region 15'!$S$2:$S$500,M$1)</f>
        <v>0</v>
      </c>
      <c r="N59" s="94">
        <f>COUNTIFS('Region 15'!$X$2:$X$500,$B59,'Region 15'!$S$2:$S$500,N$1)</f>
        <v>0</v>
      </c>
      <c r="O59" s="94">
        <f>COUNTIFS('Region 15'!$X$2:$X$500,$B59,'Region 15'!$S$2:$S$500,O$1)</f>
        <v>0</v>
      </c>
      <c r="Q59" t="e">
        <f ca="1">AVERAGEIFS('Region 15'!$W$2:$W$500,'Region 15'!$X$2:$X$500,$B59,'Region 15'!$S$2:$S$500,J$1)</f>
        <v>#DIV/0!</v>
      </c>
      <c r="R59" t="e">
        <f ca="1">AVERAGEIFS('Region 15'!$W$2:$W$500,'Region 15'!$X$2:$X$500,$B59,'Region 15'!$S$2:$S$500,K$1)</f>
        <v>#DIV/0!</v>
      </c>
      <c r="S59" t="e">
        <f ca="1">AVERAGEIFS('Region 15'!$W$2:$W$500,'Region 15'!$X$2:$X$500,$B59,'Region 15'!$S$2:$S$500,L$1)</f>
        <v>#DIV/0!</v>
      </c>
      <c r="T59" t="e">
        <f ca="1">AVERAGEIFS('Region 15'!$W$2:$W$500,'Region 15'!$X$2:$X$500,$B59,'Region 15'!$S$2:$S$500,M$1)</f>
        <v>#DIV/0!</v>
      </c>
      <c r="U59" t="e">
        <f ca="1">AVERAGEIFS('Region 15'!$W$2:$W$500,'Region 15'!$X$2:$X$500,$B59,'Region 15'!$S$2:$S$500,N$1)</f>
        <v>#DIV/0!</v>
      </c>
      <c r="V59" t="e">
        <f ca="1">AVERAGEIFS('Region 15'!$W$2:$W$500,'Region 15'!$X$2:$X$500,$B59,'Region 15'!$S$2:$S$500,O$1)</f>
        <v>#DIV/0!</v>
      </c>
    </row>
    <row r="60" spans="1:22" x14ac:dyDescent="0.3">
      <c r="A60">
        <f t="shared" si="6"/>
        <v>15</v>
      </c>
      <c r="B60">
        <f t="shared" si="7"/>
        <v>3</v>
      </c>
      <c r="C60" s="96" t="str">
        <f t="shared" si="8"/>
        <v>-</v>
      </c>
      <c r="D60" s="96" t="str">
        <f t="shared" si="9"/>
        <v>-</v>
      </c>
      <c r="E60" s="96" t="str">
        <f t="shared" si="10"/>
        <v>-</v>
      </c>
      <c r="F60" s="96" t="str">
        <f t="shared" si="11"/>
        <v>-</v>
      </c>
      <c r="G60" s="96" t="str">
        <f t="shared" si="12"/>
        <v>-</v>
      </c>
      <c r="H60" s="96" t="str">
        <f t="shared" si="13"/>
        <v>-</v>
      </c>
      <c r="J60" s="94">
        <f>COUNTIFS('Region 15'!$X$2:$X$500,$B60,'Region 15'!$S$2:$S$500,J$1)</f>
        <v>0</v>
      </c>
      <c r="K60" s="94">
        <f>COUNTIFS('Region 15'!$X$2:$X$500,$B60,'Region 15'!$S$2:$S$500,K$1)</f>
        <v>0</v>
      </c>
      <c r="L60" s="94">
        <f>COUNTIFS('Region 15'!$X$2:$X$500,$B60,'Region 15'!$S$2:$S$500,L$1)</f>
        <v>0</v>
      </c>
      <c r="M60" s="94">
        <f>COUNTIFS('Region 15'!$X$2:$X$500,$B60,'Region 15'!$S$2:$S$500,M$1)</f>
        <v>0</v>
      </c>
      <c r="N60" s="94">
        <f>COUNTIFS('Region 15'!$X$2:$X$500,$B60,'Region 15'!$S$2:$S$500,N$1)</f>
        <v>0</v>
      </c>
      <c r="O60" s="94">
        <f>COUNTIFS('Region 15'!$X$2:$X$500,$B60,'Region 15'!$S$2:$S$500,O$1)</f>
        <v>0</v>
      </c>
      <c r="Q60" t="e">
        <f ca="1">AVERAGEIFS('Region 15'!$W$2:$W$500,'Region 15'!$X$2:$X$500,$B60,'Region 15'!$S$2:$S$500,J$1)</f>
        <v>#DIV/0!</v>
      </c>
      <c r="R60" t="e">
        <f ca="1">AVERAGEIFS('Region 15'!$W$2:$W$500,'Region 15'!$X$2:$X$500,$B60,'Region 15'!$S$2:$S$500,K$1)</f>
        <v>#DIV/0!</v>
      </c>
      <c r="S60" t="e">
        <f ca="1">AVERAGEIFS('Region 15'!$W$2:$W$500,'Region 15'!$X$2:$X$500,$B60,'Region 15'!$S$2:$S$500,L$1)</f>
        <v>#DIV/0!</v>
      </c>
      <c r="T60" t="e">
        <f ca="1">AVERAGEIFS('Region 15'!$W$2:$W$500,'Region 15'!$X$2:$X$500,$B60,'Region 15'!$S$2:$S$500,M$1)</f>
        <v>#DIV/0!</v>
      </c>
      <c r="U60" t="e">
        <f ca="1">AVERAGEIFS('Region 15'!$W$2:$W$500,'Region 15'!$X$2:$X$500,$B60,'Region 15'!$S$2:$S$500,N$1)</f>
        <v>#DIV/0!</v>
      </c>
      <c r="V60" t="e">
        <f ca="1">AVERAGEIFS('Region 15'!$W$2:$W$500,'Region 15'!$X$2:$X$500,$B60,'Region 15'!$S$2:$S$500,O$1)</f>
        <v>#DIV/0!</v>
      </c>
    </row>
    <row r="61" spans="1:22" x14ac:dyDescent="0.3">
      <c r="A61">
        <f t="shared" si="6"/>
        <v>15</v>
      </c>
      <c r="B61">
        <f t="shared" si="7"/>
        <v>4</v>
      </c>
      <c r="C61" s="96" t="str">
        <f t="shared" si="8"/>
        <v>-</v>
      </c>
      <c r="D61" s="96" t="str">
        <f t="shared" si="9"/>
        <v>-</v>
      </c>
      <c r="E61" s="96" t="str">
        <f t="shared" si="10"/>
        <v>-</v>
      </c>
      <c r="F61" s="96" t="str">
        <f t="shared" si="11"/>
        <v>-</v>
      </c>
      <c r="G61" s="96" t="str">
        <f t="shared" si="12"/>
        <v>-</v>
      </c>
      <c r="H61" s="96" t="str">
        <f t="shared" si="13"/>
        <v>-</v>
      </c>
      <c r="J61" s="94">
        <f>COUNTIFS('Region 15'!$X$2:$X$500,$B61,'Region 15'!$S$2:$S$500,J$1)</f>
        <v>0</v>
      </c>
      <c r="K61" s="94">
        <f>COUNTIFS('Region 15'!$X$2:$X$500,$B61,'Region 15'!$S$2:$S$500,K$1)</f>
        <v>0</v>
      </c>
      <c r="L61" s="94">
        <f>COUNTIFS('Region 15'!$X$2:$X$500,$B61,'Region 15'!$S$2:$S$500,L$1)</f>
        <v>0</v>
      </c>
      <c r="M61" s="94">
        <f>COUNTIFS('Region 15'!$X$2:$X$500,$B61,'Region 15'!$S$2:$S$500,M$1)</f>
        <v>0</v>
      </c>
      <c r="N61" s="94">
        <f>COUNTIFS('Region 15'!$X$2:$X$500,$B61,'Region 15'!$S$2:$S$500,N$1)</f>
        <v>0</v>
      </c>
      <c r="O61" s="94">
        <f>COUNTIFS('Region 15'!$X$2:$X$500,$B61,'Region 15'!$S$2:$S$500,O$1)</f>
        <v>0</v>
      </c>
      <c r="Q61" t="e">
        <f ca="1">AVERAGEIFS('Region 15'!$W$2:$W$500,'Region 15'!$X$2:$X$500,$B61,'Region 15'!$S$2:$S$500,J$1)</f>
        <v>#DIV/0!</v>
      </c>
      <c r="R61" t="e">
        <f ca="1">AVERAGEIFS('Region 15'!$W$2:$W$500,'Region 15'!$X$2:$X$500,$B61,'Region 15'!$S$2:$S$500,K$1)</f>
        <v>#DIV/0!</v>
      </c>
      <c r="S61" t="e">
        <f ca="1">AVERAGEIFS('Region 15'!$W$2:$W$500,'Region 15'!$X$2:$X$500,$B61,'Region 15'!$S$2:$S$500,L$1)</f>
        <v>#DIV/0!</v>
      </c>
      <c r="T61" t="e">
        <f ca="1">AVERAGEIFS('Region 15'!$W$2:$W$500,'Region 15'!$X$2:$X$500,$B61,'Region 15'!$S$2:$S$500,M$1)</f>
        <v>#DIV/0!</v>
      </c>
      <c r="U61" t="e">
        <f ca="1">AVERAGEIFS('Region 15'!$W$2:$W$500,'Region 15'!$X$2:$X$500,$B61,'Region 15'!$S$2:$S$500,N$1)</f>
        <v>#DIV/0!</v>
      </c>
      <c r="V61" t="e">
        <f ca="1">AVERAGEIFS('Region 15'!$W$2:$W$500,'Region 15'!$X$2:$X$500,$B61,'Region 15'!$S$2:$S$500,O$1)</f>
        <v>#DIV/0!</v>
      </c>
    </row>
    <row r="62" spans="1:22" x14ac:dyDescent="0.3">
      <c r="A62">
        <f t="shared" si="6"/>
        <v>16</v>
      </c>
      <c r="B62">
        <f t="shared" si="7"/>
        <v>1</v>
      </c>
      <c r="C62" s="96" t="str">
        <f t="shared" si="8"/>
        <v>-</v>
      </c>
      <c r="D62" s="96" t="str">
        <f t="shared" si="9"/>
        <v>-</v>
      </c>
      <c r="E62" s="96" t="str">
        <f t="shared" si="10"/>
        <v>-</v>
      </c>
      <c r="F62" s="96" t="str">
        <f t="shared" si="11"/>
        <v>-</v>
      </c>
      <c r="G62" s="96" t="str">
        <f t="shared" si="12"/>
        <v>-</v>
      </c>
      <c r="H62" s="96" t="str">
        <f t="shared" si="13"/>
        <v>-</v>
      </c>
      <c r="J62">
        <f>COUNTIFS('Region 16'!$X$2:$X$500,$B62,'Region 16'!$S$2:$S$500,J$1)</f>
        <v>0</v>
      </c>
      <c r="K62">
        <f>COUNTIFS('Region 16'!$X$2:$X$500,$B62,'Region 16'!$S$2:$S$500,K$1)</f>
        <v>0</v>
      </c>
      <c r="L62">
        <f>COUNTIFS('Region 16'!$X$2:$X$500,$B62,'Region 16'!$S$2:$S$500,L$1)</f>
        <v>0</v>
      </c>
      <c r="M62">
        <f>COUNTIFS('Region 16'!$X$2:$X$500,$B62,'Region 16'!$S$2:$S$500,M$1)</f>
        <v>0</v>
      </c>
      <c r="N62">
        <f>COUNTIFS('Region 16'!$X$2:$X$500,$B62,'Region 16'!$S$2:$S$500,N$1)</f>
        <v>0</v>
      </c>
      <c r="O62">
        <f>COUNTIFS('Region 16'!$X$2:$X$500,$B62,'Region 16'!$S$2:$S$500,O$1)</f>
        <v>0</v>
      </c>
      <c r="Q62" s="94" t="e">
        <f ca="1">AVERAGEIFS('Region 16'!$W$2:$W$500,'Region 16'!$X$2:$X$500,$B62,'Region 16'!$S$2:$S$500,J$1)</f>
        <v>#DIV/0!</v>
      </c>
      <c r="R62" s="94" t="e">
        <f ca="1">AVERAGEIFS('Region 16'!$W$2:$W$500,'Region 16'!$X$2:$X$500,$B62,'Region 16'!$S$2:$S$500,K$1)</f>
        <v>#DIV/0!</v>
      </c>
      <c r="S62" s="94" t="e">
        <f ca="1">AVERAGEIFS('Region 16'!$W$2:$W$500,'Region 16'!$X$2:$X$500,$B62,'Region 16'!$S$2:$S$500,L$1)</f>
        <v>#DIV/0!</v>
      </c>
      <c r="T62" s="94" t="e">
        <f ca="1">AVERAGEIFS('Region 16'!$W$2:$W$500,'Region 16'!$X$2:$X$500,$B62,'Region 16'!$S$2:$S$500,M$1)</f>
        <v>#DIV/0!</v>
      </c>
      <c r="U62" s="94" t="e">
        <f ca="1">AVERAGEIFS('Region 16'!$W$2:$W$500,'Region 16'!$X$2:$X$500,$B62,'Region 16'!$S$2:$S$500,N$1)</f>
        <v>#DIV/0!</v>
      </c>
      <c r="V62" s="94" t="e">
        <f ca="1">AVERAGEIFS('Region 16'!$W$2:$W$500,'Region 16'!$X$2:$X$500,$B62,'Region 16'!$S$2:$S$500,O$1)</f>
        <v>#DIV/0!</v>
      </c>
    </row>
    <row r="63" spans="1:22" x14ac:dyDescent="0.3">
      <c r="A63">
        <f t="shared" si="6"/>
        <v>16</v>
      </c>
      <c r="B63">
        <f t="shared" si="7"/>
        <v>2</v>
      </c>
      <c r="C63" s="96" t="str">
        <f t="shared" si="8"/>
        <v>-</v>
      </c>
      <c r="D63" s="96" t="str">
        <f t="shared" si="9"/>
        <v>-</v>
      </c>
      <c r="E63" s="96" t="str">
        <f t="shared" si="10"/>
        <v>-</v>
      </c>
      <c r="F63" s="96" t="str">
        <f t="shared" si="11"/>
        <v>-</v>
      </c>
      <c r="G63" s="96" t="str">
        <f t="shared" si="12"/>
        <v>-</v>
      </c>
      <c r="H63" s="96" t="str">
        <f t="shared" si="13"/>
        <v>-</v>
      </c>
      <c r="J63">
        <f>COUNTIFS('Region 16'!$X$2:$X$500,$B63,'Region 16'!$S$2:$S$500,J$1)</f>
        <v>0</v>
      </c>
      <c r="K63">
        <f>COUNTIFS('Region 16'!$X$2:$X$500,$B63,'Region 16'!$S$2:$S$500,K$1)</f>
        <v>0</v>
      </c>
      <c r="L63">
        <f>COUNTIFS('Region 16'!$X$2:$X$500,$B63,'Region 16'!$S$2:$S$500,L$1)</f>
        <v>0</v>
      </c>
      <c r="M63">
        <f>COUNTIFS('Region 16'!$X$2:$X$500,$B63,'Region 16'!$S$2:$S$500,M$1)</f>
        <v>0</v>
      </c>
      <c r="N63">
        <f>COUNTIFS('Region 16'!$X$2:$X$500,$B63,'Region 16'!$S$2:$S$500,N$1)</f>
        <v>0</v>
      </c>
      <c r="O63">
        <f>COUNTIFS('Region 16'!$X$2:$X$500,$B63,'Region 16'!$S$2:$S$500,O$1)</f>
        <v>0</v>
      </c>
      <c r="Q63" s="94" t="e">
        <f ca="1">AVERAGEIFS('Region 16'!$W$2:$W$500,'Region 16'!$X$2:$X$500,$B63,'Region 16'!$S$2:$S$500,J$1)</f>
        <v>#DIV/0!</v>
      </c>
      <c r="R63" s="94" t="e">
        <f ca="1">AVERAGEIFS('Region 16'!$W$2:$W$500,'Region 16'!$X$2:$X$500,$B63,'Region 16'!$S$2:$S$500,K$1)</f>
        <v>#DIV/0!</v>
      </c>
      <c r="S63" s="94" t="e">
        <f ca="1">AVERAGEIFS('Region 16'!$W$2:$W$500,'Region 16'!$X$2:$X$500,$B63,'Region 16'!$S$2:$S$500,L$1)</f>
        <v>#DIV/0!</v>
      </c>
      <c r="T63" s="94" t="e">
        <f ca="1">AVERAGEIFS('Region 16'!$W$2:$W$500,'Region 16'!$X$2:$X$500,$B63,'Region 16'!$S$2:$S$500,M$1)</f>
        <v>#DIV/0!</v>
      </c>
      <c r="U63" s="94" t="e">
        <f ca="1">AVERAGEIFS('Region 16'!$W$2:$W$500,'Region 16'!$X$2:$X$500,$B63,'Region 16'!$S$2:$S$500,N$1)</f>
        <v>#DIV/0!</v>
      </c>
      <c r="V63" s="94" t="e">
        <f ca="1">AVERAGEIFS('Region 16'!$W$2:$W$500,'Region 16'!$X$2:$X$500,$B63,'Region 16'!$S$2:$S$500,O$1)</f>
        <v>#DIV/0!</v>
      </c>
    </row>
    <row r="64" spans="1:22" x14ac:dyDescent="0.3">
      <c r="A64">
        <f t="shared" si="6"/>
        <v>16</v>
      </c>
      <c r="B64">
        <f t="shared" si="7"/>
        <v>3</v>
      </c>
      <c r="C64" s="96" t="str">
        <f t="shared" si="8"/>
        <v>-</v>
      </c>
      <c r="D64" s="96" t="str">
        <f t="shared" si="9"/>
        <v>-</v>
      </c>
      <c r="E64" s="96" t="str">
        <f t="shared" si="10"/>
        <v>-</v>
      </c>
      <c r="F64" s="96" t="str">
        <f t="shared" si="11"/>
        <v>-</v>
      </c>
      <c r="G64" s="96" t="str">
        <f t="shared" si="12"/>
        <v>-</v>
      </c>
      <c r="H64" s="96" t="str">
        <f t="shared" si="13"/>
        <v>-</v>
      </c>
      <c r="J64">
        <f>COUNTIFS('Region 16'!$X$2:$X$500,$B64,'Region 16'!$S$2:$S$500,J$1)</f>
        <v>0</v>
      </c>
      <c r="K64">
        <f>COUNTIFS('Region 16'!$X$2:$X$500,$B64,'Region 16'!$S$2:$S$500,K$1)</f>
        <v>0</v>
      </c>
      <c r="L64">
        <f>COUNTIFS('Region 16'!$X$2:$X$500,$B64,'Region 16'!$S$2:$S$500,L$1)</f>
        <v>0</v>
      </c>
      <c r="M64">
        <f>COUNTIFS('Region 16'!$X$2:$X$500,$B64,'Region 16'!$S$2:$S$500,M$1)</f>
        <v>0</v>
      </c>
      <c r="N64">
        <f>COUNTIFS('Region 16'!$X$2:$X$500,$B64,'Region 16'!$S$2:$S$500,N$1)</f>
        <v>0</v>
      </c>
      <c r="O64">
        <f>COUNTIFS('Region 16'!$X$2:$X$500,$B64,'Region 16'!$S$2:$S$500,O$1)</f>
        <v>0</v>
      </c>
      <c r="Q64" s="94" t="e">
        <f ca="1">AVERAGEIFS('Region 16'!$W$2:$W$500,'Region 16'!$X$2:$X$500,$B64,'Region 16'!$S$2:$S$500,J$1)</f>
        <v>#DIV/0!</v>
      </c>
      <c r="R64" s="94" t="e">
        <f ca="1">AVERAGEIFS('Region 16'!$W$2:$W$500,'Region 16'!$X$2:$X$500,$B64,'Region 16'!$S$2:$S$500,K$1)</f>
        <v>#DIV/0!</v>
      </c>
      <c r="S64" s="94" t="e">
        <f ca="1">AVERAGEIFS('Region 16'!$W$2:$W$500,'Region 16'!$X$2:$X$500,$B64,'Region 16'!$S$2:$S$500,L$1)</f>
        <v>#DIV/0!</v>
      </c>
      <c r="T64" s="94" t="e">
        <f ca="1">AVERAGEIFS('Region 16'!$W$2:$W$500,'Region 16'!$X$2:$X$500,$B64,'Region 16'!$S$2:$S$500,M$1)</f>
        <v>#DIV/0!</v>
      </c>
      <c r="U64" s="94" t="e">
        <f ca="1">AVERAGEIFS('Region 16'!$W$2:$W$500,'Region 16'!$X$2:$X$500,$B64,'Region 16'!$S$2:$S$500,N$1)</f>
        <v>#DIV/0!</v>
      </c>
      <c r="V64" s="94" t="e">
        <f ca="1">AVERAGEIFS('Region 16'!$W$2:$W$500,'Region 16'!$X$2:$X$500,$B64,'Region 16'!$S$2:$S$500,O$1)</f>
        <v>#DIV/0!</v>
      </c>
    </row>
    <row r="65" spans="1:22" x14ac:dyDescent="0.3">
      <c r="A65">
        <f t="shared" si="6"/>
        <v>16</v>
      </c>
      <c r="B65">
        <f t="shared" si="7"/>
        <v>4</v>
      </c>
      <c r="C65" s="96" t="str">
        <f t="shared" si="8"/>
        <v>-</v>
      </c>
      <c r="D65" s="96" t="str">
        <f t="shared" si="9"/>
        <v>-</v>
      </c>
      <c r="E65" s="96" t="str">
        <f t="shared" si="10"/>
        <v>-</v>
      </c>
      <c r="F65" s="96" t="str">
        <f t="shared" si="11"/>
        <v>-</v>
      </c>
      <c r="G65" s="96" t="str">
        <f t="shared" si="12"/>
        <v>-</v>
      </c>
      <c r="H65" s="96" t="str">
        <f t="shared" si="13"/>
        <v>-</v>
      </c>
      <c r="J65">
        <f>COUNTIFS('Region 16'!$X$2:$X$500,$B65,'Region 16'!$S$2:$S$500,J$1)</f>
        <v>0</v>
      </c>
      <c r="K65">
        <f>COUNTIFS('Region 16'!$X$2:$X$500,$B65,'Region 16'!$S$2:$S$500,K$1)</f>
        <v>0</v>
      </c>
      <c r="L65">
        <f>COUNTIFS('Region 16'!$X$2:$X$500,$B65,'Region 16'!$S$2:$S$500,L$1)</f>
        <v>0</v>
      </c>
      <c r="M65">
        <f>COUNTIFS('Region 16'!$X$2:$X$500,$B65,'Region 16'!$S$2:$S$500,M$1)</f>
        <v>0</v>
      </c>
      <c r="N65">
        <f>COUNTIFS('Region 16'!$X$2:$X$500,$B65,'Region 16'!$S$2:$S$500,N$1)</f>
        <v>0</v>
      </c>
      <c r="O65">
        <f>COUNTIFS('Region 16'!$X$2:$X$500,$B65,'Region 16'!$S$2:$S$500,O$1)</f>
        <v>0</v>
      </c>
      <c r="Q65" s="94" t="e">
        <f ca="1">AVERAGEIFS('Region 16'!$W$2:$W$500,'Region 16'!$X$2:$X$500,$B65,'Region 16'!$S$2:$S$500,J$1)</f>
        <v>#DIV/0!</v>
      </c>
      <c r="R65" s="94" t="e">
        <f ca="1">AVERAGEIFS('Region 16'!$W$2:$W$500,'Region 16'!$X$2:$X$500,$B65,'Region 16'!$S$2:$S$500,K$1)</f>
        <v>#DIV/0!</v>
      </c>
      <c r="S65" s="94" t="e">
        <f ca="1">AVERAGEIFS('Region 16'!$W$2:$W$500,'Region 16'!$X$2:$X$500,$B65,'Region 16'!$S$2:$S$500,L$1)</f>
        <v>#DIV/0!</v>
      </c>
      <c r="T65" s="94" t="e">
        <f ca="1">AVERAGEIFS('Region 16'!$W$2:$W$500,'Region 16'!$X$2:$X$500,$B65,'Region 16'!$S$2:$S$500,M$1)</f>
        <v>#DIV/0!</v>
      </c>
      <c r="U65" s="94" t="e">
        <f ca="1">AVERAGEIFS('Region 16'!$W$2:$W$500,'Region 16'!$X$2:$X$500,$B65,'Region 16'!$S$2:$S$500,N$1)</f>
        <v>#DIV/0!</v>
      </c>
      <c r="V65" s="94" t="e">
        <f ca="1">AVERAGEIFS('Region 16'!$W$2:$W$500,'Region 16'!$X$2:$X$500,$B65,'Region 16'!$S$2:$S$500,O$1)</f>
        <v>#DIV/0!</v>
      </c>
    </row>
    <row r="66" spans="1:22" x14ac:dyDescent="0.3">
      <c r="A66">
        <f t="shared" si="6"/>
        <v>17</v>
      </c>
      <c r="B66">
        <f t="shared" si="7"/>
        <v>1</v>
      </c>
      <c r="C66" s="96">
        <f t="shared" ref="C66:C97" si="14">IF(J66=0,"-",Q66)</f>
        <v>102.55316574401792</v>
      </c>
      <c r="D66" s="96">
        <f t="shared" ref="D66:D97" si="15">IF(K66=0,"-",R66)</f>
        <v>1641.975291835987</v>
      </c>
      <c r="E66" s="96">
        <f t="shared" ref="E66:E97" si="16">IF(L66=0,"-",S66)</f>
        <v>11.882505974528843</v>
      </c>
      <c r="F66" s="96" t="str">
        <f t="shared" ref="F66:F97" si="17">IF(M66=0,"-",T66)</f>
        <v>-</v>
      </c>
      <c r="G66" s="96">
        <f t="shared" ref="G66:G97" si="18">IF(N66=0,"-",U66)</f>
        <v>0.73438807715965349</v>
      </c>
      <c r="H66" s="96">
        <f t="shared" ref="H66:H97" si="19">IF(O66=0,"-",V66)</f>
        <v>2.7225701061802341</v>
      </c>
      <c r="J66" s="94">
        <f>COUNTIFS('Region 17'!$X$2:$X$498,$B66,'Region 17'!$S$2:$S$498,J$1)</f>
        <v>1</v>
      </c>
      <c r="K66" s="94">
        <f>COUNTIFS('Region 17'!$X$2:$X$498,$B66,'Region 17'!$S$2:$S$498,K$1)</f>
        <v>3</v>
      </c>
      <c r="L66" s="94">
        <f>COUNTIFS('Region 17'!$X$2:$X$498,$B66,'Region 17'!$S$2:$S$498,L$1)</f>
        <v>1</v>
      </c>
      <c r="M66" s="94">
        <f>COUNTIFS('Region 17'!$X$2:$X$498,$B66,'Region 17'!$S$2:$S$498,M$1)</f>
        <v>0</v>
      </c>
      <c r="N66" s="94">
        <f>COUNTIFS('Region 17'!$X$2:$X$498,$B66,'Region 17'!$S$2:$S$498,N$1)</f>
        <v>3</v>
      </c>
      <c r="O66" s="94">
        <f>COUNTIFS('Region 17'!$X$2:$X$498,$B66,'Region 17'!$S$2:$S$498,O$1)</f>
        <v>1</v>
      </c>
      <c r="Q66">
        <f>AVERAGEIFS('Region 17'!$W$2:$W$498,'Region 17'!$X$2:$X$498,$B66,'Region 17'!$S$2:$S$498,J$1)</f>
        <v>102.55316574401792</v>
      </c>
      <c r="R66">
        <f>AVERAGEIFS('Region 17'!$W$2:$W$498,'Region 17'!$X$2:$X$498,$B66,'Region 17'!$S$2:$S$498,K$1)</f>
        <v>1641.975291835987</v>
      </c>
      <c r="S66">
        <f>AVERAGEIFS('Region 17'!$W$2:$W$498,'Region 17'!$X$2:$X$498,$B66,'Region 17'!$S$2:$S$498,L$1)</f>
        <v>11.882505974528843</v>
      </c>
      <c r="T66" t="e">
        <f>AVERAGEIFS('Region 17'!$W$2:$W$498,'Region 17'!$X$2:$X$498,$B66,'Region 17'!$S$2:$S$498,M$1)</f>
        <v>#DIV/0!</v>
      </c>
      <c r="U66">
        <f>AVERAGEIFS('Region 17'!$W$2:$W$498,'Region 17'!$X$2:$X$498,$B66,'Region 17'!$S$2:$S$498,N$1)</f>
        <v>0.73438807715965349</v>
      </c>
      <c r="V66">
        <f>AVERAGEIFS('Region 17'!$W$2:$W$498,'Region 17'!$X$2:$X$498,$B66,'Region 17'!$S$2:$S$498,O$1)</f>
        <v>2.7225701061802341</v>
      </c>
    </row>
    <row r="67" spans="1:22" x14ac:dyDescent="0.3">
      <c r="A67">
        <f t="shared" si="6"/>
        <v>17</v>
      </c>
      <c r="B67">
        <f t="shared" si="7"/>
        <v>2</v>
      </c>
      <c r="C67" s="96" t="str">
        <f t="shared" si="14"/>
        <v>-</v>
      </c>
      <c r="D67" s="96" t="str">
        <f t="shared" si="15"/>
        <v>-</v>
      </c>
      <c r="E67" s="96" t="str">
        <f t="shared" si="16"/>
        <v>-</v>
      </c>
      <c r="F67" s="96" t="str">
        <f t="shared" si="17"/>
        <v>-</v>
      </c>
      <c r="G67" s="96" t="str">
        <f t="shared" si="18"/>
        <v>-</v>
      </c>
      <c r="H67" s="96" t="str">
        <f t="shared" si="19"/>
        <v>-</v>
      </c>
      <c r="J67" s="94">
        <f>COUNTIFS('Region 17'!$X$2:$X$498,$B67,'Region 17'!$S$2:$S$498,J$1)</f>
        <v>0</v>
      </c>
      <c r="K67" s="94">
        <f>COUNTIFS('Region 17'!$X$2:$X$498,$B67,'Region 17'!$S$2:$S$498,K$1)</f>
        <v>0</v>
      </c>
      <c r="L67" s="94">
        <f>COUNTIFS('Region 17'!$X$2:$X$498,$B67,'Region 17'!$S$2:$S$498,L$1)</f>
        <v>0</v>
      </c>
      <c r="M67" s="94">
        <f>COUNTIFS('Region 17'!$X$2:$X$498,$B67,'Region 17'!$S$2:$S$498,M$1)</f>
        <v>0</v>
      </c>
      <c r="N67" s="94">
        <f>COUNTIFS('Region 17'!$X$2:$X$498,$B67,'Region 17'!$S$2:$S$498,N$1)</f>
        <v>0</v>
      </c>
      <c r="O67" s="94">
        <f>COUNTIFS('Region 17'!$X$2:$X$498,$B67,'Region 17'!$S$2:$S$498,O$1)</f>
        <v>0</v>
      </c>
      <c r="Q67" t="e">
        <f>AVERAGEIFS('Region 17'!$W$2:$W$498,'Region 17'!$X$2:$X$498,$B67,'Region 17'!$S$2:$S$498,J$1)</f>
        <v>#DIV/0!</v>
      </c>
      <c r="R67" t="e">
        <f>AVERAGEIFS('Region 17'!$W$2:$W$498,'Region 17'!$X$2:$X$498,$B67,'Region 17'!$S$2:$S$498,K$1)</f>
        <v>#DIV/0!</v>
      </c>
      <c r="S67" t="e">
        <f>AVERAGEIFS('Region 17'!$W$2:$W$498,'Region 17'!$X$2:$X$498,$B67,'Region 17'!$S$2:$S$498,L$1)</f>
        <v>#DIV/0!</v>
      </c>
      <c r="T67" t="e">
        <f>AVERAGEIFS('Region 17'!$W$2:$W$498,'Region 17'!$X$2:$X$498,$B67,'Region 17'!$S$2:$S$498,M$1)</f>
        <v>#DIV/0!</v>
      </c>
      <c r="U67" t="e">
        <f>AVERAGEIFS('Region 17'!$W$2:$W$498,'Region 17'!$X$2:$X$498,$B67,'Region 17'!$S$2:$S$498,N$1)</f>
        <v>#DIV/0!</v>
      </c>
      <c r="V67" t="e">
        <f>AVERAGEIFS('Region 17'!$W$2:$W$498,'Region 17'!$X$2:$X$498,$B67,'Region 17'!$S$2:$S$498,O$1)</f>
        <v>#DIV/0!</v>
      </c>
    </row>
    <row r="68" spans="1:22" x14ac:dyDescent="0.3">
      <c r="A68">
        <f t="shared" si="6"/>
        <v>17</v>
      </c>
      <c r="B68">
        <f t="shared" si="7"/>
        <v>3</v>
      </c>
      <c r="C68" s="96">
        <f t="shared" si="14"/>
        <v>335.18805309734512</v>
      </c>
      <c r="D68" s="96">
        <f t="shared" si="15"/>
        <v>1926.3185840707965</v>
      </c>
      <c r="E68" s="96" t="str">
        <f t="shared" si="16"/>
        <v>-</v>
      </c>
      <c r="F68" s="96" t="str">
        <f t="shared" si="17"/>
        <v>-</v>
      </c>
      <c r="G68" s="96" t="str">
        <f t="shared" si="18"/>
        <v>-</v>
      </c>
      <c r="H68" s="96" t="str">
        <f t="shared" si="19"/>
        <v>-</v>
      </c>
      <c r="J68" s="94">
        <f>COUNTIFS('Region 17'!$X$2:$X$498,$B68,'Region 17'!$S$2:$S$498,J$1)</f>
        <v>1</v>
      </c>
      <c r="K68" s="94">
        <f>COUNTIFS('Region 17'!$X$2:$X$498,$B68,'Region 17'!$S$2:$S$498,K$1)</f>
        <v>1</v>
      </c>
      <c r="L68" s="94">
        <f>COUNTIFS('Region 17'!$X$2:$X$498,$B68,'Region 17'!$S$2:$S$498,L$1)</f>
        <v>0</v>
      </c>
      <c r="M68" s="94">
        <f>COUNTIFS('Region 17'!$X$2:$X$498,$B68,'Region 17'!$S$2:$S$498,M$1)</f>
        <v>0</v>
      </c>
      <c r="N68" s="94">
        <f>COUNTIFS('Region 17'!$X$2:$X$498,$B68,'Region 17'!$S$2:$S$498,N$1)</f>
        <v>0</v>
      </c>
      <c r="O68" s="94">
        <f>COUNTIFS('Region 17'!$X$2:$X$498,$B68,'Region 17'!$S$2:$S$498,O$1)</f>
        <v>0</v>
      </c>
      <c r="Q68">
        <f>AVERAGEIFS('Region 17'!$W$2:$W$498,'Region 17'!$X$2:$X$498,$B68,'Region 17'!$S$2:$S$498,J$1)</f>
        <v>335.18805309734512</v>
      </c>
      <c r="R68">
        <f>AVERAGEIFS('Region 17'!$W$2:$W$498,'Region 17'!$X$2:$X$498,$B68,'Region 17'!$S$2:$S$498,K$1)</f>
        <v>1926.3185840707965</v>
      </c>
      <c r="S68" t="e">
        <f>AVERAGEIFS('Region 17'!$W$2:$W$498,'Region 17'!$X$2:$X$498,$B68,'Region 17'!$S$2:$S$498,L$1)</f>
        <v>#DIV/0!</v>
      </c>
      <c r="T68" t="e">
        <f>AVERAGEIFS('Region 17'!$W$2:$W$498,'Region 17'!$X$2:$X$498,$B68,'Region 17'!$S$2:$S$498,M$1)</f>
        <v>#DIV/0!</v>
      </c>
      <c r="U68" t="e">
        <f>AVERAGEIFS('Region 17'!$W$2:$W$498,'Region 17'!$X$2:$X$498,$B68,'Region 17'!$S$2:$S$498,N$1)</f>
        <v>#DIV/0!</v>
      </c>
      <c r="V68" t="e">
        <f>AVERAGEIFS('Region 17'!$W$2:$W$498,'Region 17'!$X$2:$X$498,$B68,'Region 17'!$S$2:$S$498,O$1)</f>
        <v>#DIV/0!</v>
      </c>
    </row>
    <row r="69" spans="1:22" x14ac:dyDescent="0.3">
      <c r="A69">
        <f t="shared" si="6"/>
        <v>17</v>
      </c>
      <c r="B69">
        <f t="shared" si="7"/>
        <v>4</v>
      </c>
      <c r="C69" s="96" t="str">
        <f t="shared" si="14"/>
        <v>-</v>
      </c>
      <c r="D69" s="96" t="str">
        <f t="shared" si="15"/>
        <v>-</v>
      </c>
      <c r="E69" s="96" t="str">
        <f t="shared" si="16"/>
        <v>-</v>
      </c>
      <c r="F69" s="96" t="str">
        <f t="shared" si="17"/>
        <v>-</v>
      </c>
      <c r="G69" s="96" t="str">
        <f t="shared" si="18"/>
        <v>-</v>
      </c>
      <c r="H69" s="96" t="str">
        <f t="shared" si="19"/>
        <v>-</v>
      </c>
      <c r="J69" s="94">
        <f>COUNTIFS('Region 17'!$X$2:$X$498,$B69,'Region 17'!$S$2:$S$498,J$1)</f>
        <v>0</v>
      </c>
      <c r="K69" s="94">
        <f>COUNTIFS('Region 17'!$X$2:$X$498,$B69,'Region 17'!$S$2:$S$498,K$1)</f>
        <v>0</v>
      </c>
      <c r="L69" s="94">
        <f>COUNTIFS('Region 17'!$X$2:$X$498,$B69,'Region 17'!$S$2:$S$498,L$1)</f>
        <v>0</v>
      </c>
      <c r="M69" s="94">
        <f>COUNTIFS('Region 17'!$X$2:$X$498,$B69,'Region 17'!$S$2:$S$498,M$1)</f>
        <v>0</v>
      </c>
      <c r="N69" s="94">
        <f>COUNTIFS('Region 17'!$X$2:$X$498,$B69,'Region 17'!$S$2:$S$498,N$1)</f>
        <v>0</v>
      </c>
      <c r="O69" s="94">
        <f>COUNTIFS('Region 17'!$X$2:$X$498,$B69,'Region 17'!$S$2:$S$498,O$1)</f>
        <v>0</v>
      </c>
      <c r="Q69" t="e">
        <f>AVERAGEIFS('Region 17'!$W$2:$W$498,'Region 17'!$X$2:$X$498,$B69,'Region 17'!$S$2:$S$498,J$1)</f>
        <v>#DIV/0!</v>
      </c>
      <c r="R69" t="e">
        <f>AVERAGEIFS('Region 17'!$W$2:$W$498,'Region 17'!$X$2:$X$498,$B69,'Region 17'!$S$2:$S$498,K$1)</f>
        <v>#DIV/0!</v>
      </c>
      <c r="S69" t="e">
        <f>AVERAGEIFS('Region 17'!$W$2:$W$498,'Region 17'!$X$2:$X$498,$B69,'Region 17'!$S$2:$S$498,L$1)</f>
        <v>#DIV/0!</v>
      </c>
      <c r="T69" t="e">
        <f>AVERAGEIFS('Region 17'!$W$2:$W$498,'Region 17'!$X$2:$X$498,$B69,'Region 17'!$S$2:$S$498,M$1)</f>
        <v>#DIV/0!</v>
      </c>
      <c r="U69" t="e">
        <f>AVERAGEIFS('Region 17'!$W$2:$W$498,'Region 17'!$X$2:$X$498,$B69,'Region 17'!$S$2:$S$498,N$1)</f>
        <v>#DIV/0!</v>
      </c>
      <c r="V69" t="e">
        <f>AVERAGEIFS('Region 17'!$W$2:$W$498,'Region 17'!$X$2:$X$498,$B69,'Region 17'!$S$2:$S$498,O$1)</f>
        <v>#DIV/0!</v>
      </c>
    </row>
    <row r="70" spans="1:22" x14ac:dyDescent="0.3">
      <c r="A70">
        <f t="shared" si="6"/>
        <v>18</v>
      </c>
      <c r="B70">
        <f t="shared" si="7"/>
        <v>1</v>
      </c>
      <c r="C70" s="96">
        <f t="shared" si="14"/>
        <v>20.772967796589832</v>
      </c>
      <c r="D70" s="96">
        <f t="shared" si="15"/>
        <v>1069.4978632478635</v>
      </c>
      <c r="E70" s="96">
        <f t="shared" si="16"/>
        <v>17.413717656012174</v>
      </c>
      <c r="F70" s="96">
        <f t="shared" si="17"/>
        <v>2.0186809616634176</v>
      </c>
      <c r="G70" s="96" t="str">
        <f t="shared" si="18"/>
        <v>-</v>
      </c>
      <c r="H70" s="96">
        <f t="shared" si="19"/>
        <v>2.5990903183885639</v>
      </c>
      <c r="J70">
        <f>COUNTIFS('Region 18'!$X$2:$X$468,$B70,'Region 18'!$S$2:$S$468,J$1)</f>
        <v>23</v>
      </c>
      <c r="K70">
        <f>COUNTIFS('Region 18'!$X$2:$X$468,$B70,'Region 18'!$S$2:$S$468,K$1)</f>
        <v>13</v>
      </c>
      <c r="L70">
        <f>COUNTIFS('Region 18'!$X$2:$X$468,$B70,'Region 18'!$S$2:$S$468,L$1)</f>
        <v>4</v>
      </c>
      <c r="M70">
        <f>COUNTIFS('Region 18'!$X$2:$X$468,$B70,'Region 18'!$S$2:$S$468,M$1)</f>
        <v>2</v>
      </c>
      <c r="N70">
        <f>COUNTIFS('Region 18'!$X$2:$X$468,$B70,'Region 18'!$S$2:$S$468,N$1)</f>
        <v>0</v>
      </c>
      <c r="O70">
        <f>COUNTIFS('Region 18'!$X$2:$X$468,$B70,'Region 18'!$S$2:$S$468,O$1)</f>
        <v>1</v>
      </c>
      <c r="Q70" s="94">
        <f>AVERAGEIFS('Region 18'!$W$2:$W$468,'Region 18'!$X$2:$X$468,$B70,'Region 18'!$S$2:$S$468,J$1)</f>
        <v>20.772967796589832</v>
      </c>
      <c r="R70" s="94">
        <f>AVERAGEIFS('Region 18'!$W$2:$W$468,'Region 18'!$X$2:$X$468,$B70,'Region 18'!$S$2:$S$468,K$1)</f>
        <v>1069.4978632478635</v>
      </c>
      <c r="S70" s="94">
        <f>AVERAGEIFS('Region 18'!$W$2:$W$468,'Region 18'!$X$2:$X$468,$B70,'Region 18'!$S$2:$S$468,L$1)</f>
        <v>17.413717656012174</v>
      </c>
      <c r="T70" s="94">
        <f>AVERAGEIFS('Region 18'!$W$2:$W$468,'Region 18'!$X$2:$X$468,$B70,'Region 18'!$S$2:$S$468,M$1)</f>
        <v>2.0186809616634176</v>
      </c>
      <c r="U70" s="94" t="e">
        <f>AVERAGEIFS('Region 18'!$W$2:$W$468,'Region 18'!$X$2:$X$468,$B70,'Region 18'!$S$2:$S$468,N$1)</f>
        <v>#DIV/0!</v>
      </c>
      <c r="V70" s="94">
        <f>AVERAGEIFS('Region 18'!$W$2:$W$468,'Region 18'!$X$2:$X$468,$B70,'Region 18'!$S$2:$S$468,O$1)</f>
        <v>2.5990903183885639</v>
      </c>
    </row>
    <row r="71" spans="1:22" x14ac:dyDescent="0.3">
      <c r="A71">
        <f t="shared" ref="A71:A109" si="20">A67+1</f>
        <v>18</v>
      </c>
      <c r="B71">
        <f t="shared" ref="B71:B109" si="21">B67</f>
        <v>2</v>
      </c>
      <c r="C71" s="96" t="str">
        <f t="shared" si="14"/>
        <v>-</v>
      </c>
      <c r="D71" s="96" t="str">
        <f t="shared" si="15"/>
        <v>-</v>
      </c>
      <c r="E71" s="96" t="str">
        <f t="shared" si="16"/>
        <v>-</v>
      </c>
      <c r="F71" s="96" t="str">
        <f t="shared" si="17"/>
        <v>-</v>
      </c>
      <c r="G71" s="96" t="str">
        <f t="shared" si="18"/>
        <v>-</v>
      </c>
      <c r="H71" s="96" t="str">
        <f t="shared" si="19"/>
        <v>-</v>
      </c>
      <c r="J71">
        <f>COUNTIFS('Region 18'!$X$2:$X$468,$B71,'Region 18'!$S$2:$S$468,J$1)</f>
        <v>0</v>
      </c>
      <c r="K71">
        <f>COUNTIFS('Region 18'!$X$2:$X$468,$B71,'Region 18'!$S$2:$S$468,K$1)</f>
        <v>0</v>
      </c>
      <c r="L71">
        <f>COUNTIFS('Region 18'!$X$2:$X$468,$B71,'Region 18'!$S$2:$S$468,L$1)</f>
        <v>0</v>
      </c>
      <c r="M71">
        <f>COUNTIFS('Region 18'!$X$2:$X$468,$B71,'Region 18'!$S$2:$S$468,M$1)</f>
        <v>0</v>
      </c>
      <c r="N71">
        <f>COUNTIFS('Region 18'!$X$2:$X$468,$B71,'Region 18'!$S$2:$S$468,N$1)</f>
        <v>0</v>
      </c>
      <c r="O71">
        <f>COUNTIFS('Region 18'!$X$2:$X$468,$B71,'Region 18'!$S$2:$S$468,O$1)</f>
        <v>0</v>
      </c>
      <c r="Q71" s="94" t="e">
        <f>AVERAGEIFS('Region 18'!$W$2:$W$468,'Region 18'!$X$2:$X$468,$B71,'Region 18'!$S$2:$S$468,J$1)</f>
        <v>#DIV/0!</v>
      </c>
      <c r="R71" s="94" t="e">
        <f>AVERAGEIFS('Region 18'!$W$2:$W$468,'Region 18'!$X$2:$X$468,$B71,'Region 18'!$S$2:$S$468,K$1)</f>
        <v>#DIV/0!</v>
      </c>
      <c r="S71" s="94" t="e">
        <f>AVERAGEIFS('Region 18'!$W$2:$W$468,'Region 18'!$X$2:$X$468,$B71,'Region 18'!$S$2:$S$468,L$1)</f>
        <v>#DIV/0!</v>
      </c>
      <c r="T71" s="94" t="e">
        <f>AVERAGEIFS('Region 18'!$W$2:$W$468,'Region 18'!$X$2:$X$468,$B71,'Region 18'!$S$2:$S$468,M$1)</f>
        <v>#DIV/0!</v>
      </c>
      <c r="U71" s="94" t="e">
        <f>AVERAGEIFS('Region 18'!$W$2:$W$468,'Region 18'!$X$2:$X$468,$B71,'Region 18'!$S$2:$S$468,N$1)</f>
        <v>#DIV/0!</v>
      </c>
      <c r="V71" s="94" t="e">
        <f>AVERAGEIFS('Region 18'!$W$2:$W$468,'Region 18'!$X$2:$X$468,$B71,'Region 18'!$S$2:$S$468,O$1)</f>
        <v>#DIV/0!</v>
      </c>
    </row>
    <row r="72" spans="1:22" x14ac:dyDescent="0.3">
      <c r="A72">
        <f t="shared" si="20"/>
        <v>18</v>
      </c>
      <c r="B72">
        <f t="shared" si="21"/>
        <v>3</v>
      </c>
      <c r="C72" s="96">
        <f t="shared" si="14"/>
        <v>21.157142857142855</v>
      </c>
      <c r="D72" s="96">
        <f t="shared" si="15"/>
        <v>1005.8000000000001</v>
      </c>
      <c r="E72" s="96" t="str">
        <f t="shared" si="16"/>
        <v>-</v>
      </c>
      <c r="F72" s="96" t="str">
        <f t="shared" si="17"/>
        <v>-</v>
      </c>
      <c r="G72" s="96" t="str">
        <f t="shared" si="18"/>
        <v>-</v>
      </c>
      <c r="H72" s="96" t="str">
        <f t="shared" si="19"/>
        <v>-</v>
      </c>
      <c r="J72">
        <f>COUNTIFS('Region 18'!$X$2:$X$468,$B72,'Region 18'!$S$2:$S$468,J$1)</f>
        <v>7</v>
      </c>
      <c r="K72">
        <f>COUNTIFS('Region 18'!$X$2:$X$468,$B72,'Region 18'!$S$2:$S$468,K$1)</f>
        <v>3</v>
      </c>
      <c r="L72">
        <f>COUNTIFS('Region 18'!$X$2:$X$468,$B72,'Region 18'!$S$2:$S$468,L$1)</f>
        <v>0</v>
      </c>
      <c r="M72">
        <f>COUNTIFS('Region 18'!$X$2:$X$468,$B72,'Region 18'!$S$2:$S$468,M$1)</f>
        <v>0</v>
      </c>
      <c r="N72">
        <f>COUNTIFS('Region 18'!$X$2:$X$468,$B72,'Region 18'!$S$2:$S$468,N$1)</f>
        <v>0</v>
      </c>
      <c r="O72">
        <f>COUNTIFS('Region 18'!$X$2:$X$468,$B72,'Region 18'!$S$2:$S$468,O$1)</f>
        <v>0</v>
      </c>
      <c r="Q72" s="94">
        <f>AVERAGEIFS('Region 18'!$W$2:$W$468,'Region 18'!$X$2:$X$468,$B72,'Region 18'!$S$2:$S$468,J$1)</f>
        <v>21.157142857142855</v>
      </c>
      <c r="R72" s="94">
        <f>AVERAGEIFS('Region 18'!$W$2:$W$468,'Region 18'!$X$2:$X$468,$B72,'Region 18'!$S$2:$S$468,K$1)</f>
        <v>1005.8000000000001</v>
      </c>
      <c r="S72" s="94" t="e">
        <f>AVERAGEIFS('Region 18'!$W$2:$W$468,'Region 18'!$X$2:$X$468,$B72,'Region 18'!$S$2:$S$468,L$1)</f>
        <v>#DIV/0!</v>
      </c>
      <c r="T72" s="94" t="e">
        <f>AVERAGEIFS('Region 18'!$W$2:$W$468,'Region 18'!$X$2:$X$468,$B72,'Region 18'!$S$2:$S$468,M$1)</f>
        <v>#DIV/0!</v>
      </c>
      <c r="U72" s="94" t="e">
        <f>AVERAGEIFS('Region 18'!$W$2:$W$468,'Region 18'!$X$2:$X$468,$B72,'Region 18'!$S$2:$S$468,N$1)</f>
        <v>#DIV/0!</v>
      </c>
      <c r="V72" s="94" t="e">
        <f>AVERAGEIFS('Region 18'!$W$2:$W$468,'Region 18'!$X$2:$X$468,$B72,'Region 18'!$S$2:$S$468,O$1)</f>
        <v>#DIV/0!</v>
      </c>
    </row>
    <row r="73" spans="1:22" x14ac:dyDescent="0.3">
      <c r="A73">
        <f t="shared" si="20"/>
        <v>18</v>
      </c>
      <c r="B73">
        <f t="shared" si="21"/>
        <v>4</v>
      </c>
      <c r="C73" s="96">
        <f t="shared" si="14"/>
        <v>121.20547258136422</v>
      </c>
      <c r="D73" s="96">
        <f t="shared" si="15"/>
        <v>1733.6028477485509</v>
      </c>
      <c r="E73" s="96" t="str">
        <f t="shared" si="16"/>
        <v>-</v>
      </c>
      <c r="F73" s="96" t="str">
        <f t="shared" si="17"/>
        <v>-</v>
      </c>
      <c r="G73" s="96" t="str">
        <f t="shared" si="18"/>
        <v>-</v>
      </c>
      <c r="H73" s="96" t="str">
        <f t="shared" si="19"/>
        <v>-</v>
      </c>
      <c r="J73">
        <f>COUNTIFS('Region 18'!$X$2:$X$468,$B73,'Region 18'!$S$2:$S$468,J$1)</f>
        <v>1</v>
      </c>
      <c r="K73">
        <f>COUNTIFS('Region 18'!$X$2:$X$468,$B73,'Region 18'!$S$2:$S$468,K$1)</f>
        <v>1</v>
      </c>
      <c r="L73">
        <f>COUNTIFS('Region 18'!$X$2:$X$468,$B73,'Region 18'!$S$2:$S$468,L$1)</f>
        <v>0</v>
      </c>
      <c r="M73">
        <f>COUNTIFS('Region 18'!$X$2:$X$468,$B73,'Region 18'!$S$2:$S$468,M$1)</f>
        <v>0</v>
      </c>
      <c r="N73">
        <f>COUNTIFS('Region 18'!$X$2:$X$468,$B73,'Region 18'!$S$2:$S$468,N$1)</f>
        <v>0</v>
      </c>
      <c r="O73">
        <f>COUNTIFS('Region 18'!$X$2:$X$468,$B73,'Region 18'!$S$2:$S$468,O$1)</f>
        <v>0</v>
      </c>
      <c r="Q73" s="94">
        <f>AVERAGEIFS('Region 18'!$W$2:$W$468,'Region 18'!$X$2:$X$468,$B73,'Region 18'!$S$2:$S$468,J$1)</f>
        <v>121.20547258136422</v>
      </c>
      <c r="R73" s="94">
        <f>AVERAGEIFS('Region 18'!$W$2:$W$468,'Region 18'!$X$2:$X$468,$B73,'Region 18'!$S$2:$S$468,K$1)</f>
        <v>1733.6028477485509</v>
      </c>
      <c r="S73" s="94" t="e">
        <f>AVERAGEIFS('Region 18'!$W$2:$W$468,'Region 18'!$X$2:$X$468,$B73,'Region 18'!$S$2:$S$468,L$1)</f>
        <v>#DIV/0!</v>
      </c>
      <c r="T73" s="94" t="e">
        <f>AVERAGEIFS('Region 18'!$W$2:$W$468,'Region 18'!$X$2:$X$468,$B73,'Region 18'!$S$2:$S$468,M$1)</f>
        <v>#DIV/0!</v>
      </c>
      <c r="U73" s="94" t="e">
        <f>AVERAGEIFS('Region 18'!$W$2:$W$468,'Region 18'!$X$2:$X$468,$B73,'Region 18'!$S$2:$S$468,N$1)</f>
        <v>#DIV/0!</v>
      </c>
      <c r="V73" s="94" t="e">
        <f>AVERAGEIFS('Region 18'!$W$2:$W$468,'Region 18'!$X$2:$X$468,$B73,'Region 18'!$S$2:$S$468,O$1)</f>
        <v>#DIV/0!</v>
      </c>
    </row>
    <row r="74" spans="1:22" x14ac:dyDescent="0.3">
      <c r="A74">
        <f t="shared" si="20"/>
        <v>19</v>
      </c>
      <c r="B74">
        <f t="shared" si="21"/>
        <v>1</v>
      </c>
      <c r="C74" s="96" t="str">
        <f t="shared" si="14"/>
        <v>-</v>
      </c>
      <c r="D74" s="96" t="str">
        <f t="shared" si="15"/>
        <v>-</v>
      </c>
      <c r="E74" s="96" t="str">
        <f t="shared" si="16"/>
        <v>-</v>
      </c>
      <c r="F74" s="96" t="str">
        <f t="shared" si="17"/>
        <v>-</v>
      </c>
      <c r="G74" s="96" t="str">
        <f t="shared" si="18"/>
        <v>-</v>
      </c>
      <c r="H74" s="96" t="str">
        <f t="shared" si="19"/>
        <v>-</v>
      </c>
      <c r="J74" s="94">
        <f>COUNTIFS('Region 19'!$X$2:$X$494,$B74,'Region 19'!$S$2:$S$494,J$1)</f>
        <v>0</v>
      </c>
      <c r="K74" s="94">
        <f>COUNTIFS('Region 19'!$X$2:$X$494,$B74,'Region 19'!$S$2:$S$494,K$1)</f>
        <v>0</v>
      </c>
      <c r="L74" s="94">
        <f>COUNTIFS('Region 19'!$X$2:$X$494,$B74,'Region 19'!$S$2:$S$494,L$1)</f>
        <v>0</v>
      </c>
      <c r="M74" s="94">
        <f>COUNTIFS('Region 19'!$X$2:$X$494,$B74,'Region 19'!$S$2:$S$494,M$1)</f>
        <v>0</v>
      </c>
      <c r="N74" s="94">
        <f>COUNTIFS('Region 19'!$X$2:$X$494,$B74,'Region 19'!$S$2:$S$494,N$1)</f>
        <v>0</v>
      </c>
      <c r="O74" s="94">
        <f>COUNTIFS('Region 19'!$X$2:$X$494,$B74,'Region 19'!$S$2:$S$494,O$1)</f>
        <v>0</v>
      </c>
      <c r="Q74" t="e">
        <f>AVERAGEIFS('Region 19'!$W$2:$W$494,'Region 19'!$X$2:$X$494,$B74,'Region 19'!$S$2:$S$494,J$1)</f>
        <v>#DIV/0!</v>
      </c>
      <c r="R74" t="e">
        <f>AVERAGEIFS('Region 19'!$W$2:$W$494,'Region 19'!$X$2:$X$494,$B74,'Region 19'!$S$2:$S$494,K$1)</f>
        <v>#DIV/0!</v>
      </c>
      <c r="S74" t="e">
        <f>AVERAGEIFS('Region 19'!$W$2:$W$494,'Region 19'!$X$2:$X$494,$B74,'Region 19'!$S$2:$S$494,L$1)</f>
        <v>#DIV/0!</v>
      </c>
      <c r="T74" t="e">
        <f>AVERAGEIFS('Region 19'!$W$2:$W$494,'Region 19'!$X$2:$X$494,$B74,'Region 19'!$S$2:$S$494,M$1)</f>
        <v>#DIV/0!</v>
      </c>
      <c r="U74" t="e">
        <f>AVERAGEIFS('Region 19'!$W$2:$W$494,'Region 19'!$X$2:$X$494,$B74,'Region 19'!$S$2:$S$494,N$1)</f>
        <v>#DIV/0!</v>
      </c>
      <c r="V74" t="e">
        <f>AVERAGEIFS('Region 19'!$W$2:$W$494,'Region 19'!$X$2:$X$494,$B74,'Region 19'!$S$2:$S$494,O$1)</f>
        <v>#DIV/0!</v>
      </c>
    </row>
    <row r="75" spans="1:22" x14ac:dyDescent="0.3">
      <c r="A75">
        <f t="shared" si="20"/>
        <v>19</v>
      </c>
      <c r="B75">
        <f t="shared" si="21"/>
        <v>2</v>
      </c>
      <c r="C75" s="96" t="str">
        <f t="shared" si="14"/>
        <v>-</v>
      </c>
      <c r="D75" s="96" t="str">
        <f t="shared" si="15"/>
        <v>-</v>
      </c>
      <c r="E75" s="96" t="str">
        <f t="shared" si="16"/>
        <v>-</v>
      </c>
      <c r="F75" s="96" t="str">
        <f t="shared" si="17"/>
        <v>-</v>
      </c>
      <c r="G75" s="96" t="str">
        <f t="shared" si="18"/>
        <v>-</v>
      </c>
      <c r="H75" s="96" t="str">
        <f t="shared" si="19"/>
        <v>-</v>
      </c>
      <c r="J75" s="94">
        <f>COUNTIFS('Region 19'!$X$2:$X$494,$B75,'Region 19'!$S$2:$S$494,J$1)</f>
        <v>0</v>
      </c>
      <c r="K75" s="94">
        <f>COUNTIFS('Region 19'!$X$2:$X$494,$B75,'Region 19'!$S$2:$S$494,K$1)</f>
        <v>0</v>
      </c>
      <c r="L75" s="94">
        <f>COUNTIFS('Region 19'!$X$2:$X$494,$B75,'Region 19'!$S$2:$S$494,L$1)</f>
        <v>0</v>
      </c>
      <c r="M75" s="94">
        <f>COUNTIFS('Region 19'!$X$2:$X$494,$B75,'Region 19'!$S$2:$S$494,M$1)</f>
        <v>0</v>
      </c>
      <c r="N75" s="94">
        <f>COUNTIFS('Region 19'!$X$2:$X$494,$B75,'Region 19'!$S$2:$S$494,N$1)</f>
        <v>0</v>
      </c>
      <c r="O75" s="94">
        <f>COUNTIFS('Region 19'!$X$2:$X$494,$B75,'Region 19'!$S$2:$S$494,O$1)</f>
        <v>0</v>
      </c>
      <c r="Q75" t="e">
        <f>AVERAGEIFS('Region 19'!$W$2:$W$494,'Region 19'!$X$2:$X$494,$B75,'Region 19'!$S$2:$S$494,J$1)</f>
        <v>#DIV/0!</v>
      </c>
      <c r="R75" t="e">
        <f>AVERAGEIFS('Region 19'!$W$2:$W$494,'Region 19'!$X$2:$X$494,$B75,'Region 19'!$S$2:$S$494,K$1)</f>
        <v>#DIV/0!</v>
      </c>
      <c r="S75" t="e">
        <f>AVERAGEIFS('Region 19'!$W$2:$W$494,'Region 19'!$X$2:$X$494,$B75,'Region 19'!$S$2:$S$494,L$1)</f>
        <v>#DIV/0!</v>
      </c>
      <c r="T75" t="e">
        <f>AVERAGEIFS('Region 19'!$W$2:$W$494,'Region 19'!$X$2:$X$494,$B75,'Region 19'!$S$2:$S$494,M$1)</f>
        <v>#DIV/0!</v>
      </c>
      <c r="U75" t="e">
        <f>AVERAGEIFS('Region 19'!$W$2:$W$494,'Region 19'!$X$2:$X$494,$B75,'Region 19'!$S$2:$S$494,N$1)</f>
        <v>#DIV/0!</v>
      </c>
      <c r="V75" t="e">
        <f>AVERAGEIFS('Region 19'!$W$2:$W$494,'Region 19'!$X$2:$X$494,$B75,'Region 19'!$S$2:$S$494,O$1)</f>
        <v>#DIV/0!</v>
      </c>
    </row>
    <row r="76" spans="1:22" x14ac:dyDescent="0.3">
      <c r="A76">
        <f t="shared" si="20"/>
        <v>19</v>
      </c>
      <c r="B76">
        <f t="shared" si="21"/>
        <v>3</v>
      </c>
      <c r="C76" s="96">
        <f t="shared" si="14"/>
        <v>106.51201225103883</v>
      </c>
      <c r="D76" s="96">
        <f t="shared" si="15"/>
        <v>2319.1767296456533</v>
      </c>
      <c r="E76" s="96" t="str">
        <f t="shared" si="16"/>
        <v>-</v>
      </c>
      <c r="F76" s="96">
        <f t="shared" si="17"/>
        <v>0.73282654568780448</v>
      </c>
      <c r="G76" s="96" t="str">
        <f t="shared" si="18"/>
        <v>-</v>
      </c>
      <c r="H76" s="96" t="str">
        <f t="shared" si="19"/>
        <v>-</v>
      </c>
      <c r="J76" s="94">
        <f>COUNTIFS('Region 19'!$X$2:$X$494,$B76,'Region 19'!$S$2:$S$494,J$1)</f>
        <v>6</v>
      </c>
      <c r="K76" s="94">
        <f>COUNTIFS('Region 19'!$X$2:$X$494,$B76,'Region 19'!$S$2:$S$494,K$1)</f>
        <v>6</v>
      </c>
      <c r="L76" s="94">
        <f>COUNTIFS('Region 19'!$X$2:$X$494,$B76,'Region 19'!$S$2:$S$494,L$1)</f>
        <v>0</v>
      </c>
      <c r="M76" s="94">
        <f>COUNTIFS('Region 19'!$X$2:$X$494,$B76,'Region 19'!$S$2:$S$494,M$1)</f>
        <v>6</v>
      </c>
      <c r="N76" s="94">
        <f>COUNTIFS('Region 19'!$X$2:$X$494,$B76,'Region 19'!$S$2:$S$494,N$1)</f>
        <v>0</v>
      </c>
      <c r="O76" s="94">
        <f>COUNTIFS('Region 19'!$X$2:$X$494,$B76,'Region 19'!$S$2:$S$494,O$1)</f>
        <v>0</v>
      </c>
      <c r="Q76">
        <f>AVERAGEIFS('Region 19'!$W$2:$W$494,'Region 19'!$X$2:$X$494,$B76,'Region 19'!$S$2:$S$494,J$1)</f>
        <v>106.51201225103883</v>
      </c>
      <c r="R76">
        <f>AVERAGEIFS('Region 19'!$W$2:$W$494,'Region 19'!$X$2:$X$494,$B76,'Region 19'!$S$2:$S$494,K$1)</f>
        <v>2319.1767296456533</v>
      </c>
      <c r="S76" t="e">
        <f>AVERAGEIFS('Region 19'!$W$2:$W$494,'Region 19'!$X$2:$X$494,$B76,'Region 19'!$S$2:$S$494,L$1)</f>
        <v>#DIV/0!</v>
      </c>
      <c r="T76">
        <f>AVERAGEIFS('Region 19'!$W$2:$W$494,'Region 19'!$X$2:$X$494,$B76,'Region 19'!$S$2:$S$494,M$1)</f>
        <v>0.73282654568780448</v>
      </c>
      <c r="U76" t="e">
        <f>AVERAGEIFS('Region 19'!$W$2:$W$494,'Region 19'!$X$2:$X$494,$B76,'Region 19'!$S$2:$S$494,N$1)</f>
        <v>#DIV/0!</v>
      </c>
      <c r="V76" t="e">
        <f>AVERAGEIFS('Region 19'!$W$2:$W$494,'Region 19'!$X$2:$X$494,$B76,'Region 19'!$S$2:$S$494,O$1)</f>
        <v>#DIV/0!</v>
      </c>
    </row>
    <row r="77" spans="1:22" x14ac:dyDescent="0.3">
      <c r="A77">
        <f t="shared" si="20"/>
        <v>19</v>
      </c>
      <c r="B77">
        <f t="shared" si="21"/>
        <v>4</v>
      </c>
      <c r="C77" s="96">
        <f t="shared" si="14"/>
        <v>63.31440213176883</v>
      </c>
      <c r="D77" s="96">
        <f t="shared" si="15"/>
        <v>932.61740303776094</v>
      </c>
      <c r="E77" s="96" t="str">
        <f t="shared" si="16"/>
        <v>-</v>
      </c>
      <c r="F77" s="96" t="str">
        <f t="shared" si="17"/>
        <v>-</v>
      </c>
      <c r="G77" s="96" t="str">
        <f t="shared" si="18"/>
        <v>-</v>
      </c>
      <c r="H77" s="96">
        <f t="shared" si="19"/>
        <v>9.2470829348425454</v>
      </c>
      <c r="J77" s="94">
        <f>COUNTIFS('Region 19'!$X$2:$X$494,$B77,'Region 19'!$S$2:$S$494,J$1)</f>
        <v>2</v>
      </c>
      <c r="K77" s="94">
        <f>COUNTIFS('Region 19'!$X$2:$X$494,$B77,'Region 19'!$S$2:$S$494,K$1)</f>
        <v>3</v>
      </c>
      <c r="L77" s="94">
        <f>COUNTIFS('Region 19'!$X$2:$X$494,$B77,'Region 19'!$S$2:$S$494,L$1)</f>
        <v>0</v>
      </c>
      <c r="M77" s="94">
        <f>COUNTIFS('Region 19'!$X$2:$X$494,$B77,'Region 19'!$S$2:$S$494,M$1)</f>
        <v>0</v>
      </c>
      <c r="N77" s="94">
        <f>COUNTIFS('Region 19'!$X$2:$X$494,$B77,'Region 19'!$S$2:$S$494,N$1)</f>
        <v>0</v>
      </c>
      <c r="O77" s="94">
        <f>COUNTIFS('Region 19'!$X$2:$X$494,$B77,'Region 19'!$S$2:$S$494,O$1)</f>
        <v>2</v>
      </c>
      <c r="Q77">
        <f>AVERAGEIFS('Region 19'!$W$2:$W$494,'Region 19'!$X$2:$X$494,$B77,'Region 19'!$S$2:$S$494,J$1)</f>
        <v>63.31440213176883</v>
      </c>
      <c r="R77">
        <f>AVERAGEIFS('Region 19'!$W$2:$W$494,'Region 19'!$X$2:$X$494,$B77,'Region 19'!$S$2:$S$494,K$1)</f>
        <v>932.61740303776094</v>
      </c>
      <c r="S77" t="e">
        <f>AVERAGEIFS('Region 19'!$W$2:$W$494,'Region 19'!$X$2:$X$494,$B77,'Region 19'!$S$2:$S$494,L$1)</f>
        <v>#DIV/0!</v>
      </c>
      <c r="T77" t="e">
        <f>AVERAGEIFS('Region 19'!$W$2:$W$494,'Region 19'!$X$2:$X$494,$B77,'Region 19'!$S$2:$S$494,M$1)</f>
        <v>#DIV/0!</v>
      </c>
      <c r="U77" t="e">
        <f>AVERAGEIFS('Region 19'!$W$2:$W$494,'Region 19'!$X$2:$X$494,$B77,'Region 19'!$S$2:$S$494,N$1)</f>
        <v>#DIV/0!</v>
      </c>
      <c r="V77">
        <f>AVERAGEIFS('Region 19'!$W$2:$W$494,'Region 19'!$X$2:$X$494,$B77,'Region 19'!$S$2:$S$494,O$1)</f>
        <v>9.2470829348425454</v>
      </c>
    </row>
    <row r="78" spans="1:22" x14ac:dyDescent="0.3">
      <c r="A78">
        <f t="shared" si="20"/>
        <v>20</v>
      </c>
      <c r="B78">
        <f t="shared" si="21"/>
        <v>1</v>
      </c>
      <c r="C78" s="96">
        <f t="shared" si="14"/>
        <v>25.799362400576385</v>
      </c>
      <c r="D78" s="96">
        <f t="shared" si="15"/>
        <v>2613.9421613394215</v>
      </c>
      <c r="E78" s="96">
        <f t="shared" si="16"/>
        <v>36.924798289937641</v>
      </c>
      <c r="F78" s="96" t="str">
        <f t="shared" si="17"/>
        <v>-</v>
      </c>
      <c r="G78" s="116">
        <f t="shared" si="18"/>
        <v>10.205295753949509</v>
      </c>
      <c r="H78" s="96">
        <f t="shared" si="19"/>
        <v>7.816905474203538</v>
      </c>
      <c r="J78">
        <f>COUNTIFS('Region 20'!$X$2:$X$269,$B78,'Region 20'!$S$2:$S$269,J$1)</f>
        <v>11</v>
      </c>
      <c r="K78">
        <f>COUNTIFS('Region 20'!$X$2:$X$269,$B78,'Region 20'!$S$2:$S$269,K$1)</f>
        <v>1</v>
      </c>
      <c r="L78">
        <f>COUNTIFS('Region 20'!$X$2:$X$269,$B78,'Region 20'!$S$2:$S$269,L$1)</f>
        <v>11</v>
      </c>
      <c r="M78">
        <f>COUNTIFS('Region 20'!$X$2:$X$269,$B78,'Region 20'!$S$2:$S$269,M$1)</f>
        <v>0</v>
      </c>
      <c r="N78">
        <f>COUNTIFS('Region 20'!$X$2:$X$269,$B78,'Region 20'!$S$2:$S$269,N$1)</f>
        <v>1</v>
      </c>
      <c r="O78">
        <f>COUNTIFS('Region 20'!$X$2:$X$269,$B78,'Region 20'!$S$2:$S$269,O$1)</f>
        <v>1</v>
      </c>
      <c r="Q78" s="94">
        <f>AVERAGEIFS('Region 20'!$W$2:$W$269,'Region 20'!$X$2:$X$269,$B78,'Region 20'!$S$2:$S$269,J$1)</f>
        <v>25.799362400576385</v>
      </c>
      <c r="R78" s="94">
        <f>AVERAGEIFS('Region 20'!$W$2:$W$269,'Region 20'!$X$2:$X$269,$B78,'Region 20'!$S$2:$S$269,K$1)</f>
        <v>2613.9421613394215</v>
      </c>
      <c r="S78" s="94">
        <f>AVERAGEIFS('Region 20'!$W$2:$W$269,'Region 20'!$X$2:$X$269,$B78,'Region 20'!$S$2:$S$269,L$1)</f>
        <v>36.924798289937641</v>
      </c>
      <c r="T78" s="94" t="e">
        <f>AVERAGEIFS('Region 20'!$W$2:$W$269,'Region 20'!$X$2:$X$269,$B78,'Region 20'!$S$2:$S$269,M$1)</f>
        <v>#DIV/0!</v>
      </c>
      <c r="U78" s="94">
        <f>AVERAGEIFS('Region 20'!$W$2:$W$269,'Region 20'!$X$2:$X$269,$B78,'Region 20'!$S$2:$S$269,N$1)</f>
        <v>10.205295753949509</v>
      </c>
      <c r="V78" s="94">
        <f>AVERAGEIFS('Region 20'!$W$2:$W$269,'Region 20'!$X$2:$X$269,$B78,'Region 20'!$S$2:$S$269,O$1)</f>
        <v>7.816905474203538</v>
      </c>
    </row>
    <row r="79" spans="1:22" x14ac:dyDescent="0.3">
      <c r="A79">
        <f t="shared" si="20"/>
        <v>20</v>
      </c>
      <c r="B79">
        <f t="shared" si="21"/>
        <v>2</v>
      </c>
      <c r="C79" s="96" t="str">
        <f t="shared" si="14"/>
        <v>-</v>
      </c>
      <c r="D79" s="96" t="str">
        <f t="shared" si="15"/>
        <v>-</v>
      </c>
      <c r="E79" s="96" t="str">
        <f t="shared" si="16"/>
        <v>-</v>
      </c>
      <c r="F79" s="96" t="str">
        <f t="shared" si="17"/>
        <v>-</v>
      </c>
      <c r="G79" s="96" t="str">
        <f t="shared" si="18"/>
        <v>-</v>
      </c>
      <c r="H79" s="96" t="str">
        <f t="shared" si="19"/>
        <v>-</v>
      </c>
      <c r="J79">
        <f>COUNTIFS('Region 20'!$X$2:$X$269,$B79,'Region 20'!$S$2:$S$269,J$1)</f>
        <v>0</v>
      </c>
      <c r="K79">
        <f>COUNTIFS('Region 20'!$X$2:$X$269,$B79,'Region 20'!$S$2:$S$269,K$1)</f>
        <v>0</v>
      </c>
      <c r="L79">
        <f>COUNTIFS('Region 20'!$X$2:$X$269,$B79,'Region 20'!$S$2:$S$269,L$1)</f>
        <v>0</v>
      </c>
      <c r="M79">
        <f>COUNTIFS('Region 20'!$X$2:$X$269,$B79,'Region 20'!$S$2:$S$269,M$1)</f>
        <v>0</v>
      </c>
      <c r="N79">
        <f>COUNTIFS('Region 20'!$X$2:$X$269,$B79,'Region 20'!$S$2:$S$269,N$1)</f>
        <v>0</v>
      </c>
      <c r="O79">
        <f>COUNTIFS('Region 20'!$X$2:$X$269,$B79,'Region 20'!$S$2:$S$269,O$1)</f>
        <v>0</v>
      </c>
      <c r="Q79" s="94" t="e">
        <f>AVERAGEIFS('Region 20'!$W$2:$W$269,'Region 20'!$X$2:$X$269,$B79,'Region 20'!$S$2:$S$269,J$1)</f>
        <v>#DIV/0!</v>
      </c>
      <c r="R79" s="94" t="e">
        <f>AVERAGEIFS('Region 20'!$W$2:$W$269,'Region 20'!$X$2:$X$269,$B79,'Region 20'!$S$2:$S$269,K$1)</f>
        <v>#DIV/0!</v>
      </c>
      <c r="S79" s="94" t="e">
        <f>AVERAGEIFS('Region 20'!$W$2:$W$269,'Region 20'!$X$2:$X$269,$B79,'Region 20'!$S$2:$S$269,L$1)</f>
        <v>#DIV/0!</v>
      </c>
      <c r="T79" s="94" t="e">
        <f>AVERAGEIFS('Region 20'!$W$2:$W$269,'Region 20'!$X$2:$X$269,$B79,'Region 20'!$S$2:$S$269,M$1)</f>
        <v>#DIV/0!</v>
      </c>
      <c r="U79" s="94" t="e">
        <f>AVERAGEIFS('Region 20'!$W$2:$W$269,'Region 20'!$X$2:$X$269,$B79,'Region 20'!$S$2:$S$269,N$1)</f>
        <v>#DIV/0!</v>
      </c>
      <c r="V79" s="94" t="e">
        <f>AVERAGEIFS('Region 20'!$W$2:$W$269,'Region 20'!$X$2:$X$269,$B79,'Region 20'!$S$2:$S$269,O$1)</f>
        <v>#DIV/0!</v>
      </c>
    </row>
    <row r="80" spans="1:22" x14ac:dyDescent="0.3">
      <c r="A80">
        <f t="shared" si="20"/>
        <v>20</v>
      </c>
      <c r="B80">
        <f t="shared" si="21"/>
        <v>3</v>
      </c>
      <c r="C80" s="96">
        <f t="shared" si="14"/>
        <v>374.29826628717143</v>
      </c>
      <c r="D80" s="96" t="str">
        <f t="shared" si="15"/>
        <v>-</v>
      </c>
      <c r="E80" s="96">
        <f t="shared" si="16"/>
        <v>15.040819902950755</v>
      </c>
      <c r="F80" s="96">
        <f t="shared" si="17"/>
        <v>0.25380250539330323</v>
      </c>
      <c r="G80" s="96" t="str">
        <f t="shared" si="18"/>
        <v>-</v>
      </c>
      <c r="H80" s="96" t="str">
        <f t="shared" si="19"/>
        <v>-</v>
      </c>
      <c r="J80">
        <f>COUNTIFS('Region 20'!$X$2:$X$269,$B80,'Region 20'!$S$2:$S$269,J$1)</f>
        <v>1</v>
      </c>
      <c r="K80">
        <f>COUNTIFS('Region 20'!$X$2:$X$269,$B80,'Region 20'!$S$2:$S$269,K$1)</f>
        <v>0</v>
      </c>
      <c r="L80">
        <f>COUNTIFS('Region 20'!$X$2:$X$269,$B80,'Region 20'!$S$2:$S$269,L$1)</f>
        <v>1</v>
      </c>
      <c r="M80">
        <f>COUNTIFS('Region 20'!$X$2:$X$269,$B80,'Region 20'!$S$2:$S$269,M$1)</f>
        <v>1</v>
      </c>
      <c r="N80">
        <f>COUNTIFS('Region 20'!$X$2:$X$269,$B80,'Region 20'!$S$2:$S$269,N$1)</f>
        <v>0</v>
      </c>
      <c r="O80">
        <f>COUNTIFS('Region 20'!$X$2:$X$269,$B80,'Region 20'!$S$2:$S$269,O$1)</f>
        <v>0</v>
      </c>
      <c r="Q80" s="94">
        <f>AVERAGEIFS('Region 20'!$W$2:$W$269,'Region 20'!$X$2:$X$269,$B80,'Region 20'!$S$2:$S$269,J$1)</f>
        <v>374.29826628717143</v>
      </c>
      <c r="R80" s="94" t="e">
        <f>AVERAGEIFS('Region 20'!$W$2:$W$269,'Region 20'!$X$2:$X$269,$B80,'Region 20'!$S$2:$S$269,K$1)</f>
        <v>#DIV/0!</v>
      </c>
      <c r="S80" s="94">
        <f>AVERAGEIFS('Region 20'!$W$2:$W$269,'Region 20'!$X$2:$X$269,$B80,'Region 20'!$S$2:$S$269,L$1)</f>
        <v>15.040819902950755</v>
      </c>
      <c r="T80" s="94">
        <f>AVERAGEIFS('Region 20'!$W$2:$W$269,'Region 20'!$X$2:$X$269,$B80,'Region 20'!$S$2:$S$269,M$1)</f>
        <v>0.25380250539330323</v>
      </c>
      <c r="U80" s="94" t="e">
        <f>AVERAGEIFS('Region 20'!$W$2:$W$269,'Region 20'!$X$2:$X$269,$B80,'Region 20'!$S$2:$S$269,N$1)</f>
        <v>#DIV/0!</v>
      </c>
      <c r="V80" s="94" t="e">
        <f>AVERAGEIFS('Region 20'!$W$2:$W$269,'Region 20'!$X$2:$X$269,$B80,'Region 20'!$S$2:$S$269,O$1)</f>
        <v>#DIV/0!</v>
      </c>
    </row>
    <row r="81" spans="1:22" x14ac:dyDescent="0.3">
      <c r="A81">
        <f t="shared" si="20"/>
        <v>20</v>
      </c>
      <c r="B81">
        <f t="shared" si="21"/>
        <v>4</v>
      </c>
      <c r="C81" s="96">
        <f t="shared" si="14"/>
        <v>128.95199879526422</v>
      </c>
      <c r="D81" s="96">
        <f t="shared" si="15"/>
        <v>295.00514175014592</v>
      </c>
      <c r="E81" s="96">
        <f t="shared" si="16"/>
        <v>61.889097744360903</v>
      </c>
      <c r="F81" s="96" t="str">
        <f t="shared" si="17"/>
        <v>-</v>
      </c>
      <c r="G81" s="96">
        <f t="shared" si="18"/>
        <v>3.4322614938986815</v>
      </c>
      <c r="H81" s="96">
        <f t="shared" si="19"/>
        <v>1.9687731110563291</v>
      </c>
      <c r="J81">
        <f>COUNTIFS('Region 20'!$X$2:$X$269,$B81,'Region 20'!$S$2:$S$269,J$1)</f>
        <v>5</v>
      </c>
      <c r="K81">
        <f>COUNTIFS('Region 20'!$X$2:$X$269,$B81,'Region 20'!$S$2:$S$269,K$1)</f>
        <v>5</v>
      </c>
      <c r="L81">
        <f>COUNTIFS('Region 20'!$X$2:$X$269,$B81,'Region 20'!$S$2:$S$269,L$1)</f>
        <v>2</v>
      </c>
      <c r="M81">
        <f>COUNTIFS('Region 20'!$X$2:$X$269,$B81,'Region 20'!$S$2:$S$269,M$1)</f>
        <v>0</v>
      </c>
      <c r="N81">
        <f>COUNTIFS('Region 20'!$X$2:$X$269,$B81,'Region 20'!$S$2:$S$269,N$1)</f>
        <v>2</v>
      </c>
      <c r="O81">
        <f>COUNTIFS('Region 20'!$X$2:$X$269,$B81,'Region 20'!$S$2:$S$269,O$1)</f>
        <v>2</v>
      </c>
      <c r="Q81" s="94">
        <f>AVERAGEIFS('Region 20'!$W$2:$W$269,'Region 20'!$X$2:$X$269,$B81,'Region 20'!$S$2:$S$269,J$1)</f>
        <v>128.95199879526422</v>
      </c>
      <c r="R81" s="94">
        <f>AVERAGEIFS('Region 20'!$W$2:$W$269,'Region 20'!$X$2:$X$269,$B81,'Region 20'!$S$2:$S$269,K$1)</f>
        <v>295.00514175014592</v>
      </c>
      <c r="S81" s="94">
        <f>AVERAGEIFS('Region 20'!$W$2:$W$269,'Region 20'!$X$2:$X$269,$B81,'Region 20'!$S$2:$S$269,L$1)</f>
        <v>61.889097744360903</v>
      </c>
      <c r="T81" s="94" t="e">
        <f>AVERAGEIFS('Region 20'!$W$2:$W$269,'Region 20'!$X$2:$X$269,$B81,'Region 20'!$S$2:$S$269,M$1)</f>
        <v>#DIV/0!</v>
      </c>
      <c r="U81" s="94">
        <f>AVERAGEIFS('Region 20'!$W$2:$W$269,'Region 20'!$X$2:$X$269,$B81,'Region 20'!$S$2:$S$269,N$1)</f>
        <v>3.4322614938986815</v>
      </c>
      <c r="V81" s="94">
        <f>AVERAGEIFS('Region 20'!$W$2:$W$269,'Region 20'!$X$2:$X$269,$B81,'Region 20'!$S$2:$S$269,O$1)</f>
        <v>1.9687731110563291</v>
      </c>
    </row>
    <row r="82" spans="1:22" x14ac:dyDescent="0.3">
      <c r="A82">
        <f t="shared" si="20"/>
        <v>21</v>
      </c>
      <c r="B82">
        <f t="shared" si="21"/>
        <v>1</v>
      </c>
      <c r="C82" s="96" t="str">
        <f t="shared" si="14"/>
        <v>-</v>
      </c>
      <c r="D82" s="96" t="str">
        <f t="shared" si="15"/>
        <v>-</v>
      </c>
      <c r="E82" s="96" t="str">
        <f t="shared" si="16"/>
        <v>-</v>
      </c>
      <c r="F82" s="96" t="str">
        <f t="shared" si="17"/>
        <v>-</v>
      </c>
      <c r="G82" s="96" t="str">
        <f t="shared" si="18"/>
        <v>-</v>
      </c>
      <c r="H82" s="96" t="str">
        <f t="shared" si="19"/>
        <v>-</v>
      </c>
      <c r="J82" s="94">
        <f>COUNTIFS('Region 21'!$X$2:$X$497,$B82,'Region 21'!$S$2:$S$497,J$1)</f>
        <v>0</v>
      </c>
      <c r="K82" s="94">
        <f>COUNTIFS('Region 21'!$X$2:$X$497,$B82,'Region 21'!$S$2:$S$497,K$1)</f>
        <v>0</v>
      </c>
      <c r="L82" s="94">
        <f>COUNTIFS('Region 21'!$X$2:$X$497,$B82,'Region 21'!$S$2:$S$497,L$1)</f>
        <v>0</v>
      </c>
      <c r="M82" s="94">
        <f>COUNTIFS('Region 21'!$X$2:$X$497,$B82,'Region 21'!$S$2:$S$497,M$1)</f>
        <v>0</v>
      </c>
      <c r="N82" s="94">
        <f>COUNTIFS('Region 21'!$X$2:$X$497,$B82,'Region 21'!$S$2:$S$497,N$1)</f>
        <v>0</v>
      </c>
      <c r="O82" s="94">
        <f>COUNTIFS('Region 21'!$X$2:$X$497,$B82,'Region 21'!$S$2:$S$497,O$1)</f>
        <v>0</v>
      </c>
      <c r="Q82" t="e">
        <f>AVERAGEIFS('Region 21'!$W$2:$W$497,'Region 21'!$X$2:$X$497,$B82,'Region 21'!$S$2:$S$497,J$1)</f>
        <v>#DIV/0!</v>
      </c>
      <c r="R82" t="e">
        <f>AVERAGEIFS('Region 21'!$W$2:$W$497,'Region 21'!$X$2:$X$497,$B82,'Region 21'!$S$2:$S$497,K$1)</f>
        <v>#DIV/0!</v>
      </c>
      <c r="S82" t="e">
        <f>AVERAGEIFS('Region 21'!$W$2:$W$497,'Region 21'!$X$2:$X$497,$B82,'Region 21'!$S$2:$S$497,L$1)</f>
        <v>#DIV/0!</v>
      </c>
      <c r="T82" t="e">
        <f>AVERAGEIFS('Region 21'!$W$2:$W$497,'Region 21'!$X$2:$X$497,$B82,'Region 21'!$S$2:$S$497,M$1)</f>
        <v>#DIV/0!</v>
      </c>
      <c r="U82" t="e">
        <f>AVERAGEIFS('Region 21'!$W$2:$W$497,'Region 21'!$X$2:$X$497,$B82,'Region 21'!$S$2:$S$497,N$1)</f>
        <v>#DIV/0!</v>
      </c>
      <c r="V82" t="e">
        <f>AVERAGEIFS('Region 21'!$W$2:$W$497,'Region 21'!$X$2:$X$497,$B82,'Region 21'!$S$2:$S$497,O$1)</f>
        <v>#DIV/0!</v>
      </c>
    </row>
    <row r="83" spans="1:22" x14ac:dyDescent="0.3">
      <c r="A83">
        <f t="shared" si="20"/>
        <v>21</v>
      </c>
      <c r="B83">
        <f t="shared" si="21"/>
        <v>2</v>
      </c>
      <c r="C83" s="96">
        <f t="shared" si="14"/>
        <v>37.927913279132788</v>
      </c>
      <c r="D83" s="96">
        <f t="shared" si="15"/>
        <v>2729.510388437217</v>
      </c>
      <c r="E83" s="96">
        <f t="shared" si="16"/>
        <v>54.654471544715449</v>
      </c>
      <c r="F83" s="96" t="str">
        <f t="shared" si="17"/>
        <v>-</v>
      </c>
      <c r="G83" s="96" t="str">
        <f t="shared" si="18"/>
        <v>-</v>
      </c>
      <c r="H83" s="96" t="str">
        <f t="shared" si="19"/>
        <v>-</v>
      </c>
      <c r="J83" s="94">
        <f>COUNTIFS('Region 21'!$X$2:$X$497,$B83,'Region 21'!$S$2:$S$497,J$1)</f>
        <v>1</v>
      </c>
      <c r="K83" s="94">
        <f>COUNTIFS('Region 21'!$X$2:$X$497,$B83,'Region 21'!$S$2:$S$497,K$1)</f>
        <v>1</v>
      </c>
      <c r="L83" s="94">
        <f>COUNTIFS('Region 21'!$X$2:$X$497,$B83,'Region 21'!$S$2:$S$497,L$1)</f>
        <v>1</v>
      </c>
      <c r="M83" s="94">
        <f>COUNTIFS('Region 21'!$X$2:$X$497,$B83,'Region 21'!$S$2:$S$497,M$1)</f>
        <v>0</v>
      </c>
      <c r="N83" s="94">
        <f>COUNTIFS('Region 21'!$X$2:$X$497,$B83,'Region 21'!$S$2:$S$497,N$1)</f>
        <v>0</v>
      </c>
      <c r="O83" s="94">
        <f>COUNTIFS('Region 21'!$X$2:$X$497,$B83,'Region 21'!$S$2:$S$497,O$1)</f>
        <v>0</v>
      </c>
      <c r="Q83">
        <f>AVERAGEIFS('Region 21'!$W$2:$W$497,'Region 21'!$X$2:$X$497,$B83,'Region 21'!$S$2:$S$497,J$1)</f>
        <v>37.927913279132788</v>
      </c>
      <c r="R83">
        <f>AVERAGEIFS('Region 21'!$W$2:$W$497,'Region 21'!$X$2:$X$497,$B83,'Region 21'!$S$2:$S$497,K$1)</f>
        <v>2729.510388437217</v>
      </c>
      <c r="S83">
        <f>AVERAGEIFS('Region 21'!$W$2:$W$497,'Region 21'!$X$2:$X$497,$B83,'Region 21'!$S$2:$S$497,L$1)</f>
        <v>54.654471544715449</v>
      </c>
      <c r="T83" t="e">
        <f>AVERAGEIFS('Region 21'!$W$2:$W$497,'Region 21'!$X$2:$X$497,$B83,'Region 21'!$S$2:$S$497,M$1)</f>
        <v>#DIV/0!</v>
      </c>
      <c r="U83" t="e">
        <f>AVERAGEIFS('Region 21'!$W$2:$W$497,'Region 21'!$X$2:$X$497,$B83,'Region 21'!$S$2:$S$497,N$1)</f>
        <v>#DIV/0!</v>
      </c>
      <c r="V83" t="e">
        <f>AVERAGEIFS('Region 21'!$W$2:$W$497,'Region 21'!$X$2:$X$497,$B83,'Region 21'!$S$2:$S$497,O$1)</f>
        <v>#DIV/0!</v>
      </c>
    </row>
    <row r="84" spans="1:22" x14ac:dyDescent="0.3">
      <c r="A84">
        <f t="shared" si="20"/>
        <v>21</v>
      </c>
      <c r="B84">
        <f t="shared" si="21"/>
        <v>3</v>
      </c>
      <c r="C84" s="96">
        <f t="shared" si="14"/>
        <v>33.945</v>
      </c>
      <c r="D84" s="96">
        <f t="shared" si="15"/>
        <v>1164.02</v>
      </c>
      <c r="E84" s="96">
        <f t="shared" si="16"/>
        <v>11.255000000000001</v>
      </c>
      <c r="F84" s="96" t="str">
        <f t="shared" si="17"/>
        <v>-</v>
      </c>
      <c r="G84" s="96">
        <f t="shared" si="18"/>
        <v>0.44000000000000006</v>
      </c>
      <c r="H84" s="96">
        <f t="shared" si="19"/>
        <v>0.78</v>
      </c>
      <c r="J84" s="94">
        <f>COUNTIFS('Region 21'!$X$2:$X$497,$B84,'Region 21'!$S$2:$S$497,J$1)</f>
        <v>2</v>
      </c>
      <c r="K84" s="94">
        <f>COUNTIFS('Region 21'!$X$2:$X$497,$B84,'Region 21'!$S$2:$S$497,K$1)</f>
        <v>2</v>
      </c>
      <c r="L84" s="94">
        <f>COUNTIFS('Region 21'!$X$2:$X$497,$B84,'Region 21'!$S$2:$S$497,L$1)</f>
        <v>2</v>
      </c>
      <c r="M84" s="94">
        <f>COUNTIFS('Region 21'!$X$2:$X$497,$B84,'Region 21'!$S$2:$S$497,M$1)</f>
        <v>0</v>
      </c>
      <c r="N84" s="94">
        <f>COUNTIFS('Region 21'!$X$2:$X$497,$B84,'Region 21'!$S$2:$S$497,N$1)</f>
        <v>2</v>
      </c>
      <c r="O84" s="94">
        <f>COUNTIFS('Region 21'!$X$2:$X$497,$B84,'Region 21'!$S$2:$S$497,O$1)</f>
        <v>2</v>
      </c>
      <c r="Q84">
        <f>AVERAGEIFS('Region 21'!$W$2:$W$497,'Region 21'!$X$2:$X$497,$B84,'Region 21'!$S$2:$S$497,J$1)</f>
        <v>33.945</v>
      </c>
      <c r="R84">
        <f>AVERAGEIFS('Region 21'!$W$2:$W$497,'Region 21'!$X$2:$X$497,$B84,'Region 21'!$S$2:$S$497,K$1)</f>
        <v>1164.02</v>
      </c>
      <c r="S84">
        <f>AVERAGEIFS('Region 21'!$W$2:$W$497,'Region 21'!$X$2:$X$497,$B84,'Region 21'!$S$2:$S$497,L$1)</f>
        <v>11.255000000000001</v>
      </c>
      <c r="T84" t="e">
        <f>AVERAGEIFS('Region 21'!$W$2:$W$497,'Region 21'!$X$2:$X$497,$B84,'Region 21'!$S$2:$S$497,M$1)</f>
        <v>#DIV/0!</v>
      </c>
      <c r="U84">
        <f>AVERAGEIFS('Region 21'!$W$2:$W$497,'Region 21'!$X$2:$X$497,$B84,'Region 21'!$S$2:$S$497,N$1)</f>
        <v>0.44000000000000006</v>
      </c>
      <c r="V84">
        <f>AVERAGEIFS('Region 21'!$W$2:$W$497,'Region 21'!$X$2:$X$497,$B84,'Region 21'!$S$2:$S$497,O$1)</f>
        <v>0.78</v>
      </c>
    </row>
    <row r="85" spans="1:22" x14ac:dyDescent="0.3">
      <c r="A85">
        <f t="shared" si="20"/>
        <v>21</v>
      </c>
      <c r="B85">
        <f t="shared" si="21"/>
        <v>4</v>
      </c>
      <c r="C85" s="96" t="str">
        <f t="shared" si="14"/>
        <v>-</v>
      </c>
      <c r="D85" s="96" t="str">
        <f t="shared" si="15"/>
        <v>-</v>
      </c>
      <c r="E85" s="96" t="str">
        <f t="shared" si="16"/>
        <v>-</v>
      </c>
      <c r="F85" s="96" t="str">
        <f t="shared" si="17"/>
        <v>-</v>
      </c>
      <c r="G85" s="96" t="str">
        <f t="shared" si="18"/>
        <v>-</v>
      </c>
      <c r="H85" s="96" t="str">
        <f t="shared" si="19"/>
        <v>-</v>
      </c>
      <c r="J85" s="94">
        <f>COUNTIFS('Region 21'!$X$2:$X$497,$B85,'Region 21'!$S$2:$S$497,J$1)</f>
        <v>0</v>
      </c>
      <c r="K85" s="94">
        <f>COUNTIFS('Region 21'!$X$2:$X$497,$B85,'Region 21'!$S$2:$S$497,K$1)</f>
        <v>0</v>
      </c>
      <c r="L85" s="94">
        <f>COUNTIFS('Region 21'!$X$2:$X$497,$B85,'Region 21'!$S$2:$S$497,L$1)</f>
        <v>0</v>
      </c>
      <c r="M85" s="94">
        <f>COUNTIFS('Region 21'!$X$2:$X$497,$B85,'Region 21'!$S$2:$S$497,M$1)</f>
        <v>0</v>
      </c>
      <c r="N85" s="94">
        <f>COUNTIFS('Region 21'!$X$2:$X$497,$B85,'Region 21'!$S$2:$S$497,N$1)</f>
        <v>0</v>
      </c>
      <c r="O85" s="94">
        <f>COUNTIFS('Region 21'!$X$2:$X$497,$B85,'Region 21'!$S$2:$S$497,O$1)</f>
        <v>0</v>
      </c>
      <c r="Q85" t="e">
        <f>AVERAGEIFS('Region 21'!$W$2:$W$497,'Region 21'!$X$2:$X$497,$B85,'Region 21'!$S$2:$S$497,J$1)</f>
        <v>#DIV/0!</v>
      </c>
      <c r="R85" t="e">
        <f>AVERAGEIFS('Region 21'!$W$2:$W$497,'Region 21'!$X$2:$X$497,$B85,'Region 21'!$S$2:$S$497,K$1)</f>
        <v>#DIV/0!</v>
      </c>
      <c r="S85" t="e">
        <f>AVERAGEIFS('Region 21'!$W$2:$W$497,'Region 21'!$X$2:$X$497,$B85,'Region 21'!$S$2:$S$497,L$1)</f>
        <v>#DIV/0!</v>
      </c>
      <c r="T85" t="e">
        <f>AVERAGEIFS('Region 21'!$W$2:$W$497,'Region 21'!$X$2:$X$497,$B85,'Region 21'!$S$2:$S$497,M$1)</f>
        <v>#DIV/0!</v>
      </c>
      <c r="U85" t="e">
        <f>AVERAGEIFS('Region 21'!$W$2:$W$497,'Region 21'!$X$2:$X$497,$B85,'Region 21'!$S$2:$S$497,N$1)</f>
        <v>#DIV/0!</v>
      </c>
      <c r="V85" t="e">
        <f>AVERAGEIFS('Region 21'!$W$2:$W$497,'Region 21'!$X$2:$X$497,$B85,'Region 21'!$S$2:$S$497,O$1)</f>
        <v>#DIV/0!</v>
      </c>
    </row>
    <row r="86" spans="1:22" x14ac:dyDescent="0.3">
      <c r="A86">
        <f t="shared" si="20"/>
        <v>22</v>
      </c>
      <c r="B86">
        <f t="shared" si="21"/>
        <v>1</v>
      </c>
      <c r="C86" s="96">
        <f t="shared" si="14"/>
        <v>28.387499999999999</v>
      </c>
      <c r="D86" s="96">
        <f t="shared" si="15"/>
        <v>25.775000000000002</v>
      </c>
      <c r="E86" s="96">
        <f t="shared" si="16"/>
        <v>107.1496551724138</v>
      </c>
      <c r="F86" s="96" t="str">
        <f t="shared" si="17"/>
        <v>-</v>
      </c>
      <c r="G86" s="96" t="str">
        <f t="shared" si="18"/>
        <v>-</v>
      </c>
      <c r="H86" s="96">
        <f t="shared" si="19"/>
        <v>1.5954137931034484</v>
      </c>
      <c r="J86">
        <f>COUNTIFS('Region 22'!$X$2:$X$510,$B86,'Region 22'!$S$2:$S$510,J$1)</f>
        <v>8</v>
      </c>
      <c r="K86">
        <f>COUNTIFS('Region 22'!$X$2:$X$510,$B86,'Region 22'!$S$2:$S$510,K$1)</f>
        <v>4</v>
      </c>
      <c r="L86">
        <f>COUNTIFS('Region 22'!$X$2:$X$510,$B86,'Region 22'!$S$2:$S$510,L$1)</f>
        <v>10</v>
      </c>
      <c r="M86">
        <f>COUNTIFS('Region 22'!$X$2:$X$510,$B86,'Region 22'!$S$2:$S$510,M$1)</f>
        <v>0</v>
      </c>
      <c r="N86">
        <f>COUNTIFS('Region 22'!$X$2:$X$510,$B86,'Region 22'!$S$2:$S$510,N$1)</f>
        <v>0</v>
      </c>
      <c r="O86">
        <f>COUNTIFS('Region 22'!$X$2:$X$510,$B86,'Region 22'!$S$2:$S$510,O$1)</f>
        <v>10</v>
      </c>
      <c r="Q86" s="94">
        <f>AVERAGEIFS('Region 22'!$W$2:$W$510,'Region 22'!$X$2:$X$510,$B86,'Region 22'!$S$2:$S$510,J$1)</f>
        <v>28.387499999999999</v>
      </c>
      <c r="R86" s="94">
        <f>AVERAGEIFS('Region 22'!$W$2:$W$510,'Region 22'!$X$2:$X$510,$B86,'Region 22'!$S$2:$S$510,K$1)</f>
        <v>25.775000000000002</v>
      </c>
      <c r="S86" s="94">
        <f>AVERAGEIFS('Region 22'!$W$2:$W$510,'Region 22'!$X$2:$X$510,$B86,'Region 22'!$S$2:$S$510,L$1)</f>
        <v>107.1496551724138</v>
      </c>
      <c r="T86" s="94" t="e">
        <f>AVERAGEIFS('Region 22'!$W$2:$W$510,'Region 22'!$X$2:$X$510,$B86,'Region 22'!$S$2:$S$510,M$1)</f>
        <v>#DIV/0!</v>
      </c>
      <c r="U86" s="94" t="e">
        <f>AVERAGEIFS('Region 22'!$W$2:$W$510,'Region 22'!$X$2:$X$510,$B86,'Region 22'!$S$2:$S$510,N$1)</f>
        <v>#DIV/0!</v>
      </c>
      <c r="V86" s="94">
        <f>AVERAGEIFS('Region 22'!$W$2:$W$510,'Region 22'!$X$2:$X$510,$B86,'Region 22'!$S$2:$S$510,O$1)</f>
        <v>1.5954137931034484</v>
      </c>
    </row>
    <row r="87" spans="1:22" x14ac:dyDescent="0.3">
      <c r="A87">
        <f t="shared" si="20"/>
        <v>22</v>
      </c>
      <c r="B87">
        <f t="shared" si="21"/>
        <v>2</v>
      </c>
      <c r="C87" s="96" t="str">
        <f t="shared" si="14"/>
        <v>-</v>
      </c>
      <c r="D87" s="96" t="str">
        <f t="shared" si="15"/>
        <v>-</v>
      </c>
      <c r="E87" s="96" t="str">
        <f t="shared" si="16"/>
        <v>-</v>
      </c>
      <c r="F87" s="96" t="str">
        <f t="shared" si="17"/>
        <v>-</v>
      </c>
      <c r="G87" s="96" t="str">
        <f t="shared" si="18"/>
        <v>-</v>
      </c>
      <c r="H87" s="96" t="str">
        <f t="shared" si="19"/>
        <v>-</v>
      </c>
      <c r="J87">
        <f>COUNTIFS('Region 22'!$X$2:$X$510,$B87,'Region 22'!$S$2:$S$510,J$1)</f>
        <v>0</v>
      </c>
      <c r="K87">
        <f>COUNTIFS('Region 22'!$X$2:$X$510,$B87,'Region 22'!$S$2:$S$510,K$1)</f>
        <v>0</v>
      </c>
      <c r="L87">
        <f>COUNTIFS('Region 22'!$X$2:$X$510,$B87,'Region 22'!$S$2:$S$510,L$1)</f>
        <v>0</v>
      </c>
      <c r="M87">
        <f>COUNTIFS('Region 22'!$X$2:$X$510,$B87,'Region 22'!$S$2:$S$510,M$1)</f>
        <v>0</v>
      </c>
      <c r="N87">
        <f>COUNTIFS('Region 22'!$X$2:$X$510,$B87,'Region 22'!$S$2:$S$510,N$1)</f>
        <v>0</v>
      </c>
      <c r="O87">
        <f>COUNTIFS('Region 22'!$X$2:$X$510,$B87,'Region 22'!$S$2:$S$510,O$1)</f>
        <v>0</v>
      </c>
      <c r="Q87" s="94" t="e">
        <f>AVERAGEIFS('Region 22'!$W$2:$W$510,'Region 22'!$X$2:$X$510,$B87,'Region 22'!$S$2:$S$510,J$1)</f>
        <v>#DIV/0!</v>
      </c>
      <c r="R87" s="94" t="e">
        <f>AVERAGEIFS('Region 22'!$W$2:$W$510,'Region 22'!$X$2:$X$510,$B87,'Region 22'!$S$2:$S$510,K$1)</f>
        <v>#DIV/0!</v>
      </c>
      <c r="S87" s="94" t="e">
        <f>AVERAGEIFS('Region 22'!$W$2:$W$510,'Region 22'!$X$2:$X$510,$B87,'Region 22'!$S$2:$S$510,L$1)</f>
        <v>#DIV/0!</v>
      </c>
      <c r="T87" s="94" t="e">
        <f>AVERAGEIFS('Region 22'!$W$2:$W$510,'Region 22'!$X$2:$X$510,$B87,'Region 22'!$S$2:$S$510,M$1)</f>
        <v>#DIV/0!</v>
      </c>
      <c r="U87" s="94" t="e">
        <f>AVERAGEIFS('Region 22'!$W$2:$W$510,'Region 22'!$X$2:$X$510,$B87,'Region 22'!$S$2:$S$510,N$1)</f>
        <v>#DIV/0!</v>
      </c>
      <c r="V87" s="94" t="e">
        <f>AVERAGEIFS('Region 22'!$W$2:$W$510,'Region 22'!$X$2:$X$510,$B87,'Region 22'!$S$2:$S$510,O$1)</f>
        <v>#DIV/0!</v>
      </c>
    </row>
    <row r="88" spans="1:22" x14ac:dyDescent="0.3">
      <c r="A88">
        <f t="shared" si="20"/>
        <v>22</v>
      </c>
      <c r="B88">
        <f t="shared" si="21"/>
        <v>3</v>
      </c>
      <c r="C88" s="96" t="str">
        <f t="shared" si="14"/>
        <v>-</v>
      </c>
      <c r="D88" s="96" t="str">
        <f t="shared" si="15"/>
        <v>-</v>
      </c>
      <c r="E88" s="96" t="str">
        <f t="shared" si="16"/>
        <v>-</v>
      </c>
      <c r="F88" s="96" t="str">
        <f t="shared" si="17"/>
        <v>-</v>
      </c>
      <c r="G88" s="96" t="str">
        <f t="shared" si="18"/>
        <v>-</v>
      </c>
      <c r="H88" s="96" t="str">
        <f t="shared" si="19"/>
        <v>-</v>
      </c>
      <c r="J88">
        <f>COUNTIFS('Region 22'!$X$2:$X$510,$B88,'Region 22'!$S$2:$S$510,J$1)</f>
        <v>0</v>
      </c>
      <c r="K88">
        <f>COUNTIFS('Region 22'!$X$2:$X$510,$B88,'Region 22'!$S$2:$S$510,K$1)</f>
        <v>0</v>
      </c>
      <c r="L88">
        <f>COUNTIFS('Region 22'!$X$2:$X$510,$B88,'Region 22'!$S$2:$S$510,L$1)</f>
        <v>0</v>
      </c>
      <c r="M88">
        <f>COUNTIFS('Region 22'!$X$2:$X$510,$B88,'Region 22'!$S$2:$S$510,M$1)</f>
        <v>0</v>
      </c>
      <c r="N88">
        <f>COUNTIFS('Region 22'!$X$2:$X$510,$B88,'Region 22'!$S$2:$S$510,N$1)</f>
        <v>0</v>
      </c>
      <c r="O88">
        <f>COUNTIFS('Region 22'!$X$2:$X$510,$B88,'Region 22'!$S$2:$S$510,O$1)</f>
        <v>0</v>
      </c>
      <c r="Q88" s="94" t="e">
        <f>AVERAGEIFS('Region 22'!$W$2:$W$510,'Region 22'!$X$2:$X$510,$B88,'Region 22'!$S$2:$S$510,J$1)</f>
        <v>#DIV/0!</v>
      </c>
      <c r="R88" s="94" t="e">
        <f>AVERAGEIFS('Region 22'!$W$2:$W$510,'Region 22'!$X$2:$X$510,$B88,'Region 22'!$S$2:$S$510,K$1)</f>
        <v>#DIV/0!</v>
      </c>
      <c r="S88" s="94" t="e">
        <f>AVERAGEIFS('Region 22'!$W$2:$W$510,'Region 22'!$X$2:$X$510,$B88,'Region 22'!$S$2:$S$510,L$1)</f>
        <v>#DIV/0!</v>
      </c>
      <c r="T88" s="94" t="e">
        <f>AVERAGEIFS('Region 22'!$W$2:$W$510,'Region 22'!$X$2:$X$510,$B88,'Region 22'!$S$2:$S$510,M$1)</f>
        <v>#DIV/0!</v>
      </c>
      <c r="U88" s="94" t="e">
        <f>AVERAGEIFS('Region 22'!$W$2:$W$510,'Region 22'!$X$2:$X$510,$B88,'Region 22'!$S$2:$S$510,N$1)</f>
        <v>#DIV/0!</v>
      </c>
      <c r="V88" s="94" t="e">
        <f>AVERAGEIFS('Region 22'!$W$2:$W$510,'Region 22'!$X$2:$X$510,$B88,'Region 22'!$S$2:$S$510,O$1)</f>
        <v>#DIV/0!</v>
      </c>
    </row>
    <row r="89" spans="1:22" x14ac:dyDescent="0.3">
      <c r="A89">
        <f t="shared" si="20"/>
        <v>22</v>
      </c>
      <c r="B89">
        <f t="shared" si="21"/>
        <v>4</v>
      </c>
      <c r="C89" s="96" t="str">
        <f t="shared" si="14"/>
        <v>-</v>
      </c>
      <c r="D89" s="96" t="str">
        <f t="shared" si="15"/>
        <v>-</v>
      </c>
      <c r="E89" s="96" t="str">
        <f t="shared" si="16"/>
        <v>-</v>
      </c>
      <c r="F89" s="96" t="str">
        <f t="shared" si="17"/>
        <v>-</v>
      </c>
      <c r="G89" s="96">
        <f t="shared" si="18"/>
        <v>0.32941176470588235</v>
      </c>
      <c r="H89" s="96">
        <f t="shared" si="19"/>
        <v>0.72941176470588232</v>
      </c>
      <c r="J89">
        <f>COUNTIFS('Region 22'!$X$2:$X$510,$B89,'Region 22'!$S$2:$S$510,J$1)</f>
        <v>0</v>
      </c>
      <c r="K89">
        <f>COUNTIFS('Region 22'!$X$2:$X$510,$B89,'Region 22'!$S$2:$S$510,K$1)</f>
        <v>0</v>
      </c>
      <c r="L89">
        <f>COUNTIFS('Region 22'!$X$2:$X$510,$B89,'Region 22'!$S$2:$S$510,L$1)</f>
        <v>0</v>
      </c>
      <c r="M89">
        <f>COUNTIFS('Region 22'!$X$2:$X$510,$B89,'Region 22'!$S$2:$S$510,M$1)</f>
        <v>0</v>
      </c>
      <c r="N89">
        <f>COUNTIFS('Region 22'!$X$2:$X$510,$B89,'Region 22'!$S$2:$S$510,N$1)</f>
        <v>2</v>
      </c>
      <c r="O89">
        <f>COUNTIFS('Region 22'!$X$2:$X$510,$B89,'Region 22'!$S$2:$S$510,O$1)</f>
        <v>2</v>
      </c>
      <c r="Q89" s="94" t="e">
        <f>AVERAGEIFS('Region 22'!$W$2:$W$510,'Region 22'!$X$2:$X$510,$B89,'Region 22'!$S$2:$S$510,J$1)</f>
        <v>#DIV/0!</v>
      </c>
      <c r="R89" s="94" t="e">
        <f>AVERAGEIFS('Region 22'!$W$2:$W$510,'Region 22'!$X$2:$X$510,$B89,'Region 22'!$S$2:$S$510,K$1)</f>
        <v>#DIV/0!</v>
      </c>
      <c r="S89" s="94" t="e">
        <f>AVERAGEIFS('Region 22'!$W$2:$W$510,'Region 22'!$X$2:$X$510,$B89,'Region 22'!$S$2:$S$510,L$1)</f>
        <v>#DIV/0!</v>
      </c>
      <c r="T89" s="94" t="e">
        <f>AVERAGEIFS('Region 22'!$W$2:$W$510,'Region 22'!$X$2:$X$510,$B89,'Region 22'!$S$2:$S$510,M$1)</f>
        <v>#DIV/0!</v>
      </c>
      <c r="U89" s="94">
        <f>AVERAGEIFS('Region 22'!$W$2:$W$510,'Region 22'!$X$2:$X$510,$B89,'Region 22'!$S$2:$S$510,N$1)</f>
        <v>0.32941176470588235</v>
      </c>
      <c r="V89" s="94">
        <f>AVERAGEIFS('Region 22'!$W$2:$W$510,'Region 22'!$X$2:$X$510,$B89,'Region 22'!$S$2:$S$510,O$1)</f>
        <v>0.72941176470588232</v>
      </c>
    </row>
    <row r="90" spans="1:22" x14ac:dyDescent="0.3">
      <c r="A90">
        <f t="shared" si="20"/>
        <v>23</v>
      </c>
      <c r="B90">
        <f t="shared" si="21"/>
        <v>1</v>
      </c>
      <c r="C90" s="96">
        <f t="shared" si="14"/>
        <v>57.222222222222221</v>
      </c>
      <c r="D90" s="96">
        <f t="shared" si="15"/>
        <v>224.66666666666666</v>
      </c>
      <c r="E90" s="96">
        <f t="shared" si="16"/>
        <v>76</v>
      </c>
      <c r="F90" s="96" t="str">
        <f t="shared" si="17"/>
        <v>-</v>
      </c>
      <c r="G90" s="96">
        <f t="shared" si="18"/>
        <v>1.5</v>
      </c>
      <c r="H90" s="96">
        <f t="shared" si="19"/>
        <v>4</v>
      </c>
      <c r="J90" s="94">
        <f>COUNTIFS('Region 23'!$X$2:$X$468,$B90,'Region 23'!$S$2:$S$468,J$1)</f>
        <v>9</v>
      </c>
      <c r="K90" s="94">
        <f>COUNTIFS('Region 23'!$X$2:$X$468,$B90,'Region 23'!$S$2:$S$468,K$1)</f>
        <v>3</v>
      </c>
      <c r="L90" s="94">
        <f>COUNTIFS('Region 23'!$X$2:$X$468,$B90,'Region 23'!$S$2:$S$468,L$1)</f>
        <v>3</v>
      </c>
      <c r="M90" s="94">
        <f>COUNTIFS('Region 23'!$X$2:$X$468,$B90,'Region 23'!$S$2:$S$468,M$1)</f>
        <v>0</v>
      </c>
      <c r="N90" s="94">
        <f>COUNTIFS('Region 23'!$X$2:$X$468,$B90,'Region 23'!$S$2:$S$468,N$1)</f>
        <v>2</v>
      </c>
      <c r="O90" s="94">
        <f>COUNTIFS('Region 23'!$X$2:$X$468,$B90,'Region 23'!$S$2:$S$468,O$1)</f>
        <v>3</v>
      </c>
      <c r="Q90">
        <f>AVERAGEIFS('Region 23'!$W$2:$W$468,'Region 23'!$X$2:$X$468,$B90,'Region 23'!$S$2:$S$468,J$1)</f>
        <v>57.222222222222221</v>
      </c>
      <c r="R90">
        <f>AVERAGEIFS('Region 23'!$W$2:$W$468,'Region 23'!$X$2:$X$468,$B90,'Region 23'!$S$2:$S$468,K$1)</f>
        <v>224.66666666666666</v>
      </c>
      <c r="S90">
        <f>AVERAGEIFS('Region 23'!$W$2:$W$468,'Region 23'!$X$2:$X$468,$B90,'Region 23'!$S$2:$S$468,L$1)</f>
        <v>76</v>
      </c>
      <c r="T90" t="e">
        <f>AVERAGEIFS('Region 23'!$W$2:$W$468,'Region 23'!$X$2:$X$468,$B90,'Region 23'!$S$2:$S$468,M$1)</f>
        <v>#DIV/0!</v>
      </c>
      <c r="U90">
        <f>AVERAGEIFS('Region 23'!$W$2:$W$468,'Region 23'!$X$2:$X$468,$B90,'Region 23'!$S$2:$S$468,N$1)</f>
        <v>1.5</v>
      </c>
      <c r="V90">
        <f>AVERAGEIFS('Region 23'!$W$2:$W$468,'Region 23'!$X$2:$X$468,$B90,'Region 23'!$S$2:$S$468,O$1)</f>
        <v>4</v>
      </c>
    </row>
    <row r="91" spans="1:22" x14ac:dyDescent="0.3">
      <c r="A91">
        <f t="shared" si="20"/>
        <v>23</v>
      </c>
      <c r="B91">
        <f t="shared" si="21"/>
        <v>2</v>
      </c>
      <c r="C91" s="96" t="str">
        <f t="shared" si="14"/>
        <v>-</v>
      </c>
      <c r="D91" s="96" t="str">
        <f t="shared" si="15"/>
        <v>-</v>
      </c>
      <c r="E91" s="96" t="str">
        <f t="shared" si="16"/>
        <v>-</v>
      </c>
      <c r="F91" s="96" t="str">
        <f t="shared" si="17"/>
        <v>-</v>
      </c>
      <c r="G91" s="96" t="str">
        <f t="shared" si="18"/>
        <v>-</v>
      </c>
      <c r="H91" s="96" t="str">
        <f t="shared" si="19"/>
        <v>-</v>
      </c>
      <c r="J91" s="94">
        <f>COUNTIFS('Region 23'!$X$2:$X$468,$B91,'Region 23'!$S$2:$S$468,J$1)</f>
        <v>0</v>
      </c>
      <c r="K91" s="94">
        <f>COUNTIFS('Region 23'!$X$2:$X$468,$B91,'Region 23'!$S$2:$S$468,K$1)</f>
        <v>0</v>
      </c>
      <c r="L91" s="94">
        <f>COUNTIFS('Region 23'!$X$2:$X$468,$B91,'Region 23'!$S$2:$S$468,L$1)</f>
        <v>0</v>
      </c>
      <c r="M91" s="94">
        <f>COUNTIFS('Region 23'!$X$2:$X$468,$B91,'Region 23'!$S$2:$S$468,M$1)</f>
        <v>0</v>
      </c>
      <c r="N91" s="94">
        <f>COUNTIFS('Region 23'!$X$2:$X$468,$B91,'Region 23'!$S$2:$S$468,N$1)</f>
        <v>0</v>
      </c>
      <c r="O91" s="94">
        <f>COUNTIFS('Region 23'!$X$2:$X$468,$B91,'Region 23'!$S$2:$S$468,O$1)</f>
        <v>0</v>
      </c>
      <c r="Q91" t="e">
        <f>AVERAGEIFS('Region 23'!$W$2:$W$468,'Region 23'!$X$2:$X$468,$B91,'Region 23'!$S$2:$S$468,J$1)</f>
        <v>#DIV/0!</v>
      </c>
      <c r="R91" t="e">
        <f>AVERAGEIFS('Region 23'!$W$2:$W$468,'Region 23'!$X$2:$X$468,$B91,'Region 23'!$S$2:$S$468,K$1)</f>
        <v>#DIV/0!</v>
      </c>
      <c r="S91" t="e">
        <f>AVERAGEIFS('Region 23'!$W$2:$W$468,'Region 23'!$X$2:$X$468,$B91,'Region 23'!$S$2:$S$468,L$1)</f>
        <v>#DIV/0!</v>
      </c>
      <c r="T91" t="e">
        <f>AVERAGEIFS('Region 23'!$W$2:$W$468,'Region 23'!$X$2:$X$468,$B91,'Region 23'!$S$2:$S$468,M$1)</f>
        <v>#DIV/0!</v>
      </c>
      <c r="U91" t="e">
        <f>AVERAGEIFS('Region 23'!$W$2:$W$468,'Region 23'!$X$2:$X$468,$B91,'Region 23'!$S$2:$S$468,N$1)</f>
        <v>#DIV/0!</v>
      </c>
      <c r="V91" t="e">
        <f>AVERAGEIFS('Region 23'!$W$2:$W$468,'Region 23'!$X$2:$X$468,$B91,'Region 23'!$S$2:$S$468,O$1)</f>
        <v>#DIV/0!</v>
      </c>
    </row>
    <row r="92" spans="1:22" x14ac:dyDescent="0.3">
      <c r="A92">
        <f t="shared" si="20"/>
        <v>23</v>
      </c>
      <c r="B92">
        <f t="shared" si="21"/>
        <v>3</v>
      </c>
      <c r="C92" s="96" t="str">
        <f t="shared" si="14"/>
        <v>-</v>
      </c>
      <c r="D92" s="96" t="str">
        <f t="shared" si="15"/>
        <v>-</v>
      </c>
      <c r="E92" s="96" t="str">
        <f t="shared" si="16"/>
        <v>-</v>
      </c>
      <c r="F92" s="96" t="str">
        <f t="shared" si="17"/>
        <v>-</v>
      </c>
      <c r="G92" s="96" t="str">
        <f t="shared" si="18"/>
        <v>-</v>
      </c>
      <c r="H92" s="96" t="str">
        <f t="shared" si="19"/>
        <v>-</v>
      </c>
      <c r="J92" s="94">
        <f>COUNTIFS('Region 23'!$X$2:$X$468,$B92,'Region 23'!$S$2:$S$468,J$1)</f>
        <v>0</v>
      </c>
      <c r="K92" s="94">
        <f>COUNTIFS('Region 23'!$X$2:$X$468,$B92,'Region 23'!$S$2:$S$468,K$1)</f>
        <v>0</v>
      </c>
      <c r="L92" s="94">
        <f>COUNTIFS('Region 23'!$X$2:$X$468,$B92,'Region 23'!$S$2:$S$468,L$1)</f>
        <v>0</v>
      </c>
      <c r="M92" s="94">
        <f>COUNTIFS('Region 23'!$X$2:$X$468,$B92,'Region 23'!$S$2:$S$468,M$1)</f>
        <v>0</v>
      </c>
      <c r="N92" s="94">
        <f>COUNTIFS('Region 23'!$X$2:$X$468,$B92,'Region 23'!$S$2:$S$468,N$1)</f>
        <v>0</v>
      </c>
      <c r="O92" s="94">
        <f>COUNTIFS('Region 23'!$X$2:$X$468,$B92,'Region 23'!$S$2:$S$468,O$1)</f>
        <v>0</v>
      </c>
      <c r="Q92" t="e">
        <f>AVERAGEIFS('Region 23'!$W$2:$W$468,'Region 23'!$X$2:$X$468,$B92,'Region 23'!$S$2:$S$468,J$1)</f>
        <v>#DIV/0!</v>
      </c>
      <c r="R92" t="e">
        <f>AVERAGEIFS('Region 23'!$W$2:$W$468,'Region 23'!$X$2:$X$468,$B92,'Region 23'!$S$2:$S$468,K$1)</f>
        <v>#DIV/0!</v>
      </c>
      <c r="S92" t="e">
        <f>AVERAGEIFS('Region 23'!$W$2:$W$468,'Region 23'!$X$2:$X$468,$B92,'Region 23'!$S$2:$S$468,L$1)</f>
        <v>#DIV/0!</v>
      </c>
      <c r="T92" t="e">
        <f>AVERAGEIFS('Region 23'!$W$2:$W$468,'Region 23'!$X$2:$X$468,$B92,'Region 23'!$S$2:$S$468,M$1)</f>
        <v>#DIV/0!</v>
      </c>
      <c r="U92" t="e">
        <f>AVERAGEIFS('Region 23'!$W$2:$W$468,'Region 23'!$X$2:$X$468,$B92,'Region 23'!$S$2:$S$468,N$1)</f>
        <v>#DIV/0!</v>
      </c>
      <c r="V92" t="e">
        <f>AVERAGEIFS('Region 23'!$W$2:$W$468,'Region 23'!$X$2:$X$468,$B92,'Region 23'!$S$2:$S$468,O$1)</f>
        <v>#DIV/0!</v>
      </c>
    </row>
    <row r="93" spans="1:22" x14ac:dyDescent="0.3">
      <c r="A93">
        <f t="shared" si="20"/>
        <v>23</v>
      </c>
      <c r="B93">
        <f t="shared" si="21"/>
        <v>4</v>
      </c>
      <c r="C93" s="96">
        <f t="shared" si="14"/>
        <v>304.33333333333331</v>
      </c>
      <c r="D93" s="96">
        <f t="shared" si="15"/>
        <v>1871</v>
      </c>
      <c r="E93" s="96">
        <f t="shared" si="16"/>
        <v>18</v>
      </c>
      <c r="F93" s="96" t="str">
        <f t="shared" si="17"/>
        <v>-</v>
      </c>
      <c r="G93" s="96">
        <f t="shared" si="18"/>
        <v>2</v>
      </c>
      <c r="H93" s="96">
        <f t="shared" si="19"/>
        <v>2</v>
      </c>
      <c r="J93" s="94">
        <f>COUNTIFS('Region 23'!$X$2:$X$468,$B93,'Region 23'!$S$2:$S$468,J$1)</f>
        <v>3</v>
      </c>
      <c r="K93" s="94">
        <f>COUNTIFS('Region 23'!$X$2:$X$468,$B93,'Region 23'!$S$2:$S$468,K$1)</f>
        <v>1</v>
      </c>
      <c r="L93" s="94">
        <f>COUNTIFS('Region 23'!$X$2:$X$468,$B93,'Region 23'!$S$2:$S$468,L$1)</f>
        <v>1</v>
      </c>
      <c r="M93" s="94">
        <f>COUNTIFS('Region 23'!$X$2:$X$468,$B93,'Region 23'!$S$2:$S$468,M$1)</f>
        <v>0</v>
      </c>
      <c r="N93" s="94">
        <f>COUNTIFS('Region 23'!$X$2:$X$468,$B93,'Region 23'!$S$2:$S$468,N$1)</f>
        <v>1</v>
      </c>
      <c r="O93" s="94">
        <f>COUNTIFS('Region 23'!$X$2:$X$468,$B93,'Region 23'!$S$2:$S$468,O$1)</f>
        <v>1</v>
      </c>
      <c r="Q93">
        <f>AVERAGEIFS('Region 23'!$W$2:$W$468,'Region 23'!$X$2:$X$468,$B93,'Region 23'!$S$2:$S$468,J$1)</f>
        <v>304.33333333333331</v>
      </c>
      <c r="R93">
        <f>AVERAGEIFS('Region 23'!$W$2:$W$468,'Region 23'!$X$2:$X$468,$B93,'Region 23'!$S$2:$S$468,K$1)</f>
        <v>1871</v>
      </c>
      <c r="S93">
        <f>AVERAGEIFS('Region 23'!$W$2:$W$468,'Region 23'!$X$2:$X$468,$B93,'Region 23'!$S$2:$S$468,L$1)</f>
        <v>18</v>
      </c>
      <c r="T93" t="e">
        <f>AVERAGEIFS('Region 23'!$W$2:$W$468,'Region 23'!$X$2:$X$468,$B93,'Region 23'!$S$2:$S$468,M$1)</f>
        <v>#DIV/0!</v>
      </c>
      <c r="U93">
        <f>AVERAGEIFS('Region 23'!$W$2:$W$468,'Region 23'!$X$2:$X$468,$B93,'Region 23'!$S$2:$S$468,N$1)</f>
        <v>2</v>
      </c>
      <c r="V93">
        <f>AVERAGEIFS('Region 23'!$W$2:$W$468,'Region 23'!$X$2:$X$468,$B93,'Region 23'!$S$2:$S$468,O$1)</f>
        <v>2</v>
      </c>
    </row>
    <row r="94" spans="1:22" x14ac:dyDescent="0.3">
      <c r="A94">
        <f t="shared" si="20"/>
        <v>24</v>
      </c>
      <c r="B94">
        <f t="shared" si="21"/>
        <v>1</v>
      </c>
      <c r="C94" s="96">
        <f t="shared" si="14"/>
        <v>21.050607484816144</v>
      </c>
      <c r="D94" s="96">
        <f t="shared" si="15"/>
        <v>627.84025177388298</v>
      </c>
      <c r="E94" s="96">
        <f t="shared" si="16"/>
        <v>67.24800852874472</v>
      </c>
      <c r="F94" s="96">
        <f t="shared" si="17"/>
        <v>1.1354781043601907</v>
      </c>
      <c r="G94" s="96">
        <f t="shared" si="18"/>
        <v>1.8956838784422123</v>
      </c>
      <c r="H94" s="96">
        <f t="shared" si="19"/>
        <v>1.0587011123071404</v>
      </c>
      <c r="J94">
        <f>COUNTIFS('Region 24'!$X$2:$X$454,$B94,'Region 24'!$S$2:$S$454,J$1)</f>
        <v>11</v>
      </c>
      <c r="K94">
        <f>COUNTIFS('Region 24'!$X$2:$X$454,$B94,'Region 24'!$S$2:$S$454,K$1)</f>
        <v>7</v>
      </c>
      <c r="L94">
        <f>COUNTIFS('Region 24'!$X$2:$X$454,$B94,'Region 24'!$S$2:$S$454,L$1)</f>
        <v>8</v>
      </c>
      <c r="M94">
        <f>COUNTIFS('Region 24'!$X$2:$X$454,$B94,'Region 24'!$S$2:$S$454,M$1)</f>
        <v>5</v>
      </c>
      <c r="N94">
        <f>COUNTIFS('Region 24'!$X$2:$X$454,$B94,'Region 24'!$S$2:$S$454,N$1)</f>
        <v>2</v>
      </c>
      <c r="O94">
        <f>COUNTIFS('Region 24'!$X$2:$X$454,$B94,'Region 24'!$S$2:$S$454,O$1)</f>
        <v>3</v>
      </c>
      <c r="Q94">
        <f>AVERAGEIFS('Region 24'!$W$2:$W$454,'Region 24'!$X$2:$X$454,$B94,'Region 24'!$S$2:$S$454,J$1)</f>
        <v>21.050607484816144</v>
      </c>
      <c r="R94">
        <f>AVERAGEIFS('Region 24'!$W$2:$W$454,'Region 24'!$X$2:$X$454,$B94,'Region 24'!$S$2:$S$454,K$1)</f>
        <v>627.84025177388298</v>
      </c>
      <c r="S94">
        <f>AVERAGEIFS('Region 24'!$W$2:$W$454,'Region 24'!$X$2:$X$454,$B94,'Region 24'!$S$2:$S$454,L$1)</f>
        <v>67.24800852874472</v>
      </c>
      <c r="T94">
        <f>AVERAGEIFS('Region 24'!$W$2:$W$454,'Region 24'!$X$2:$X$454,$B94,'Region 24'!$S$2:$S$454,M$1)</f>
        <v>1.1354781043601907</v>
      </c>
      <c r="U94">
        <f>AVERAGEIFS('Region 24'!$W$2:$W$454,'Region 24'!$X$2:$X$454,$B94,'Region 24'!$S$2:$S$454,N$1)</f>
        <v>1.8956838784422123</v>
      </c>
      <c r="V94">
        <f>AVERAGEIFS('Region 24'!$W$2:$W$454,'Region 24'!$X$2:$X$454,$B94,'Region 24'!$S$2:$S$454,O$1)</f>
        <v>1.0587011123071404</v>
      </c>
    </row>
    <row r="95" spans="1:22" x14ac:dyDescent="0.3">
      <c r="A95">
        <f t="shared" si="20"/>
        <v>24</v>
      </c>
      <c r="B95">
        <f t="shared" si="21"/>
        <v>2</v>
      </c>
      <c r="C95" s="96">
        <f t="shared" si="14"/>
        <v>35.583664021164019</v>
      </c>
      <c r="D95" s="96">
        <f t="shared" si="15"/>
        <v>795.98095238095232</v>
      </c>
      <c r="E95" s="96">
        <f t="shared" si="16"/>
        <v>29.49404761904762</v>
      </c>
      <c r="F95" s="96">
        <f t="shared" si="17"/>
        <v>7.8927836566725466E-3</v>
      </c>
      <c r="G95" s="96" t="str">
        <f t="shared" si="18"/>
        <v>-</v>
      </c>
      <c r="H95" s="96" t="str">
        <f t="shared" si="19"/>
        <v>-</v>
      </c>
      <c r="J95">
        <f>COUNTIFS('Region 24'!$X$2:$X$454,$B95,'Region 24'!$S$2:$S$454,J$1)</f>
        <v>4</v>
      </c>
      <c r="K95">
        <f>COUNTIFS('Region 24'!$X$2:$X$454,$B95,'Region 24'!$S$2:$S$454,K$1)</f>
        <v>4</v>
      </c>
      <c r="L95">
        <f>COUNTIFS('Region 24'!$X$2:$X$454,$B95,'Region 24'!$S$2:$S$454,L$1)</f>
        <v>3</v>
      </c>
      <c r="M95">
        <f>COUNTIFS('Region 24'!$X$2:$X$454,$B95,'Region 24'!$S$2:$S$454,M$1)</f>
        <v>4</v>
      </c>
      <c r="N95">
        <f>COUNTIFS('Region 24'!$X$2:$X$454,$B95,'Region 24'!$S$2:$S$454,N$1)</f>
        <v>0</v>
      </c>
      <c r="O95">
        <f>COUNTIFS('Region 24'!$X$2:$X$454,$B95,'Region 24'!$S$2:$S$454,O$1)</f>
        <v>0</v>
      </c>
      <c r="Q95">
        <f>AVERAGEIFS('Region 24'!$W$2:$W$454,'Region 24'!$X$2:$X$454,$B95,'Region 24'!$S$2:$S$454,J$1)</f>
        <v>35.583664021164019</v>
      </c>
      <c r="R95">
        <f>AVERAGEIFS('Region 24'!$W$2:$W$454,'Region 24'!$X$2:$X$454,$B95,'Region 24'!$S$2:$S$454,K$1)</f>
        <v>795.98095238095232</v>
      </c>
      <c r="S95">
        <f>AVERAGEIFS('Region 24'!$W$2:$W$454,'Region 24'!$X$2:$X$454,$B95,'Region 24'!$S$2:$S$454,L$1)</f>
        <v>29.49404761904762</v>
      </c>
      <c r="T95">
        <f>AVERAGEIFS('Region 24'!$W$2:$W$454,'Region 24'!$X$2:$X$454,$B95,'Region 24'!$S$2:$S$454,M$1)</f>
        <v>7.8927836566725466E-3</v>
      </c>
      <c r="U95" t="e">
        <f>AVERAGEIFS('Region 24'!$W$2:$W$454,'Region 24'!$X$2:$X$454,$B95,'Region 24'!$S$2:$S$454,N$1)</f>
        <v>#DIV/0!</v>
      </c>
      <c r="V95" t="e">
        <f>AVERAGEIFS('Region 24'!$W$2:$W$454,'Region 24'!$X$2:$X$454,$B95,'Region 24'!$S$2:$S$454,O$1)</f>
        <v>#DIV/0!</v>
      </c>
    </row>
    <row r="96" spans="1:22" x14ac:dyDescent="0.3">
      <c r="A96">
        <f t="shared" si="20"/>
        <v>24</v>
      </c>
      <c r="B96">
        <f t="shared" si="21"/>
        <v>3</v>
      </c>
      <c r="C96" s="96">
        <f t="shared" si="14"/>
        <v>49.412515964240107</v>
      </c>
      <c r="D96" s="96">
        <f t="shared" si="15"/>
        <v>701.25370370370376</v>
      </c>
      <c r="E96" s="96" t="str">
        <f t="shared" si="16"/>
        <v>-</v>
      </c>
      <c r="F96" s="96">
        <f t="shared" si="17"/>
        <v>7.9821200510855686E-3</v>
      </c>
      <c r="G96" s="96" t="str">
        <f t="shared" si="18"/>
        <v>-</v>
      </c>
      <c r="H96" s="96" t="str">
        <f t="shared" si="19"/>
        <v>-</v>
      </c>
      <c r="J96">
        <f>COUNTIFS('Region 24'!$X$2:$X$454,$B96,'Region 24'!$S$2:$S$454,J$1)</f>
        <v>1</v>
      </c>
      <c r="K96">
        <f>COUNTIFS('Region 24'!$X$2:$X$454,$B96,'Region 24'!$S$2:$S$454,K$1)</f>
        <v>1</v>
      </c>
      <c r="L96">
        <f>COUNTIFS('Region 24'!$X$2:$X$454,$B96,'Region 24'!$S$2:$S$454,L$1)</f>
        <v>0</v>
      </c>
      <c r="M96">
        <f>COUNTIFS('Region 24'!$X$2:$X$454,$B96,'Region 24'!$S$2:$S$454,M$1)</f>
        <v>1</v>
      </c>
      <c r="N96">
        <f>COUNTIFS('Region 24'!$X$2:$X$454,$B96,'Region 24'!$S$2:$S$454,N$1)</f>
        <v>0</v>
      </c>
      <c r="O96">
        <f>COUNTIFS('Region 24'!$X$2:$X$454,$B96,'Region 24'!$S$2:$S$454,O$1)</f>
        <v>0</v>
      </c>
      <c r="Q96">
        <f>AVERAGEIFS('Region 24'!$W$2:$W$454,'Region 24'!$X$2:$X$454,$B96,'Region 24'!$S$2:$S$454,J$1)</f>
        <v>49.412515964240107</v>
      </c>
      <c r="R96">
        <f>AVERAGEIFS('Region 24'!$W$2:$W$454,'Region 24'!$X$2:$X$454,$B96,'Region 24'!$S$2:$S$454,K$1)</f>
        <v>701.25370370370376</v>
      </c>
      <c r="S96" t="e">
        <f>AVERAGEIFS('Region 24'!$W$2:$W$454,'Region 24'!$X$2:$X$454,$B96,'Region 24'!$S$2:$S$454,L$1)</f>
        <v>#DIV/0!</v>
      </c>
      <c r="T96">
        <f>AVERAGEIFS('Region 24'!$W$2:$W$454,'Region 24'!$X$2:$X$454,$B96,'Region 24'!$S$2:$S$454,M$1)</f>
        <v>7.9821200510855686E-3</v>
      </c>
      <c r="U96" t="e">
        <f>AVERAGEIFS('Region 24'!$W$2:$W$454,'Region 24'!$X$2:$X$454,$B96,'Region 24'!$S$2:$S$454,N$1)</f>
        <v>#DIV/0!</v>
      </c>
      <c r="V96" t="e">
        <f>AVERAGEIFS('Region 24'!$W$2:$W$454,'Region 24'!$X$2:$X$454,$B96,'Region 24'!$S$2:$S$454,O$1)</f>
        <v>#DIV/0!</v>
      </c>
    </row>
    <row r="97" spans="1:22" x14ac:dyDescent="0.3">
      <c r="A97">
        <f t="shared" si="20"/>
        <v>24</v>
      </c>
      <c r="B97">
        <f t="shared" si="21"/>
        <v>4</v>
      </c>
      <c r="C97" s="96">
        <f t="shared" si="14"/>
        <v>120.71681376182612</v>
      </c>
      <c r="D97" s="96">
        <f t="shared" si="15"/>
        <v>1136.3867039930512</v>
      </c>
      <c r="E97" s="96">
        <f t="shared" si="16"/>
        <v>176.65990275767916</v>
      </c>
      <c r="F97" s="96" t="str">
        <f t="shared" si="17"/>
        <v>-</v>
      </c>
      <c r="G97" s="96" t="str">
        <f t="shared" si="18"/>
        <v>-</v>
      </c>
      <c r="H97" s="96">
        <f t="shared" si="19"/>
        <v>7.296034864542424</v>
      </c>
      <c r="J97">
        <f>COUNTIFS('Region 24'!$X$2:$X$454,$B97,'Region 24'!$S$2:$S$454,J$1)</f>
        <v>3</v>
      </c>
      <c r="K97">
        <f>COUNTIFS('Region 24'!$X$2:$X$454,$B97,'Region 24'!$S$2:$S$454,K$1)</f>
        <v>3</v>
      </c>
      <c r="L97">
        <f>COUNTIFS('Region 24'!$X$2:$X$454,$B97,'Region 24'!$S$2:$S$454,L$1)</f>
        <v>2</v>
      </c>
      <c r="M97">
        <f>COUNTIFS('Region 24'!$X$2:$X$454,$B97,'Region 24'!$S$2:$S$454,M$1)</f>
        <v>0</v>
      </c>
      <c r="N97">
        <f>COUNTIFS('Region 24'!$X$2:$X$454,$B97,'Region 24'!$S$2:$S$454,N$1)</f>
        <v>0</v>
      </c>
      <c r="O97">
        <f>COUNTIFS('Region 24'!$X$2:$X$454,$B97,'Region 24'!$S$2:$S$454,O$1)</f>
        <v>2</v>
      </c>
      <c r="Q97">
        <f>AVERAGEIFS('Region 24'!$W$2:$W$454,'Region 24'!$X$2:$X$454,$B97,'Region 24'!$S$2:$S$454,J$1)</f>
        <v>120.71681376182612</v>
      </c>
      <c r="R97">
        <f>AVERAGEIFS('Region 24'!$W$2:$W$454,'Region 24'!$X$2:$X$454,$B97,'Region 24'!$S$2:$S$454,K$1)</f>
        <v>1136.3867039930512</v>
      </c>
      <c r="S97">
        <f>AVERAGEIFS('Region 24'!$W$2:$W$454,'Region 24'!$X$2:$X$454,$B97,'Region 24'!$S$2:$S$454,L$1)</f>
        <v>176.65990275767916</v>
      </c>
      <c r="T97" t="e">
        <f>AVERAGEIFS('Region 24'!$W$2:$W$454,'Region 24'!$X$2:$X$454,$B97,'Region 24'!$S$2:$S$454,M$1)</f>
        <v>#DIV/0!</v>
      </c>
      <c r="U97" t="e">
        <f>AVERAGEIFS('Region 24'!$W$2:$W$454,'Region 24'!$X$2:$X$454,$B97,'Region 24'!$S$2:$S$454,N$1)</f>
        <v>#DIV/0!</v>
      </c>
      <c r="V97">
        <f>AVERAGEIFS('Region 24'!$W$2:$W$454,'Region 24'!$X$2:$X$454,$B97,'Region 24'!$S$2:$S$454,O$1)</f>
        <v>7.296034864542424</v>
      </c>
    </row>
    <row r="98" spans="1:22" x14ac:dyDescent="0.3">
      <c r="A98">
        <f t="shared" si="20"/>
        <v>25</v>
      </c>
      <c r="B98">
        <f t="shared" si="21"/>
        <v>1</v>
      </c>
      <c r="C98" s="96" t="str">
        <f t="shared" ref="C98:C105" si="22">IF(J98=0,"-",Q98)</f>
        <v>-</v>
      </c>
      <c r="D98" s="96" t="str">
        <f t="shared" ref="D98:D105" si="23">IF(K98=0,"-",R98)</f>
        <v>-</v>
      </c>
      <c r="E98" s="96">
        <f t="shared" ref="E98:E105" si="24">IF(L98=0,"-",S98)</f>
        <v>34.04</v>
      </c>
      <c r="F98" s="96" t="str">
        <f t="shared" ref="F98:F105" si="25">IF(M98=0,"-",T98)</f>
        <v>-</v>
      </c>
      <c r="G98" s="96" t="str">
        <f t="shared" ref="G98:G105" si="26">IF(N98=0,"-",U98)</f>
        <v>-</v>
      </c>
      <c r="H98" s="96" t="str">
        <f t="shared" ref="H98:H105" si="27">IF(O98=0,"-",V98)</f>
        <v>-</v>
      </c>
      <c r="J98" s="94">
        <f>COUNTIFS('Region 25'!$X$2:$X$499,$B98,'Region 25'!$S$2:$S$499,J$1)</f>
        <v>0</v>
      </c>
      <c r="K98" s="94">
        <f>COUNTIFS('Region 25'!$X$2:$X$499,$B98,'Region 25'!$S$2:$S$499,K$1)</f>
        <v>0</v>
      </c>
      <c r="L98" s="94">
        <f>COUNTIFS('Region 25'!$X$2:$X$499,$B98,'Region 25'!$S$2:$S$499,L$1)</f>
        <v>2</v>
      </c>
      <c r="M98" s="94">
        <f>COUNTIFS('Region 25'!$X$2:$X$499,$B98,'Region 25'!$S$2:$S$499,M$1)</f>
        <v>0</v>
      </c>
      <c r="N98" s="94">
        <f>COUNTIFS('Region 25'!$X$2:$X$499,$B98,'Region 25'!$S$2:$S$499,N$1)</f>
        <v>0</v>
      </c>
      <c r="O98" s="94">
        <f>COUNTIFS('Region 25'!$X$2:$X$499,$B98,'Region 25'!$S$2:$S$499,O$1)</f>
        <v>0</v>
      </c>
      <c r="Q98" t="e">
        <f>AVERAGEIFS('Region 25'!$W$2:$W$499,'Region 25'!$X$2:$X$499,$B98,'Region 25'!$S$2:$S$499,J$1)</f>
        <v>#DIV/0!</v>
      </c>
      <c r="R98" t="e">
        <f>AVERAGEIFS('Region 25'!$W$2:$W$499,'Region 25'!$X$2:$X$499,$B98,'Region 25'!$S$2:$S$499,K$1)</f>
        <v>#DIV/0!</v>
      </c>
      <c r="S98">
        <f>AVERAGEIFS('Region 25'!$W$2:$W$499,'Region 25'!$X$2:$X$499,$B98,'Region 25'!$S$2:$S$499,L$1)</f>
        <v>34.04</v>
      </c>
      <c r="T98" t="e">
        <f>AVERAGEIFS('Region 25'!$W$2:$W$499,'Region 25'!$X$2:$X$499,$B98,'Region 25'!$S$2:$S$499,M$1)</f>
        <v>#DIV/0!</v>
      </c>
      <c r="U98" t="e">
        <f>AVERAGEIFS('Region 25'!$W$2:$W$499,'Region 25'!$X$2:$X$499,$B98,'Region 25'!$S$2:$S$499,N$1)</f>
        <v>#DIV/0!</v>
      </c>
      <c r="V98" t="e">
        <f>AVERAGEIFS('Region 25'!$W$2:$W$499,'Region 25'!$X$2:$X$499,$B98,'Region 25'!$S$2:$S$499,O$1)</f>
        <v>#DIV/0!</v>
      </c>
    </row>
    <row r="99" spans="1:22" x14ac:dyDescent="0.3">
      <c r="A99">
        <f t="shared" si="20"/>
        <v>25</v>
      </c>
      <c r="B99">
        <f t="shared" si="21"/>
        <v>2</v>
      </c>
      <c r="C99" s="96" t="str">
        <f t="shared" si="22"/>
        <v>-</v>
      </c>
      <c r="D99" s="96" t="str">
        <f t="shared" si="23"/>
        <v>-</v>
      </c>
      <c r="E99" s="96" t="str">
        <f t="shared" si="24"/>
        <v>-</v>
      </c>
      <c r="F99" s="96" t="str">
        <f t="shared" si="25"/>
        <v>-</v>
      </c>
      <c r="G99" s="96" t="str">
        <f t="shared" si="26"/>
        <v>-</v>
      </c>
      <c r="H99" s="96" t="str">
        <f t="shared" si="27"/>
        <v>-</v>
      </c>
      <c r="J99" s="94">
        <f>COUNTIFS('Region 25'!$X$2:$X$499,$B99,'Region 25'!$S$2:$S$499,J$1)</f>
        <v>0</v>
      </c>
      <c r="K99" s="94">
        <f>COUNTIFS('Region 25'!$X$2:$X$499,$B99,'Region 25'!$S$2:$S$499,K$1)</f>
        <v>0</v>
      </c>
      <c r="L99" s="94">
        <f>COUNTIFS('Region 25'!$X$2:$X$499,$B99,'Region 25'!$S$2:$S$499,L$1)</f>
        <v>0</v>
      </c>
      <c r="M99" s="94">
        <f>COUNTIFS('Region 25'!$X$2:$X$499,$B99,'Region 25'!$S$2:$S$499,M$1)</f>
        <v>0</v>
      </c>
      <c r="N99" s="94">
        <f>COUNTIFS('Region 25'!$X$2:$X$499,$B99,'Region 25'!$S$2:$S$499,N$1)</f>
        <v>0</v>
      </c>
      <c r="O99" s="94">
        <f>COUNTIFS('Region 25'!$X$2:$X$499,$B99,'Region 25'!$S$2:$S$499,O$1)</f>
        <v>0</v>
      </c>
      <c r="Q99" t="e">
        <f>AVERAGEIFS('Region 25'!$W$2:$W$499,'Region 25'!$X$2:$X$499,$B99,'Region 25'!$S$2:$S$499,J$1)</f>
        <v>#DIV/0!</v>
      </c>
      <c r="R99" t="e">
        <f>AVERAGEIFS('Region 25'!$W$2:$W$499,'Region 25'!$X$2:$X$499,$B99,'Region 25'!$S$2:$S$499,K$1)</f>
        <v>#DIV/0!</v>
      </c>
      <c r="S99" t="e">
        <f>AVERAGEIFS('Region 25'!$W$2:$W$499,'Region 25'!$X$2:$X$499,$B99,'Region 25'!$S$2:$S$499,L$1)</f>
        <v>#DIV/0!</v>
      </c>
      <c r="T99" t="e">
        <f>AVERAGEIFS('Region 25'!$W$2:$W$499,'Region 25'!$X$2:$X$499,$B99,'Region 25'!$S$2:$S$499,M$1)</f>
        <v>#DIV/0!</v>
      </c>
      <c r="U99" t="e">
        <f>AVERAGEIFS('Region 25'!$W$2:$W$499,'Region 25'!$X$2:$X$499,$B99,'Region 25'!$S$2:$S$499,N$1)</f>
        <v>#DIV/0!</v>
      </c>
      <c r="V99" t="e">
        <f>AVERAGEIFS('Region 25'!$W$2:$W$499,'Region 25'!$X$2:$X$499,$B99,'Region 25'!$S$2:$S$499,O$1)</f>
        <v>#DIV/0!</v>
      </c>
    </row>
    <row r="100" spans="1:22" x14ac:dyDescent="0.3">
      <c r="A100">
        <f t="shared" si="20"/>
        <v>25</v>
      </c>
      <c r="B100">
        <f t="shared" si="21"/>
        <v>3</v>
      </c>
      <c r="C100" s="96" t="str">
        <f t="shared" si="22"/>
        <v>-</v>
      </c>
      <c r="D100" s="96" t="str">
        <f t="shared" si="23"/>
        <v>-</v>
      </c>
      <c r="E100" s="96" t="str">
        <f t="shared" si="24"/>
        <v>-</v>
      </c>
      <c r="F100" s="96" t="str">
        <f t="shared" si="25"/>
        <v>-</v>
      </c>
      <c r="G100" s="96" t="str">
        <f t="shared" si="26"/>
        <v>-</v>
      </c>
      <c r="H100" s="96" t="str">
        <f t="shared" si="27"/>
        <v>-</v>
      </c>
      <c r="J100" s="94">
        <f>COUNTIFS('Region 25'!$X$2:$X$499,$B100,'Region 25'!$S$2:$S$499,J$1)</f>
        <v>0</v>
      </c>
      <c r="K100" s="94">
        <f>COUNTIFS('Region 25'!$X$2:$X$499,$B100,'Region 25'!$S$2:$S$499,K$1)</f>
        <v>0</v>
      </c>
      <c r="L100" s="94">
        <f>COUNTIFS('Region 25'!$X$2:$X$499,$B100,'Region 25'!$S$2:$S$499,L$1)</f>
        <v>0</v>
      </c>
      <c r="M100" s="94">
        <f>COUNTIFS('Region 25'!$X$2:$X$499,$B100,'Region 25'!$S$2:$S$499,M$1)</f>
        <v>0</v>
      </c>
      <c r="N100" s="94">
        <f>COUNTIFS('Region 25'!$X$2:$X$499,$B100,'Region 25'!$S$2:$S$499,N$1)</f>
        <v>0</v>
      </c>
      <c r="O100" s="94">
        <f>COUNTIFS('Region 25'!$X$2:$X$499,$B100,'Region 25'!$S$2:$S$499,O$1)</f>
        <v>0</v>
      </c>
      <c r="Q100" t="e">
        <f>AVERAGEIFS('Region 25'!$W$2:$W$499,'Region 25'!$X$2:$X$499,$B100,'Region 25'!$S$2:$S$499,J$1)</f>
        <v>#DIV/0!</v>
      </c>
      <c r="R100" t="e">
        <f>AVERAGEIFS('Region 25'!$W$2:$W$499,'Region 25'!$X$2:$X$499,$B100,'Region 25'!$S$2:$S$499,K$1)</f>
        <v>#DIV/0!</v>
      </c>
      <c r="S100" t="e">
        <f>AVERAGEIFS('Region 25'!$W$2:$W$499,'Region 25'!$X$2:$X$499,$B100,'Region 25'!$S$2:$S$499,L$1)</f>
        <v>#DIV/0!</v>
      </c>
      <c r="T100" t="e">
        <f>AVERAGEIFS('Region 25'!$W$2:$W$499,'Region 25'!$X$2:$X$499,$B100,'Region 25'!$S$2:$S$499,M$1)</f>
        <v>#DIV/0!</v>
      </c>
      <c r="U100" t="e">
        <f>AVERAGEIFS('Region 25'!$W$2:$W$499,'Region 25'!$X$2:$X$499,$B100,'Region 25'!$S$2:$S$499,N$1)</f>
        <v>#DIV/0!</v>
      </c>
      <c r="V100" t="e">
        <f>AVERAGEIFS('Region 25'!$W$2:$W$499,'Region 25'!$X$2:$X$499,$B100,'Region 25'!$S$2:$S$499,O$1)</f>
        <v>#DIV/0!</v>
      </c>
    </row>
    <row r="101" spans="1:22" x14ac:dyDescent="0.3">
      <c r="A101">
        <f t="shared" si="20"/>
        <v>25</v>
      </c>
      <c r="B101">
        <f t="shared" si="21"/>
        <v>4</v>
      </c>
      <c r="C101" s="96" t="str">
        <f t="shared" si="22"/>
        <v>-</v>
      </c>
      <c r="D101" s="96" t="str">
        <f t="shared" si="23"/>
        <v>-</v>
      </c>
      <c r="E101" s="96" t="str">
        <f t="shared" si="24"/>
        <v>-</v>
      </c>
      <c r="F101" s="96" t="str">
        <f t="shared" si="25"/>
        <v>-</v>
      </c>
      <c r="G101" s="96" t="str">
        <f t="shared" si="26"/>
        <v>-</v>
      </c>
      <c r="H101" s="96" t="str">
        <f t="shared" si="27"/>
        <v>-</v>
      </c>
      <c r="J101" s="94">
        <f>COUNTIFS('Region 25'!$X$2:$X$499,$B101,'Region 25'!$S$2:$S$499,J$1)</f>
        <v>0</v>
      </c>
      <c r="K101" s="94">
        <f>COUNTIFS('Region 25'!$X$2:$X$499,$B101,'Region 25'!$S$2:$S$499,K$1)</f>
        <v>0</v>
      </c>
      <c r="L101" s="94">
        <f>COUNTIFS('Region 25'!$X$2:$X$499,$B101,'Region 25'!$S$2:$S$499,L$1)</f>
        <v>0</v>
      </c>
      <c r="M101" s="94">
        <f>COUNTIFS('Region 25'!$X$2:$X$499,$B101,'Region 25'!$S$2:$S$499,M$1)</f>
        <v>0</v>
      </c>
      <c r="N101" s="94">
        <f>COUNTIFS('Region 25'!$X$2:$X$499,$B101,'Region 25'!$S$2:$S$499,N$1)</f>
        <v>0</v>
      </c>
      <c r="O101" s="94">
        <f>COUNTIFS('Region 25'!$X$2:$X$499,$B101,'Region 25'!$S$2:$S$499,O$1)</f>
        <v>0</v>
      </c>
      <c r="Q101" t="e">
        <f>AVERAGEIFS('Region 25'!$W$2:$W$499,'Region 25'!$X$2:$X$499,$B101,'Region 25'!$S$2:$S$499,J$1)</f>
        <v>#DIV/0!</v>
      </c>
      <c r="R101" t="e">
        <f>AVERAGEIFS('Region 25'!$W$2:$W$499,'Region 25'!$X$2:$X$499,$B101,'Region 25'!$S$2:$S$499,K$1)</f>
        <v>#DIV/0!</v>
      </c>
      <c r="S101" t="e">
        <f>AVERAGEIFS('Region 25'!$W$2:$W$499,'Region 25'!$X$2:$X$499,$B101,'Region 25'!$S$2:$S$499,L$1)</f>
        <v>#DIV/0!</v>
      </c>
      <c r="T101" t="e">
        <f>AVERAGEIFS('Region 25'!$W$2:$W$499,'Region 25'!$X$2:$X$499,$B101,'Region 25'!$S$2:$S$499,M$1)</f>
        <v>#DIV/0!</v>
      </c>
      <c r="U101" t="e">
        <f>AVERAGEIFS('Region 25'!$W$2:$W$499,'Region 25'!$X$2:$X$499,$B101,'Region 25'!$S$2:$S$499,N$1)</f>
        <v>#DIV/0!</v>
      </c>
      <c r="V101" t="e">
        <f>AVERAGEIFS('Region 25'!$W$2:$W$499,'Region 25'!$X$2:$X$499,$B101,'Region 25'!$S$2:$S$499,O$1)</f>
        <v>#DIV/0!</v>
      </c>
    </row>
    <row r="102" spans="1:22" x14ac:dyDescent="0.3">
      <c r="A102">
        <f t="shared" si="20"/>
        <v>26</v>
      </c>
      <c r="B102">
        <f t="shared" si="21"/>
        <v>1</v>
      </c>
      <c r="C102" s="96" t="str">
        <f t="shared" si="22"/>
        <v>-</v>
      </c>
      <c r="D102" s="96" t="str">
        <f t="shared" si="23"/>
        <v>-</v>
      </c>
      <c r="E102" s="96" t="str">
        <f t="shared" si="24"/>
        <v>-</v>
      </c>
      <c r="F102" s="96" t="str">
        <f t="shared" si="25"/>
        <v>-</v>
      </c>
      <c r="G102" s="96" t="str">
        <f t="shared" si="26"/>
        <v>-</v>
      </c>
      <c r="H102" s="96" t="str">
        <f t="shared" si="27"/>
        <v>-</v>
      </c>
      <c r="J102">
        <f>COUNTIFS('Region 26'!$X$5:$X$500,$B102,'Region 26'!$S$5:$S$500,J$1)</f>
        <v>0</v>
      </c>
      <c r="K102">
        <f>COUNTIFS('Region 26'!$X$5:$X$500,$B102,'Region 26'!$S$5:$S$500,K$1)</f>
        <v>0</v>
      </c>
      <c r="L102">
        <f>COUNTIFS('Region 26'!$X$5:$X$500,$B102,'Region 26'!$S$5:$S$500,L$1)</f>
        <v>0</v>
      </c>
      <c r="M102">
        <f>COUNTIFS('Region 26'!$X$5:$X$500,$B102,'Region 26'!$S$5:$S$500,M$1)</f>
        <v>0</v>
      </c>
      <c r="N102">
        <f>COUNTIFS('Region 26'!$X$5:$X$500,$B102,'Region 26'!$S$5:$S$500,N$1)</f>
        <v>0</v>
      </c>
      <c r="O102">
        <f>COUNTIFS('Region 26'!$X$5:$X$500,$B102,'Region 26'!$S$5:$S$500,O$1)</f>
        <v>0</v>
      </c>
      <c r="Q102" s="94" t="e">
        <f ca="1">AVERAGEIFS('Region 26'!$W$5:$W$313,'Region 26'!$X$5:$X$313,Export!$B102,'Region 26'!$S$5:$S$313,J$1)</f>
        <v>#DIV/0!</v>
      </c>
      <c r="R102" s="94" t="e">
        <f ca="1">AVERAGEIFS('Region 26'!$W$5:$W$313,'Region 26'!$X$5:$X$313,Export!$B102,'Region 26'!$S$5:$S$313,K$1)</f>
        <v>#DIV/0!</v>
      </c>
      <c r="S102" s="94" t="e">
        <f ca="1">AVERAGEIFS('Region 26'!$W$5:$W$313,'Region 26'!$X$5:$X$313,Export!$B102,'Region 26'!$S$5:$S$313,L$1)</f>
        <v>#DIV/0!</v>
      </c>
      <c r="T102" s="94" t="e">
        <f ca="1">AVERAGEIFS('Region 26'!$W$5:$W$313,'Region 26'!$X$5:$X$313,Export!$B102,'Region 26'!$S$5:$S$313,M$1)</f>
        <v>#DIV/0!</v>
      </c>
      <c r="U102" s="94" t="e">
        <f ca="1">AVERAGEIFS('Region 26'!$W$5:$W$313,'Region 26'!$X$5:$X$313,Export!$B102,'Region 26'!$S$5:$S$313,N$1)</f>
        <v>#DIV/0!</v>
      </c>
      <c r="V102" s="94" t="e">
        <f ca="1">AVERAGEIFS('Region 26'!$W$5:$W$313,'Region 26'!$X$5:$X$313,Export!$B102,'Region 26'!$S$5:$S$313,O$1)</f>
        <v>#DIV/0!</v>
      </c>
    </row>
    <row r="103" spans="1:22" x14ac:dyDescent="0.3">
      <c r="A103">
        <f t="shared" si="20"/>
        <v>26</v>
      </c>
      <c r="B103">
        <f t="shared" si="21"/>
        <v>2</v>
      </c>
      <c r="C103" s="96" t="str">
        <f t="shared" si="22"/>
        <v>-</v>
      </c>
      <c r="D103" s="96" t="str">
        <f t="shared" si="23"/>
        <v>-</v>
      </c>
      <c r="E103" s="96" t="str">
        <f t="shared" si="24"/>
        <v>-</v>
      </c>
      <c r="F103" s="96" t="str">
        <f t="shared" si="25"/>
        <v>-</v>
      </c>
      <c r="G103" s="96" t="str">
        <f t="shared" si="26"/>
        <v>-</v>
      </c>
      <c r="H103" s="96" t="str">
        <f t="shared" si="27"/>
        <v>-</v>
      </c>
      <c r="J103">
        <f>COUNTIFS('Region 26'!$X$5:$X$500,$B103,'Region 26'!$S$5:$S$500,J$1)</f>
        <v>0</v>
      </c>
      <c r="K103">
        <f>COUNTIFS('Region 26'!$X$5:$X$500,$B103,'Region 26'!$S$5:$S$500,K$1)</f>
        <v>0</v>
      </c>
      <c r="L103">
        <f>COUNTIFS('Region 26'!$X$5:$X$500,$B103,'Region 26'!$S$5:$S$500,L$1)</f>
        <v>0</v>
      </c>
      <c r="M103">
        <f>COUNTIFS('Region 26'!$X$5:$X$500,$B103,'Region 26'!$S$5:$S$500,M$1)</f>
        <v>0</v>
      </c>
      <c r="N103">
        <f>COUNTIFS('Region 26'!$X$5:$X$500,$B103,'Region 26'!$S$5:$S$500,N$1)</f>
        <v>0</v>
      </c>
      <c r="O103">
        <f>COUNTIFS('Region 26'!$X$5:$X$500,$B103,'Region 26'!$S$5:$S$500,O$1)</f>
        <v>0</v>
      </c>
      <c r="Q103" s="94" t="e">
        <f ca="1">AVERAGEIFS('Region 26'!$W$5:$W$313,'Region 26'!$X$5:$X$313,Export!$B103,'Region 26'!$S$5:$S$313,J$1)</f>
        <v>#DIV/0!</v>
      </c>
      <c r="R103" s="94" t="e">
        <f ca="1">AVERAGEIFS('Region 26'!$W$5:$W$313,'Region 26'!$X$5:$X$313,Export!$B103,'Region 26'!$S$5:$S$313,K$1)</f>
        <v>#DIV/0!</v>
      </c>
      <c r="S103" s="94" t="e">
        <f ca="1">AVERAGEIFS('Region 26'!$W$5:$W$313,'Region 26'!$X$5:$X$313,Export!$B103,'Region 26'!$S$5:$S$313,L$1)</f>
        <v>#DIV/0!</v>
      </c>
      <c r="T103" s="94" t="e">
        <f ca="1">AVERAGEIFS('Region 26'!$W$5:$W$313,'Region 26'!$X$5:$X$313,Export!$B103,'Region 26'!$S$5:$S$313,M$1)</f>
        <v>#DIV/0!</v>
      </c>
      <c r="U103" s="94" t="e">
        <f ca="1">AVERAGEIFS('Region 26'!$W$5:$W$313,'Region 26'!$X$5:$X$313,Export!$B103,'Region 26'!$S$5:$S$313,N$1)</f>
        <v>#DIV/0!</v>
      </c>
      <c r="V103" s="94" t="e">
        <f ca="1">AVERAGEIFS('Region 26'!$W$5:$W$313,'Region 26'!$X$5:$X$313,Export!$B103,'Region 26'!$S$5:$S$313,O$1)</f>
        <v>#DIV/0!</v>
      </c>
    </row>
    <row r="104" spans="1:22" x14ac:dyDescent="0.3">
      <c r="A104">
        <f t="shared" si="20"/>
        <v>26</v>
      </c>
      <c r="B104">
        <f t="shared" si="21"/>
        <v>3</v>
      </c>
      <c r="C104" s="96" t="str">
        <f t="shared" si="22"/>
        <v>-</v>
      </c>
      <c r="D104" s="96" t="str">
        <f t="shared" si="23"/>
        <v>-</v>
      </c>
      <c r="E104" s="96" t="str">
        <f t="shared" si="24"/>
        <v>-</v>
      </c>
      <c r="F104" s="96" t="str">
        <f t="shared" si="25"/>
        <v>-</v>
      </c>
      <c r="G104" s="96" t="str">
        <f t="shared" si="26"/>
        <v>-</v>
      </c>
      <c r="H104" s="96" t="str">
        <f t="shared" si="27"/>
        <v>-</v>
      </c>
      <c r="J104">
        <f>COUNTIFS('Region 26'!$X$5:$X$500,$B104,'Region 26'!$S$5:$S$500,J$1)</f>
        <v>0</v>
      </c>
      <c r="K104">
        <f>COUNTIFS('Region 26'!$X$5:$X$500,$B104,'Region 26'!$S$5:$S$500,K$1)</f>
        <v>0</v>
      </c>
      <c r="L104">
        <f>COUNTIFS('Region 26'!$X$5:$X$500,$B104,'Region 26'!$S$5:$S$500,L$1)</f>
        <v>0</v>
      </c>
      <c r="M104">
        <f>COUNTIFS('Region 26'!$X$5:$X$500,$B104,'Region 26'!$S$5:$S$500,M$1)</f>
        <v>0</v>
      </c>
      <c r="N104">
        <f>COUNTIFS('Region 26'!$X$5:$X$500,$B104,'Region 26'!$S$5:$S$500,N$1)</f>
        <v>0</v>
      </c>
      <c r="O104">
        <f>COUNTIFS('Region 26'!$X$5:$X$500,$B104,'Region 26'!$S$5:$S$500,O$1)</f>
        <v>0</v>
      </c>
      <c r="Q104" s="94" t="e">
        <f ca="1">AVERAGEIFS('Region 26'!$W$5:$W$313,'Region 26'!$X$5:$X$313,Export!$B104,'Region 26'!$S$5:$S$313,J$1)</f>
        <v>#DIV/0!</v>
      </c>
      <c r="R104" s="94" t="e">
        <f ca="1">AVERAGEIFS('Region 26'!$W$5:$W$313,'Region 26'!$X$5:$X$313,Export!$B104,'Region 26'!$S$5:$S$313,K$1)</f>
        <v>#DIV/0!</v>
      </c>
      <c r="S104" s="94" t="e">
        <f ca="1">AVERAGEIFS('Region 26'!$W$5:$W$313,'Region 26'!$X$5:$X$313,Export!$B104,'Region 26'!$S$5:$S$313,L$1)</f>
        <v>#DIV/0!</v>
      </c>
      <c r="T104" s="94" t="e">
        <f ca="1">AVERAGEIFS('Region 26'!$W$5:$W$313,'Region 26'!$X$5:$X$313,Export!$B104,'Region 26'!$S$5:$S$313,M$1)</f>
        <v>#DIV/0!</v>
      </c>
      <c r="U104" s="94" t="e">
        <f ca="1">AVERAGEIFS('Region 26'!$W$5:$W$313,'Region 26'!$X$5:$X$313,Export!$B104,'Region 26'!$S$5:$S$313,N$1)</f>
        <v>#DIV/0!</v>
      </c>
      <c r="V104" s="94" t="e">
        <f ca="1">AVERAGEIFS('Region 26'!$W$5:$W$313,'Region 26'!$X$5:$X$313,Export!$B104,'Region 26'!$S$5:$S$313,O$1)</f>
        <v>#DIV/0!</v>
      </c>
    </row>
    <row r="105" spans="1:22" x14ac:dyDescent="0.3">
      <c r="A105">
        <f t="shared" si="20"/>
        <v>26</v>
      </c>
      <c r="B105">
        <f t="shared" si="21"/>
        <v>4</v>
      </c>
      <c r="C105" s="96" t="str">
        <f t="shared" si="22"/>
        <v>-</v>
      </c>
      <c r="D105" s="96" t="str">
        <f t="shared" si="23"/>
        <v>-</v>
      </c>
      <c r="E105" s="96" t="str">
        <f t="shared" si="24"/>
        <v>-</v>
      </c>
      <c r="F105" s="96" t="str">
        <f t="shared" si="25"/>
        <v>-</v>
      </c>
      <c r="G105" s="96" t="str">
        <f t="shared" si="26"/>
        <v>-</v>
      </c>
      <c r="H105" s="96" t="str">
        <f t="shared" si="27"/>
        <v>-</v>
      </c>
      <c r="J105">
        <f>COUNTIFS('Region 26'!$X$5:$X$500,$B105,'Region 26'!$S$5:$S$500,J$1)</f>
        <v>0</v>
      </c>
      <c r="K105">
        <f>COUNTIFS('Region 26'!$X$5:$X$500,$B105,'Region 26'!$S$5:$S$500,K$1)</f>
        <v>0</v>
      </c>
      <c r="L105">
        <f>COUNTIFS('Region 26'!$X$5:$X$500,$B105,'Region 26'!$S$5:$S$500,L$1)</f>
        <v>0</v>
      </c>
      <c r="M105">
        <f>COUNTIFS('Region 26'!$X$5:$X$500,$B105,'Region 26'!$S$5:$S$500,M$1)</f>
        <v>0</v>
      </c>
      <c r="N105">
        <f>COUNTIFS('Region 26'!$X$5:$X$500,$B105,'Region 26'!$S$5:$S$500,N$1)</f>
        <v>0</v>
      </c>
      <c r="O105">
        <f>COUNTIFS('Region 26'!$X$5:$X$500,$B105,'Region 26'!$S$5:$S$500,O$1)</f>
        <v>0</v>
      </c>
      <c r="Q105" s="94" t="e">
        <f ca="1">AVERAGEIFS('Region 26'!$W$5:$W$313,'Region 26'!$X$5:$X$313,Export!$B105,'Region 26'!$S$5:$S$313,J$1)</f>
        <v>#DIV/0!</v>
      </c>
      <c r="R105" s="94" t="e">
        <f ca="1">AVERAGEIFS('Region 26'!$W$5:$W$313,'Region 26'!$X$5:$X$313,Export!$B105,'Region 26'!$S$5:$S$313,K$1)</f>
        <v>#DIV/0!</v>
      </c>
      <c r="S105" s="94" t="e">
        <f ca="1">AVERAGEIFS('Region 26'!$W$5:$W$313,'Region 26'!$X$5:$X$313,Export!$B105,'Region 26'!$S$5:$S$313,L$1)</f>
        <v>#DIV/0!</v>
      </c>
      <c r="T105" s="94" t="e">
        <f ca="1">AVERAGEIFS('Region 26'!$W$5:$W$313,'Region 26'!$X$5:$X$313,Export!$B105,'Region 26'!$S$5:$S$313,M$1)</f>
        <v>#DIV/0!</v>
      </c>
      <c r="U105" s="94" t="e">
        <f ca="1">AVERAGEIFS('Region 26'!$W$5:$W$313,'Region 26'!$X$5:$X$313,Export!$B105,'Region 26'!$S$5:$S$313,N$1)</f>
        <v>#DIV/0!</v>
      </c>
      <c r="V105" s="94" t="e">
        <f ca="1">AVERAGEIFS('Region 26'!$W$5:$W$313,'Region 26'!$X$5:$X$313,Export!$B105,'Region 26'!$S$5:$S$313,O$1)</f>
        <v>#DIV/0!</v>
      </c>
    </row>
    <row r="106" spans="1:22" x14ac:dyDescent="0.3">
      <c r="A106">
        <f t="shared" si="20"/>
        <v>27</v>
      </c>
      <c r="B106">
        <f t="shared" si="21"/>
        <v>1</v>
      </c>
      <c r="C106" s="96"/>
      <c r="D106" s="96"/>
      <c r="E106" s="96"/>
      <c r="F106" s="96"/>
      <c r="G106" s="96"/>
      <c r="H106" s="96"/>
      <c r="I106" t="s">
        <v>875</v>
      </c>
      <c r="J106" s="97">
        <f>SUM(J2,J6,J10,J14,J18,J22,J26,J30,J34,J38,J42,J46,J50,J54,J58,J62,J66,J70,J74,J78,J82,J86,J90,J94,J98,J102,)</f>
        <v>87</v>
      </c>
      <c r="K106" s="97">
        <f t="shared" ref="K106:O106" si="28">SUM(K2,K6,K10,K14,K18,K22,K26,K30,K34,K38,K42,K46,K50,K54,K58,K62,K66,K70,K74,K78,K82,K86,K90,K94,K98,K102,)</f>
        <v>104</v>
      </c>
      <c r="L106" s="97">
        <f t="shared" si="28"/>
        <v>121</v>
      </c>
      <c r="M106" s="97">
        <f t="shared" si="28"/>
        <v>13</v>
      </c>
      <c r="N106" s="97">
        <f t="shared" si="28"/>
        <v>19</v>
      </c>
      <c r="O106" s="97">
        <f t="shared" si="28"/>
        <v>43</v>
      </c>
      <c r="Q106" s="98"/>
      <c r="R106" s="98"/>
      <c r="S106" s="98"/>
      <c r="T106" s="98"/>
      <c r="U106" s="98"/>
      <c r="V106" s="98"/>
    </row>
    <row r="107" spans="1:22" x14ac:dyDescent="0.3">
      <c r="A107">
        <f t="shared" si="20"/>
        <v>27</v>
      </c>
      <c r="B107">
        <f t="shared" si="21"/>
        <v>2</v>
      </c>
      <c r="C107" s="96"/>
      <c r="D107" s="96"/>
      <c r="E107" s="96"/>
      <c r="F107" s="96"/>
      <c r="G107" s="96"/>
      <c r="H107" s="96"/>
      <c r="I107" t="s">
        <v>876</v>
      </c>
      <c r="J107" s="97">
        <f>SUM(J3,J7,J11,J15,J19,J23,J27,J31,J35,J39,J43,J47,J51,J55,J59,J63,J67,J71,J75,J79,J83,J87,J91,J95,J99,J103)</f>
        <v>8</v>
      </c>
      <c r="K107" s="97">
        <f t="shared" ref="K107:O109" si="29">SUM(K3,K7,K11,K15,K19,K23,K27,K31,K35,K39,K43,K47,K51,K55,K59,K63,K67,K71,K75,K79,K83,K87,K91,K95,K99,K103)</f>
        <v>11</v>
      </c>
      <c r="L107" s="97">
        <f t="shared" si="29"/>
        <v>10</v>
      </c>
      <c r="M107" s="97">
        <f t="shared" si="29"/>
        <v>4</v>
      </c>
      <c r="N107" s="97">
        <f t="shared" si="29"/>
        <v>1</v>
      </c>
      <c r="O107" s="97">
        <f t="shared" si="29"/>
        <v>1</v>
      </c>
      <c r="Q107" s="98"/>
      <c r="R107" s="98"/>
      <c r="S107" s="98"/>
      <c r="T107" s="98"/>
      <c r="U107" s="98"/>
      <c r="V107" s="98"/>
    </row>
    <row r="108" spans="1:22" x14ac:dyDescent="0.3">
      <c r="A108">
        <f t="shared" si="20"/>
        <v>27</v>
      </c>
      <c r="B108">
        <f t="shared" si="21"/>
        <v>3</v>
      </c>
      <c r="C108" s="96"/>
      <c r="D108" s="96"/>
      <c r="E108" s="96"/>
      <c r="F108" s="96"/>
      <c r="G108" s="96"/>
      <c r="H108" s="96"/>
      <c r="I108" t="s">
        <v>877</v>
      </c>
      <c r="J108" s="97">
        <f>SUM(J4,J8,J12,J16,J20,J24,J28,J32,J36,J40,J44,J48,J52,J56,J60,J64,J68,J72,J76,J80,J84,J88,J92,J96,J100,J104)</f>
        <v>53</v>
      </c>
      <c r="K108" s="97">
        <f t="shared" si="29"/>
        <v>84</v>
      </c>
      <c r="L108" s="97">
        <f t="shared" si="29"/>
        <v>82</v>
      </c>
      <c r="M108" s="97">
        <f t="shared" si="29"/>
        <v>22</v>
      </c>
      <c r="N108" s="97">
        <f t="shared" si="29"/>
        <v>17</v>
      </c>
      <c r="O108" s="97">
        <f t="shared" si="29"/>
        <v>33</v>
      </c>
      <c r="Q108" s="98"/>
      <c r="R108" s="98"/>
      <c r="S108" s="98"/>
      <c r="T108" s="98"/>
      <c r="U108" s="98"/>
      <c r="V108" s="98"/>
    </row>
    <row r="109" spans="1:22" x14ac:dyDescent="0.3">
      <c r="A109">
        <f t="shared" si="20"/>
        <v>27</v>
      </c>
      <c r="B109">
        <f t="shared" si="21"/>
        <v>4</v>
      </c>
      <c r="C109" s="96"/>
      <c r="D109" s="96"/>
      <c r="E109" s="96"/>
      <c r="F109" s="96"/>
      <c r="G109" s="96"/>
      <c r="H109" s="96"/>
      <c r="I109" t="s">
        <v>878</v>
      </c>
      <c r="J109" s="97">
        <f>SUM(J5,J9,J13,J17,J21,J25,J29,J33,J37,J41,J45,J49,J53,J57,J61,J65,J69,J73,J77,J81,J85,J89,J93,J97,J101,J105)</f>
        <v>30</v>
      </c>
      <c r="K109" s="97">
        <f t="shared" si="29"/>
        <v>56</v>
      </c>
      <c r="L109" s="97">
        <f t="shared" si="29"/>
        <v>36</v>
      </c>
      <c r="M109" s="97">
        <f t="shared" si="29"/>
        <v>1</v>
      </c>
      <c r="N109" s="97">
        <f t="shared" si="29"/>
        <v>6</v>
      </c>
      <c r="O109" s="97">
        <f t="shared" si="29"/>
        <v>25</v>
      </c>
      <c r="Q109" s="98"/>
      <c r="R109" s="98"/>
      <c r="S109" s="98"/>
      <c r="T109" s="98"/>
      <c r="U109" s="98"/>
      <c r="V109" s="98"/>
    </row>
    <row r="110" spans="1:22" x14ac:dyDescent="0.3">
      <c r="C110" t="s">
        <v>30</v>
      </c>
      <c r="D110" t="s">
        <v>65</v>
      </c>
      <c r="E110" t="s">
        <v>67</v>
      </c>
      <c r="F110" t="s">
        <v>414</v>
      </c>
      <c r="G110" t="s">
        <v>290</v>
      </c>
      <c r="H110" t="s">
        <v>437</v>
      </c>
    </row>
    <row r="111" spans="1:22" x14ac:dyDescent="0.3">
      <c r="C111">
        <v>2</v>
      </c>
      <c r="D111">
        <v>3</v>
      </c>
      <c r="E111">
        <v>4</v>
      </c>
      <c r="F111">
        <v>5</v>
      </c>
      <c r="G111">
        <v>6</v>
      </c>
      <c r="H111">
        <v>7</v>
      </c>
    </row>
    <row r="112" spans="1:22" x14ac:dyDescent="0.3">
      <c r="A112" t="s">
        <v>879</v>
      </c>
      <c r="B112">
        <v>1</v>
      </c>
      <c r="C112" s="96">
        <f ca="1">Boxplots!G630</f>
        <v>32.629322892548593</v>
      </c>
      <c r="D112" s="96">
        <f ca="1">Boxplots!C630</f>
        <v>846.3285351556251</v>
      </c>
      <c r="E112" s="96">
        <f ca="1">Boxplots!K630</f>
        <v>53.069744949571479</v>
      </c>
      <c r="F112" s="96">
        <f ca="1">Boxplots!O630</f>
        <v>1.7277705573587432</v>
      </c>
      <c r="G112" s="96">
        <f ca="1">Boxplots!S630</f>
        <v>3.5634436415305828</v>
      </c>
      <c r="H112" s="96">
        <f ca="1">Boxplots!W630</f>
        <v>2.6766873055027003</v>
      </c>
    </row>
    <row r="113" spans="2:8" x14ac:dyDescent="0.3">
      <c r="B113">
        <v>2</v>
      </c>
      <c r="C113" s="96">
        <f ca="1">Boxplots!H630</f>
        <v>32.885954043697943</v>
      </c>
      <c r="D113" s="96">
        <f ca="1">Boxplots!D630</f>
        <v>1208.1312852136894</v>
      </c>
      <c r="E113" s="96">
        <f ca="1">Boxplots!L630</f>
        <v>34.967952298701427</v>
      </c>
      <c r="F113" s="96">
        <f ca="1">Boxplots!P630</f>
        <v>7.8927836566725466E-3</v>
      </c>
      <c r="G113" s="96">
        <f ca="1">Boxplots!T630</f>
        <v>0.23425925925925928</v>
      </c>
      <c r="H113" s="96">
        <f ca="1">Boxplots!X630</f>
        <v>1.0714285714285714</v>
      </c>
    </row>
    <row r="114" spans="2:8" x14ac:dyDescent="0.3">
      <c r="B114">
        <v>3</v>
      </c>
      <c r="C114" s="96">
        <f ca="1">Boxplots!I630</f>
        <v>97.359592534321166</v>
      </c>
      <c r="D114" s="96">
        <f ca="1">Boxplots!E630</f>
        <v>995.91852899196533</v>
      </c>
      <c r="E114" s="96">
        <f ca="1">Boxplots!M630</f>
        <v>37.165230158382208</v>
      </c>
      <c r="F114" s="96">
        <f ca="1">Boxplots!Q630</f>
        <v>0.30616553919116662</v>
      </c>
      <c r="G114" s="96">
        <f ca="1">Boxplots!U630</f>
        <v>1.9419292556686842</v>
      </c>
      <c r="H114" s="96">
        <f ca="1">Boxplots!Y630</f>
        <v>6.3531755971641015</v>
      </c>
    </row>
    <row r="115" spans="2:8" x14ac:dyDescent="0.3">
      <c r="B115">
        <v>4</v>
      </c>
      <c r="C115" s="96">
        <f ca="1">Boxplots!J630</f>
        <v>116.98211380575906</v>
      </c>
      <c r="D115" s="96">
        <f ca="1">Boxplots!F630</f>
        <v>910.20572293435953</v>
      </c>
      <c r="E115" s="96">
        <f ca="1">Boxplots!N630</f>
        <v>54.476766411717499</v>
      </c>
      <c r="F115" s="96">
        <f ca="1">Boxplots!R630</f>
        <v>1.3888888888888888E-2</v>
      </c>
      <c r="G115" s="96">
        <f ca="1">Boxplots!V630</f>
        <v>2.2022643021626074</v>
      </c>
      <c r="H115" s="96">
        <f ca="1">Boxplots!Z630</f>
        <v>4.4237189028793136</v>
      </c>
    </row>
    <row r="117" spans="2:8" x14ac:dyDescent="0.3">
      <c r="C117" s="96"/>
      <c r="D117" s="96"/>
      <c r="E117" s="96"/>
      <c r="F117" s="96"/>
      <c r="G117" s="96"/>
      <c r="H117" s="96"/>
    </row>
    <row r="118" spans="2:8" x14ac:dyDescent="0.3">
      <c r="C118" s="96"/>
      <c r="D118" s="96"/>
      <c r="E118" s="96"/>
      <c r="F118" s="96"/>
      <c r="G118" s="96"/>
      <c r="H118" s="96"/>
    </row>
    <row r="119" spans="2:8" x14ac:dyDescent="0.3">
      <c r="C119" s="96"/>
      <c r="D119" s="96"/>
      <c r="E119" s="115"/>
      <c r="F119" s="96"/>
      <c r="G119" s="96"/>
      <c r="H119" s="115"/>
    </row>
    <row r="120" spans="2:8" x14ac:dyDescent="0.3">
      <c r="C120" s="96"/>
      <c r="D120" s="96"/>
      <c r="E120" s="115"/>
      <c r="F120" s="96"/>
      <c r="G120" s="96"/>
      <c r="H120" s="115"/>
    </row>
    <row r="122" spans="2:8" x14ac:dyDescent="0.3">
      <c r="C122" s="96"/>
      <c r="D122" s="96"/>
      <c r="E122" s="96"/>
      <c r="F122" s="96"/>
      <c r="G122" s="96"/>
      <c r="H122" s="96"/>
    </row>
    <row r="123" spans="2:8" x14ac:dyDescent="0.3">
      <c r="C123" s="96"/>
      <c r="D123" s="96"/>
      <c r="E123" s="96"/>
      <c r="F123" s="96"/>
      <c r="G123" s="96"/>
      <c r="H123" s="96"/>
    </row>
    <row r="124" spans="2:8" x14ac:dyDescent="0.3">
      <c r="C124" s="96"/>
      <c r="D124" s="96"/>
      <c r="E124" s="96"/>
      <c r="F124" s="96"/>
      <c r="G124" s="96"/>
      <c r="H124" s="96"/>
    </row>
    <row r="125" spans="2:8" x14ac:dyDescent="0.3">
      <c r="C125" s="96"/>
      <c r="D125" s="96"/>
      <c r="E125" s="96"/>
      <c r="F125" s="96"/>
      <c r="G125" s="96"/>
      <c r="H125" s="96"/>
    </row>
  </sheetData>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B495"/>
  <sheetViews>
    <sheetView topLeftCell="A37" zoomScaleNormal="100" workbookViewId="0">
      <selection activeCell="I59" sqref="I59"/>
    </sheetView>
  </sheetViews>
  <sheetFormatPr defaultColWidth="8.77734375" defaultRowHeight="14.4" x14ac:dyDescent="0.3"/>
  <cols>
    <col min="1" max="1" width="10.21875" customWidth="1"/>
    <col min="3" max="3" width="14" customWidth="1"/>
    <col min="4" max="6" width="14.77734375" customWidth="1"/>
    <col min="7" max="7" width="9.44140625" customWidth="1"/>
    <col min="8" max="8" width="12.77734375" customWidth="1"/>
    <col min="9" max="10" width="12.44140625" customWidth="1"/>
    <col min="11" max="11" width="14.77734375" customWidth="1"/>
    <col min="14" max="14" width="11.21875" customWidth="1"/>
    <col min="15" max="15" width="11.44140625" customWidth="1"/>
    <col min="16" max="16" width="11.21875" customWidth="1"/>
    <col min="17" max="17" width="14" customWidth="1"/>
  </cols>
  <sheetData>
    <row r="1" spans="1:158" ht="70.5" customHeight="1" x14ac:dyDescent="0.3">
      <c r="A1" t="s">
        <v>416</v>
      </c>
      <c r="B1" s="12"/>
      <c r="C1" s="12" t="s">
        <v>882</v>
      </c>
      <c r="D1" s="12" t="s">
        <v>883</v>
      </c>
      <c r="E1" s="12" t="s">
        <v>884</v>
      </c>
      <c r="F1" s="12" t="s">
        <v>885</v>
      </c>
      <c r="G1" s="8"/>
      <c r="H1" s="12" t="s">
        <v>882</v>
      </c>
      <c r="I1" s="12" t="s">
        <v>883</v>
      </c>
      <c r="J1" s="12" t="s">
        <v>886</v>
      </c>
      <c r="K1" s="12" t="s">
        <v>885</v>
      </c>
      <c r="L1" s="8"/>
      <c r="M1" s="12" t="s">
        <v>887</v>
      </c>
      <c r="N1" s="12" t="s">
        <v>882</v>
      </c>
      <c r="O1" s="12" t="s">
        <v>883</v>
      </c>
      <c r="P1" s="12" t="s">
        <v>884</v>
      </c>
      <c r="Q1" s="12" t="s">
        <v>885</v>
      </c>
      <c r="R1" s="99"/>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row>
    <row r="2" spans="1:158" s="100" customFormat="1" x14ac:dyDescent="0.3">
      <c r="A2" s="100" t="s">
        <v>873</v>
      </c>
      <c r="B2" s="101" t="s">
        <v>202</v>
      </c>
      <c r="C2" s="102">
        <v>1</v>
      </c>
      <c r="D2" s="102">
        <v>2</v>
      </c>
      <c r="E2" s="102">
        <v>3</v>
      </c>
      <c r="F2" s="102">
        <v>4</v>
      </c>
      <c r="G2" s="12"/>
      <c r="H2" s="102">
        <v>1</v>
      </c>
      <c r="I2" s="102">
        <v>2</v>
      </c>
      <c r="J2" s="102">
        <v>3</v>
      </c>
      <c r="K2" s="102">
        <v>4</v>
      </c>
      <c r="L2" s="12"/>
      <c r="M2" s="102" t="s">
        <v>888</v>
      </c>
      <c r="N2" s="102">
        <v>1</v>
      </c>
      <c r="O2" s="102">
        <v>2</v>
      </c>
      <c r="P2" s="102">
        <v>3</v>
      </c>
      <c r="Q2" s="102">
        <v>4</v>
      </c>
      <c r="R2" s="99"/>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row>
    <row r="3" spans="1:158" s="6" customFormat="1" x14ac:dyDescent="0.3">
      <c r="A3" s="6">
        <v>1</v>
      </c>
      <c r="B3" s="6" t="s">
        <v>58</v>
      </c>
      <c r="C3" s="93">
        <f t="shared" ref="C3:C34" si="0">IF(H3=0,"-",N3)</f>
        <v>42.878008658008653</v>
      </c>
      <c r="D3" s="93" t="str">
        <f t="shared" ref="D3:D34" si="1">IF(I3=0,"-",O3)</f>
        <v>-</v>
      </c>
      <c r="E3" s="93" t="str">
        <f t="shared" ref="E3:E34" si="2">IF(J3=0,"-",P3)</f>
        <v>-</v>
      </c>
      <c r="F3" s="93">
        <f t="shared" ref="F3:F34" si="3">IF(K3=0,"-",Q3)</f>
        <v>39</v>
      </c>
      <c r="G3" s="12"/>
      <c r="H3" s="103">
        <f>COUNTIFS('Region 1'!$G$2:$G$498,$B3,'Region 1'!$X$2:$X$498,H$2)</f>
        <v>11</v>
      </c>
      <c r="I3" s="103">
        <f>COUNTIFS('Region 1'!$G$2:$G$498,$B3,'Region 1'!$X$2:$X$498,I$2)</f>
        <v>0</v>
      </c>
      <c r="J3" s="103">
        <f>COUNTIFS('Region 1'!$G$2:$G$498,$B3,'Region 1'!$X$2:$X$498,J$2)</f>
        <v>0</v>
      </c>
      <c r="K3" s="103">
        <f>COUNTIFS('Region 1'!$G$2:$G$498,$B3,'Region 1'!$X$2:$X$498,K$2)</f>
        <v>4</v>
      </c>
      <c r="L3" s="12"/>
      <c r="M3" s="103" t="s">
        <v>237</v>
      </c>
      <c r="N3" s="104">
        <f>AVERAGEIFS('Region 1'!$R$2:$R$498, 'Region 1'!$X$2:$X$498,N$2,'Region 1'!$G$2:$G$498, $B3)</f>
        <v>42.878008658008653</v>
      </c>
      <c r="O3" s="104" t="e">
        <f>AVERAGEIFS('Region 1'!$R$2:$R$498, 'Region 1'!$X$2:$X$498,O$2,'Region 1'!$G$2:$G$498, $B3)</f>
        <v>#DIV/0!</v>
      </c>
      <c r="P3" s="104" t="e">
        <f>AVERAGEIFS('Region 1'!$R$2:$R$498, 'Region 1'!$X$2:$X$498,P$2,'Region 1'!$G$2:$G$498, $B3)</f>
        <v>#DIV/0!</v>
      </c>
      <c r="Q3" s="104">
        <f>AVERAGEIFS('Region 1'!$R$2:$R$498, 'Region 1'!$X$2:$X$498,Q$2,'Region 1'!$G$2:$G$498, $B3)</f>
        <v>39</v>
      </c>
      <c r="R3" s="105"/>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row>
    <row r="4" spans="1:158" s="6" customFormat="1" x14ac:dyDescent="0.3">
      <c r="A4" s="6">
        <v>1</v>
      </c>
      <c r="B4" s="6" t="s">
        <v>215</v>
      </c>
      <c r="C4" s="93" t="str">
        <f t="shared" si="0"/>
        <v>-</v>
      </c>
      <c r="D4" s="93" t="str">
        <f t="shared" si="1"/>
        <v>-</v>
      </c>
      <c r="E4" s="93" t="str">
        <f t="shared" si="2"/>
        <v>-</v>
      </c>
      <c r="F4" s="93" t="str">
        <f t="shared" si="3"/>
        <v>-</v>
      </c>
      <c r="G4" s="12"/>
      <c r="H4" s="103">
        <f>COUNTIFS('Region 1'!$G$2:$G$498,$B4,'Region 1'!$X$2:$X$498,H$2)</f>
        <v>0</v>
      </c>
      <c r="I4" s="103">
        <f>COUNTIFS('Region 1'!$G$2:$G$498,$B4,'Region 1'!$X$2:$X$498,I$2)</f>
        <v>0</v>
      </c>
      <c r="J4" s="103">
        <f>COUNTIFS('Region 1'!$G$2:$G$498,$B4,'Region 1'!$X$2:$X$498,J$2)</f>
        <v>0</v>
      </c>
      <c r="K4" s="103">
        <f>COUNTIFS('Region 1'!$G$2:$G$498,$B4,'Region 1'!$X$2:$X$498,K$2)</f>
        <v>0</v>
      </c>
      <c r="L4" s="12"/>
      <c r="M4" s="103" t="s">
        <v>215</v>
      </c>
      <c r="N4" s="104" t="e">
        <f>AVERAGEIFS('Region 1'!$R$2:$R$498, 'Region 1'!$X$2:$X$498,N$2,'Region 1'!$G$2:$G$498, $B4)</f>
        <v>#DIV/0!</v>
      </c>
      <c r="O4" s="104" t="e">
        <f>AVERAGEIFS('Region 1'!$R$2:$R$498, 'Region 1'!$X$2:$X$498,O$2,'Region 1'!$G$2:$G$498, $B4)</f>
        <v>#DIV/0!</v>
      </c>
      <c r="P4" s="104" t="e">
        <f>AVERAGEIFS('Region 1'!$R$2:$R$498, 'Region 1'!$X$2:$X$498,P$2,'Region 1'!$G$2:$G$498, $B4)</f>
        <v>#DIV/0!</v>
      </c>
      <c r="Q4" s="104" t="e">
        <f>AVERAGEIFS('Region 1'!$R$2:$R$498, 'Region 1'!$X$2:$X$498,Q$2,'Region 1'!$G$2:$G$498, $B4)</f>
        <v>#DIV/0!</v>
      </c>
      <c r="R4" s="105"/>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row>
    <row r="5" spans="1:158" s="6" customFormat="1" x14ac:dyDescent="0.3">
      <c r="A5" s="6">
        <v>2</v>
      </c>
      <c r="B5" s="6" t="str">
        <f t="shared" ref="B5:B54" si="4">B3</f>
        <v>Urban</v>
      </c>
      <c r="C5" s="93">
        <f t="shared" si="0"/>
        <v>50.97734513157895</v>
      </c>
      <c r="D5" s="93" t="str">
        <f t="shared" si="1"/>
        <v>-</v>
      </c>
      <c r="E5" s="93">
        <f t="shared" si="2"/>
        <v>25.808453399999994</v>
      </c>
      <c r="F5" s="93">
        <f t="shared" si="3"/>
        <v>20.903175000000001</v>
      </c>
      <c r="G5" s="12"/>
      <c r="H5" s="103">
        <f>COUNTIFS('Region 2'!$G$2:$G$29,$B5,'Region 2'!$X$2:$X$29,H$2)</f>
        <v>19</v>
      </c>
      <c r="I5" s="103">
        <f>COUNTIFS('Region 2'!$G$2:$G$29,$B5,'Region 2'!$X$2:$X$29,I$2)</f>
        <v>0</v>
      </c>
      <c r="J5" s="103">
        <f>COUNTIFS('Region 2'!$G$2:$G$29,$B5,'Region 2'!$X$2:$X$29,J$2)</f>
        <v>6</v>
      </c>
      <c r="K5" s="103">
        <f>COUNTIFS('Region 2'!$G$2:$G$29,$B5,'Region 2'!$X$2:$X$29,K$2)</f>
        <v>3</v>
      </c>
      <c r="L5" s="12"/>
      <c r="M5" s="103" t="s">
        <v>237</v>
      </c>
      <c r="N5" s="104">
        <f>AVERAGEIFS('Region 2'!$R$2:$R$29, 'Region 2'!$X$2:$X$29,N$2,'Region 2'!$G$2:$G$29, $B5)</f>
        <v>50.97734513157895</v>
      </c>
      <c r="O5" s="104" t="e">
        <f>AVERAGEIFS('Region 2'!$R$2:$R$29, 'Region 2'!$X$2:$X$29,O$2,'Region 2'!$G$2:$G$29, $B5)</f>
        <v>#DIV/0!</v>
      </c>
      <c r="P5" s="104">
        <f>AVERAGEIFS('Region 2'!$R$2:$R$29, 'Region 2'!$X$2:$X$29,P$2,'Region 2'!$G$2:$G$29, $B5)</f>
        <v>25.808453399999994</v>
      </c>
      <c r="Q5" s="104">
        <f>AVERAGEIFS('Region 2'!$R$2:$R$29, 'Region 2'!$X$2:$X$29,Q$2,'Region 2'!$G$2:$G$29, $B5)</f>
        <v>20.903175000000001</v>
      </c>
      <c r="R5" s="105"/>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row>
    <row r="6" spans="1:158" s="6" customFormat="1" x14ac:dyDescent="0.3">
      <c r="A6" s="6">
        <v>2</v>
      </c>
      <c r="B6" s="6" t="str">
        <f t="shared" si="4"/>
        <v>Rural</v>
      </c>
      <c r="C6" s="93" t="str">
        <f t="shared" si="0"/>
        <v>-</v>
      </c>
      <c r="D6" s="93" t="str">
        <f t="shared" si="1"/>
        <v>-</v>
      </c>
      <c r="E6" s="93" t="str">
        <f t="shared" si="2"/>
        <v>-</v>
      </c>
      <c r="F6" s="93" t="str">
        <f t="shared" si="3"/>
        <v>-</v>
      </c>
      <c r="G6" s="12"/>
      <c r="H6" s="103">
        <f>COUNTIFS('Region 2'!$G$2:$G$29,$B6,'Region 2'!$X$2:$X$29,H$2)</f>
        <v>0</v>
      </c>
      <c r="I6" s="103">
        <f>COUNTIFS('Region 2'!$G$2:$G$29,$B6,'Region 2'!$X$2:$X$29,I$2)</f>
        <v>0</v>
      </c>
      <c r="J6" s="103">
        <f>COUNTIFS('Region 2'!$G$2:$G$29,$B6,'Region 2'!$X$2:$X$29,J$2)</f>
        <v>0</v>
      </c>
      <c r="K6" s="103">
        <f>COUNTIFS('Region 2'!$G$2:$G$29,$B6,'Region 2'!$X$2:$X$29,K$2)</f>
        <v>0</v>
      </c>
      <c r="L6" s="12"/>
      <c r="M6" s="103" t="s">
        <v>215</v>
      </c>
      <c r="N6" s="104" t="e">
        <f>AVERAGEIFS('Region 2'!$R$2:$R$29, 'Region 2'!$X$2:$X$29,N$2,'Region 2'!$G$2:$G$29, $B6)</f>
        <v>#DIV/0!</v>
      </c>
      <c r="O6" s="104" t="e">
        <f>AVERAGEIFS('Region 2'!$R$2:$R$29, 'Region 2'!$X$2:$X$29,O$2,'Region 2'!$G$2:$G$29, $B6)</f>
        <v>#DIV/0!</v>
      </c>
      <c r="P6" s="104" t="e">
        <f>AVERAGEIFS('Region 2'!$R$2:$R$29, 'Region 2'!$X$2:$X$29,P$2,'Region 2'!$G$2:$G$29, $B6)</f>
        <v>#DIV/0!</v>
      </c>
      <c r="Q6" s="104" t="e">
        <f>AVERAGEIFS('Region 2'!$R$2:$R$29, 'Region 2'!$X$2:$X$29,Q$2,'Region 2'!$G$2:$G$29, $B6)</f>
        <v>#DIV/0!</v>
      </c>
      <c r="R6" s="105"/>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row>
    <row r="7" spans="1:158" s="6" customFormat="1" x14ac:dyDescent="0.3">
      <c r="A7" s="6">
        <v>3</v>
      </c>
      <c r="B7" s="6" t="str">
        <f t="shared" si="4"/>
        <v>Urban</v>
      </c>
      <c r="C7" s="93" t="str">
        <f t="shared" si="0"/>
        <v>-</v>
      </c>
      <c r="D7" s="93" t="str">
        <f t="shared" si="1"/>
        <v>-</v>
      </c>
      <c r="E7" s="93" t="str">
        <f t="shared" si="2"/>
        <v>-</v>
      </c>
      <c r="F7" s="93" t="str">
        <f t="shared" si="3"/>
        <v>-</v>
      </c>
      <c r="G7" s="12"/>
      <c r="H7" s="103">
        <f>COUNTIFS('Region 3'!$G$2:$G$500,$B7,'Region 3'!$X$2:$X$500,H$2)</f>
        <v>0</v>
      </c>
      <c r="I7" s="103">
        <f>COUNTIFS('Region 3'!$G$2:$G$500,$B7,'Region 3'!$X$2:$X$500,I$2)</f>
        <v>0</v>
      </c>
      <c r="J7" s="103">
        <f>COUNTIFS('Region 3'!$G$2:$G$500,$B7,'Region 3'!$X$2:$X$500,J$2)</f>
        <v>0</v>
      </c>
      <c r="K7" s="103">
        <f>COUNTIFS('Region 3'!$G$2:$G$500,$B7,'Region 3'!$X$2:$X$500,K$2)</f>
        <v>0</v>
      </c>
      <c r="L7" s="12"/>
      <c r="M7" s="103" t="s">
        <v>237</v>
      </c>
      <c r="N7" s="104" t="e">
        <f ca="1">AVERAGEIFS('Region 3'!$R$2:$R$500, 'Region 3'!$X$2:$X$500,N$2,'Region 3'!$G$2:$G$500, $B7)</f>
        <v>#DIV/0!</v>
      </c>
      <c r="O7" s="104" t="e">
        <f ca="1">AVERAGEIFS('Region 3'!$R$2:$R$500, 'Region 3'!$X$2:$X$500,O$2,'Region 3'!$G$2:$G$500, $B7)</f>
        <v>#DIV/0!</v>
      </c>
      <c r="P7" s="104" t="e">
        <f ca="1">AVERAGEIFS('Region 3'!$R$2:$R$500, 'Region 3'!$X$2:$X$500,P$2,'Region 3'!$G$2:$G$500, $B7)</f>
        <v>#DIV/0!</v>
      </c>
      <c r="Q7" s="104" t="e">
        <f ca="1">AVERAGEIFS('Region 3'!$R$2:$R$500, 'Region 3'!$X$2:$X$500,Q$2,'Region 3'!$G$2:$G$500, $B7)</f>
        <v>#DIV/0!</v>
      </c>
      <c r="R7" s="105"/>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row>
    <row r="8" spans="1:158" s="6" customFormat="1" x14ac:dyDescent="0.3">
      <c r="A8" s="6">
        <v>3</v>
      </c>
      <c r="B8" s="6" t="str">
        <f t="shared" si="4"/>
        <v>Rural</v>
      </c>
      <c r="C8" s="93" t="str">
        <f t="shared" si="0"/>
        <v>-</v>
      </c>
      <c r="D8" s="93" t="str">
        <f t="shared" si="1"/>
        <v>-</v>
      </c>
      <c r="E8" s="93" t="str">
        <f t="shared" si="2"/>
        <v>-</v>
      </c>
      <c r="F8" s="93" t="str">
        <f t="shared" si="3"/>
        <v>-</v>
      </c>
      <c r="G8" s="12"/>
      <c r="H8" s="103">
        <f>COUNTIFS('Region 3'!$G$2:$G$500,$B8,'Region 3'!$X$2:$X$500,H$2)</f>
        <v>0</v>
      </c>
      <c r="I8" s="103">
        <f>COUNTIFS('Region 3'!$G$2:$G$500,$B8,'Region 3'!$X$2:$X$500,I$2)</f>
        <v>0</v>
      </c>
      <c r="J8" s="103">
        <f>COUNTIFS('Region 3'!$G$2:$G$500,$B8,'Region 3'!$X$2:$X$500,J$2)</f>
        <v>0</v>
      </c>
      <c r="K8" s="103">
        <f>COUNTIFS('Region 3'!$G$2:$G$500,$B8,'Region 3'!$X$2:$X$500,K$2)</f>
        <v>0</v>
      </c>
      <c r="L8" s="12"/>
      <c r="M8" s="103" t="s">
        <v>215</v>
      </c>
      <c r="N8" s="104" t="e">
        <f ca="1">AVERAGEIFS('Region 3'!$R$2:$R$500, 'Region 3'!$X$2:$X$500,N$2,'Region 3'!$G$2:$G$500, $B8)</f>
        <v>#DIV/0!</v>
      </c>
      <c r="O8" s="104" t="e">
        <f ca="1">AVERAGEIFS('Region 3'!$R$2:$R$500, 'Region 3'!$X$2:$X$500,O$2,'Region 3'!$G$2:$G$500, $B8)</f>
        <v>#DIV/0!</v>
      </c>
      <c r="P8" s="104" t="e">
        <f ca="1">AVERAGEIFS('Region 3'!$R$2:$R$500, 'Region 3'!$X$2:$X$500,P$2,'Region 3'!$G$2:$G$500, $B8)</f>
        <v>#DIV/0!</v>
      </c>
      <c r="Q8" s="104" t="e">
        <f ca="1">AVERAGEIFS('Region 3'!$R$2:$R$500, 'Region 3'!$X$2:$X$500,Q$2,'Region 3'!$G$2:$G$500, $B8)</f>
        <v>#DIV/0!</v>
      </c>
      <c r="R8" s="105"/>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row>
    <row r="9" spans="1:158" s="6" customFormat="1" x14ac:dyDescent="0.3">
      <c r="A9" s="6">
        <v>4</v>
      </c>
      <c r="B9" s="6" t="str">
        <f t="shared" si="4"/>
        <v>Urban</v>
      </c>
      <c r="C9" s="93" t="str">
        <f t="shared" si="0"/>
        <v>-</v>
      </c>
      <c r="D9" s="93" t="str">
        <f t="shared" si="1"/>
        <v>-</v>
      </c>
      <c r="E9" s="93" t="str">
        <f t="shared" si="2"/>
        <v>-</v>
      </c>
      <c r="F9" s="93" t="str">
        <f t="shared" si="3"/>
        <v>-</v>
      </c>
      <c r="G9" s="12"/>
      <c r="H9" s="103">
        <f>COUNTIFS('Region 4'!$G$2:$G$10,$B9,'Region 4'!$X$2:$X$10,H$2)</f>
        <v>0</v>
      </c>
      <c r="I9" s="103">
        <f>COUNTIFS('Region 4'!$G$2:$G$10,$B9,'Region 4'!$X$2:$X$10,I$2)</f>
        <v>0</v>
      </c>
      <c r="J9" s="103">
        <f>COUNTIFS('Region 4'!$G$2:$G$10,$B9,'Region 4'!$X$2:$X$10,J$2)</f>
        <v>0</v>
      </c>
      <c r="K9" s="103">
        <f>COUNTIFS('Region 4'!$G$2:$G$10,$B9,'Region 4'!$X$2:$X$10,K$2)</f>
        <v>0</v>
      </c>
      <c r="L9" s="12"/>
      <c r="M9" s="103" t="s">
        <v>237</v>
      </c>
      <c r="N9" s="104" t="e">
        <f>AVERAGEIFS('Region 4'!$R$2:$R$10, 'Region 4'!$X$2:$X$10,N$2,'Region 4'!$G$2:$G$10, $B9)</f>
        <v>#DIV/0!</v>
      </c>
      <c r="O9" s="104" t="e">
        <f>AVERAGEIFS('Region 4'!$R$2:$R$10, 'Region 4'!$X$2:$X$10,O$2,'Region 4'!$G$2:$G$10, $B9)</f>
        <v>#DIV/0!</v>
      </c>
      <c r="P9" s="104" t="e">
        <f>AVERAGEIFS('Region 4'!$R$2:$R$10, 'Region 4'!$X$2:$X$10,P$2,'Region 4'!$G$2:$G$10, $B9)</f>
        <v>#DIV/0!</v>
      </c>
      <c r="Q9" s="104" t="e">
        <f>AVERAGEIFS('Region 4'!$R$2:$R$10, 'Region 4'!$X$2:$X$10,Q$2,'Region 4'!$G$2:$G$10, $B9)</f>
        <v>#DIV/0!</v>
      </c>
      <c r="R9" s="105"/>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row>
    <row r="10" spans="1:158" s="6" customFormat="1" x14ac:dyDescent="0.3">
      <c r="A10" s="6">
        <v>4</v>
      </c>
      <c r="B10" s="6" t="str">
        <f t="shared" si="4"/>
        <v>Rural</v>
      </c>
      <c r="C10" s="93" t="str">
        <f t="shared" si="0"/>
        <v>-</v>
      </c>
      <c r="D10" s="93" t="str">
        <f t="shared" si="1"/>
        <v>-</v>
      </c>
      <c r="E10" s="93" t="str">
        <f t="shared" si="2"/>
        <v>-</v>
      </c>
      <c r="F10" s="93" t="str">
        <f t="shared" si="3"/>
        <v>-</v>
      </c>
      <c r="G10" s="12"/>
      <c r="H10" s="103">
        <f>COUNTIFS('Region 4'!$G$2:$G$10,$B10,'Region 4'!$X$2:$X$10,H$2)</f>
        <v>0</v>
      </c>
      <c r="I10" s="103">
        <f>COUNTIFS('Region 4'!$G$2:$G$10,$B10,'Region 4'!$X$2:$X$10,I$2)</f>
        <v>0</v>
      </c>
      <c r="J10" s="103">
        <f>COUNTIFS('Region 4'!$G$2:$G$10,$B10,'Region 4'!$X$2:$X$10,J$2)</f>
        <v>0</v>
      </c>
      <c r="K10" s="103">
        <f>COUNTIFS('Region 4'!$G$2:$G$10,$B10,'Region 4'!$X$2:$X$10,K$2)</f>
        <v>0</v>
      </c>
      <c r="L10" s="12"/>
      <c r="M10" s="103" t="s">
        <v>215</v>
      </c>
      <c r="N10" s="104" t="e">
        <f>AVERAGEIFS('Region 4'!$R$2:$R$10, 'Region 4'!$X$2:$X$10,N$2,'Region 4'!$G$2:$G$10, $B10)</f>
        <v>#DIV/0!</v>
      </c>
      <c r="O10" s="104" t="e">
        <f>AVERAGEIFS('Region 4'!$R$2:$R$10, 'Region 4'!$X$2:$X$10,O$2,'Region 4'!$G$2:$G$10, $B10)</f>
        <v>#DIV/0!</v>
      </c>
      <c r="P10" s="104" t="e">
        <f>AVERAGEIFS('Region 4'!$R$2:$R$10, 'Region 4'!$X$2:$X$10,P$2,'Region 4'!$G$2:$G$10, $B10)</f>
        <v>#DIV/0!</v>
      </c>
      <c r="Q10" s="104" t="e">
        <f>AVERAGEIFS('Region 4'!$R$2:$R$10, 'Region 4'!$X$2:$X$10,Q$2,'Region 4'!$G$2:$G$10, $B10)</f>
        <v>#DIV/0!</v>
      </c>
      <c r="R10" s="105"/>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row>
    <row r="11" spans="1:158" s="6" customFormat="1" x14ac:dyDescent="0.3">
      <c r="A11" s="6">
        <v>5</v>
      </c>
      <c r="B11" s="6" t="str">
        <f t="shared" si="4"/>
        <v>Urban</v>
      </c>
      <c r="C11" s="93">
        <f t="shared" si="0"/>
        <v>41.549733333333322</v>
      </c>
      <c r="D11" s="93" t="str">
        <f t="shared" si="1"/>
        <v>-</v>
      </c>
      <c r="E11" s="93" t="str">
        <f t="shared" si="2"/>
        <v>-</v>
      </c>
      <c r="F11" s="93">
        <f t="shared" si="3"/>
        <v>13.930151515151511</v>
      </c>
      <c r="G11" s="12"/>
      <c r="H11" s="103">
        <f>COUNTIFS('Region 5'!$G$2:$G$496,$B11,'Region 5'!$X$2:$X$496,H$2)</f>
        <v>5</v>
      </c>
      <c r="I11" s="103">
        <f>COUNTIFS('Region 5'!$G$2:$G$496,$B11,'Region 5'!$X$2:$X$496,I$2)</f>
        <v>0</v>
      </c>
      <c r="J11" s="103">
        <f>COUNTIFS('Region 5'!$G$2:$G$496,$B11,'Region 5'!$X$2:$X$496,J$2)</f>
        <v>0</v>
      </c>
      <c r="K11" s="103">
        <f>COUNTIFS('Region 5'!$G$2:$G$496,$B11,'Region 5'!$X$2:$X$496,K$2)</f>
        <v>11</v>
      </c>
      <c r="L11" s="12"/>
      <c r="M11" s="103" t="s">
        <v>237</v>
      </c>
      <c r="N11" s="104">
        <f>AVERAGEIFS('Region 5'!$R$2:$R$496, 'Region 5'!$X$2:$X$496,N$2,'Region 5'!$G$2:$G$496, $B11)</f>
        <v>41.549733333333322</v>
      </c>
      <c r="O11" s="104" t="e">
        <f>AVERAGEIFS('Region 5'!$R$2:$R$496, 'Region 5'!$X$2:$X$496,O$2,'Region 5'!$G$2:$G$496, $B11)</f>
        <v>#DIV/0!</v>
      </c>
      <c r="P11" s="104" t="e">
        <f>AVERAGEIFS('Region 5'!$R$2:$R$496, 'Region 5'!$X$2:$X$496,P$2,'Region 5'!$G$2:$G$496, $B11)</f>
        <v>#DIV/0!</v>
      </c>
      <c r="Q11" s="104">
        <f>AVERAGEIFS('Region 5'!$R$2:$R$496, 'Region 5'!$X$2:$X$496,Q$2,'Region 5'!$G$2:$G$496, $B11)</f>
        <v>13.930151515151511</v>
      </c>
      <c r="R11" s="105"/>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row>
    <row r="12" spans="1:158" s="6" customFormat="1" x14ac:dyDescent="0.3">
      <c r="A12" s="6">
        <v>5</v>
      </c>
      <c r="B12" s="6" t="str">
        <f t="shared" si="4"/>
        <v>Rural</v>
      </c>
      <c r="C12" s="93" t="str">
        <f t="shared" si="0"/>
        <v>-</v>
      </c>
      <c r="D12" s="93" t="str">
        <f t="shared" si="1"/>
        <v>-</v>
      </c>
      <c r="E12" s="93" t="str">
        <f t="shared" si="2"/>
        <v>-</v>
      </c>
      <c r="F12" s="93" t="str">
        <f t="shared" si="3"/>
        <v>-</v>
      </c>
      <c r="G12" s="12"/>
      <c r="H12" s="103">
        <f>COUNTIFS('Region 5'!$G$2:$G$496,$B12,'Region 5'!$X$2:$X$496,H$2)</f>
        <v>0</v>
      </c>
      <c r="I12" s="103">
        <f>COUNTIFS('Region 5'!$G$2:$G$496,$B12,'Region 5'!$X$2:$X$496,I$2)</f>
        <v>0</v>
      </c>
      <c r="J12" s="103">
        <f>COUNTIFS('Region 5'!$G$2:$G$496,$B12,'Region 5'!$X$2:$X$496,J$2)</f>
        <v>0</v>
      </c>
      <c r="K12" s="103">
        <f>COUNTIFS('Region 5'!$G$2:$G$496,$B12,'Region 5'!$X$2:$X$496,K$2)</f>
        <v>0</v>
      </c>
      <c r="L12" s="12"/>
      <c r="M12" s="103" t="s">
        <v>215</v>
      </c>
      <c r="N12" s="104" t="e">
        <f>AVERAGEIFS('Region 5'!$R$2:$R$496, 'Region 5'!$X$2:$X$496,N$2,'Region 5'!$G$2:$G$496, $B12)</f>
        <v>#DIV/0!</v>
      </c>
      <c r="O12" s="104" t="e">
        <f>AVERAGEIFS('Region 5'!$R$2:$R$496, 'Region 5'!$X$2:$X$496,O$2,'Region 5'!$G$2:$G$496, $B12)</f>
        <v>#DIV/0!</v>
      </c>
      <c r="P12" s="104" t="e">
        <f>AVERAGEIFS('Region 5'!$R$2:$R$496, 'Region 5'!$X$2:$X$496,P$2,'Region 5'!$G$2:$G$496, $B12)</f>
        <v>#DIV/0!</v>
      </c>
      <c r="Q12" s="104" t="e">
        <f>AVERAGEIFS('Region 5'!$R$2:$R$496, 'Region 5'!$X$2:$X$496,Q$2,'Region 5'!$G$2:$G$496, $B12)</f>
        <v>#DIV/0!</v>
      </c>
      <c r="R12" s="105"/>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row>
    <row r="13" spans="1:158" s="6" customFormat="1" x14ac:dyDescent="0.3">
      <c r="A13" s="6">
        <v>6</v>
      </c>
      <c r="B13" s="6" t="str">
        <f t="shared" si="4"/>
        <v>Urban</v>
      </c>
      <c r="C13" s="93">
        <f t="shared" si="0"/>
        <v>22.7</v>
      </c>
      <c r="D13" s="93">
        <f t="shared" si="1"/>
        <v>35</v>
      </c>
      <c r="E13" s="93">
        <f t="shared" si="2"/>
        <v>29</v>
      </c>
      <c r="F13" s="93" t="str">
        <f t="shared" si="3"/>
        <v>-</v>
      </c>
      <c r="G13" s="12"/>
      <c r="H13" s="103">
        <f>COUNTIFS('Region 6'!$G$2:$G$20,$B13,'Region 6'!$X$2:$X$20,H$2)</f>
        <v>10</v>
      </c>
      <c r="I13" s="103">
        <f>COUNTIFS('Region 6'!$G$2:$G$20,$B13,'Region 6'!$X$2:$X$20,I$2)</f>
        <v>5</v>
      </c>
      <c r="J13" s="103">
        <f>COUNTIFS('Region 6'!$G$2:$G$20,$B13,'Region 6'!$X$2:$X$20,J$2)</f>
        <v>4</v>
      </c>
      <c r="K13" s="103">
        <f>COUNTIFS('Region 6'!$G$2:$G$20,$B13,'Region 6'!$X$2:$X$20,K$2)</f>
        <v>0</v>
      </c>
      <c r="L13" s="12"/>
      <c r="M13" s="103" t="s">
        <v>237</v>
      </c>
      <c r="N13" s="104">
        <f>AVERAGEIFS('Region 6'!$R$2:$R$20, 'Region 6'!$X$2:$X$20,N$2,'Region 6'!$G$2:$G$20, $B13)</f>
        <v>22.7</v>
      </c>
      <c r="O13" s="104">
        <f>AVERAGEIFS('Region 6'!$R$2:$R$20, 'Region 6'!$X$2:$X$20,O$2,'Region 6'!$G$2:$G$20, $B13)</f>
        <v>35</v>
      </c>
      <c r="P13" s="104">
        <f>AVERAGEIFS('Region 6'!$R$2:$R$20, 'Region 6'!$X$2:$X$20,P$2,'Region 6'!$G$2:$G$20, $B13)</f>
        <v>29</v>
      </c>
      <c r="Q13" s="104" t="e">
        <f>AVERAGEIFS('Region 6'!$R$2:$R$20, 'Region 6'!$X$2:$X$20,Q$2,'Region 6'!$G$2:$G$20, $B13)</f>
        <v>#DIV/0!</v>
      </c>
      <c r="R13" s="105"/>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row>
    <row r="14" spans="1:158" s="6" customFormat="1" x14ac:dyDescent="0.3">
      <c r="A14" s="6">
        <v>6</v>
      </c>
      <c r="B14" s="6" t="str">
        <f t="shared" si="4"/>
        <v>Rural</v>
      </c>
      <c r="C14" s="93" t="str">
        <f t="shared" si="0"/>
        <v>-</v>
      </c>
      <c r="D14" s="93" t="str">
        <f t="shared" si="1"/>
        <v>-</v>
      </c>
      <c r="E14" s="93" t="str">
        <f t="shared" si="2"/>
        <v>-</v>
      </c>
      <c r="F14" s="93" t="str">
        <f t="shared" si="3"/>
        <v>-</v>
      </c>
      <c r="G14" s="12"/>
      <c r="H14" s="103">
        <f>COUNTIFS('Region 6'!$G$2:$G$20,$B14,'Region 6'!$X$2:$X$20,H$2)</f>
        <v>0</v>
      </c>
      <c r="I14" s="103">
        <f>COUNTIFS('Region 6'!$G$2:$G$20,$B14,'Region 6'!$X$2:$X$20,I$2)</f>
        <v>0</v>
      </c>
      <c r="J14" s="103">
        <f>COUNTIFS('Region 6'!$G$2:$G$20,$B14,'Region 6'!$X$2:$X$20,J$2)</f>
        <v>0</v>
      </c>
      <c r="K14" s="103">
        <f>COUNTIFS('Region 6'!$G$2:$G$20,$B14,'Region 6'!$X$2:$X$20,K$2)</f>
        <v>0</v>
      </c>
      <c r="L14" s="12"/>
      <c r="M14" s="103" t="s">
        <v>215</v>
      </c>
      <c r="N14" s="104" t="e">
        <f>AVERAGEIFS('Region 6'!$R$2:$R$20, 'Region 6'!$X$2:$X$20,N$2,'Region 6'!$G$2:$G$20, $B14)</f>
        <v>#DIV/0!</v>
      </c>
      <c r="O14" s="104" t="e">
        <f>AVERAGEIFS('Region 6'!$R$2:$R$20, 'Region 6'!$X$2:$X$20,O$2,'Region 6'!$G$2:$G$20, $B14)</f>
        <v>#DIV/0!</v>
      </c>
      <c r="P14" s="104" t="e">
        <f>AVERAGEIFS('Region 6'!$R$2:$R$20, 'Region 6'!$X$2:$X$20,P$2,'Region 6'!$G$2:$G$20, $B14)</f>
        <v>#DIV/0!</v>
      </c>
      <c r="Q14" s="104" t="e">
        <f>AVERAGEIFS('Region 6'!$R$2:$R$20, 'Region 6'!$X$2:$X$20,Q$2,'Region 6'!$G$2:$G$20, $B14)</f>
        <v>#DIV/0!</v>
      </c>
      <c r="R14" s="105"/>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row>
    <row r="15" spans="1:158" s="6" customFormat="1" x14ac:dyDescent="0.3">
      <c r="A15" s="6">
        <v>7</v>
      </c>
      <c r="B15" s="6" t="str">
        <f t="shared" si="4"/>
        <v>Urban</v>
      </c>
      <c r="C15" s="93" t="str">
        <f t="shared" si="0"/>
        <v>-</v>
      </c>
      <c r="D15" s="93" t="str">
        <f t="shared" si="1"/>
        <v>-</v>
      </c>
      <c r="E15" s="93" t="str">
        <f t="shared" si="2"/>
        <v>-</v>
      </c>
      <c r="F15" s="93" t="str">
        <f t="shared" si="3"/>
        <v>-</v>
      </c>
      <c r="G15" s="12"/>
      <c r="H15" s="103">
        <f>COUNTIFS('Region 7'!$G$2:$G$500,$B15,'Region 7'!$X$2:$X$500,H$2)</f>
        <v>0</v>
      </c>
      <c r="I15" s="103">
        <f>COUNTIFS('Region 7'!$G$2:$G$500,$B15,'Region 7'!$X$2:$X$500,I$2)</f>
        <v>0</v>
      </c>
      <c r="J15" s="103">
        <f>COUNTIFS('Region 7'!$G$2:$G$500,$B15,'Region 7'!$X$2:$X$500,J$2)</f>
        <v>0</v>
      </c>
      <c r="K15" s="103">
        <f>COUNTIFS('Region 7'!$G$2:$G$500,$B15,'Region 7'!$X$2:$X$500,K$2)</f>
        <v>0</v>
      </c>
      <c r="L15" s="12"/>
      <c r="M15" s="103" t="s">
        <v>237</v>
      </c>
      <c r="N15" s="104" t="e">
        <f ca="1">AVERAGEIFS('Region 7'!$R$2:$R$500, 'Region 7'!$X$2:$X$500,N$2,'Region 7'!$G$2:$G$500, $B15)</f>
        <v>#DIV/0!</v>
      </c>
      <c r="O15" s="104" t="e">
        <f ca="1">AVERAGEIFS('Region 7'!$R$2:$R$500, 'Region 7'!$X$2:$X$500,O$2,'Region 7'!$G$2:$G$500, $B15)</f>
        <v>#DIV/0!</v>
      </c>
      <c r="P15" s="104" t="e">
        <f ca="1">AVERAGEIFS('Region 7'!$R$2:$R$500, 'Region 7'!$X$2:$X$500,P$2,'Region 7'!$G$2:$G$500, $B15)</f>
        <v>#DIV/0!</v>
      </c>
      <c r="Q15" s="104" t="e">
        <f ca="1">AVERAGEIFS('Region 7'!$R$2:$R$500, 'Region 7'!$X$2:$X$500,Q$2,'Region 7'!$G$2:$G$500, $B15)</f>
        <v>#DIV/0!</v>
      </c>
      <c r="R15" s="105"/>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row>
    <row r="16" spans="1:158" s="6" customFormat="1" x14ac:dyDescent="0.3">
      <c r="A16" s="6">
        <v>7</v>
      </c>
      <c r="B16" s="6" t="str">
        <f t="shared" si="4"/>
        <v>Rural</v>
      </c>
      <c r="C16" s="93" t="str">
        <f t="shared" si="0"/>
        <v>-</v>
      </c>
      <c r="D16" s="93" t="str">
        <f t="shared" si="1"/>
        <v>-</v>
      </c>
      <c r="E16" s="93" t="str">
        <f t="shared" si="2"/>
        <v>-</v>
      </c>
      <c r="F16" s="93" t="str">
        <f t="shared" si="3"/>
        <v>-</v>
      </c>
      <c r="G16" s="12"/>
      <c r="H16" s="103">
        <f>COUNTIFS('Region 7'!$G$2:$G$500,$B16,'Region 7'!$X$2:$X$500,H$2)</f>
        <v>0</v>
      </c>
      <c r="I16" s="103">
        <f>COUNTIFS('Region 7'!$G$2:$G$500,$B16,'Region 7'!$X$2:$X$500,I$2)</f>
        <v>0</v>
      </c>
      <c r="J16" s="103">
        <f>COUNTIFS('Region 7'!$G$2:$G$500,$B16,'Region 7'!$X$2:$X$500,J$2)</f>
        <v>0</v>
      </c>
      <c r="K16" s="103">
        <f>COUNTIFS('Region 7'!$G$2:$G$500,$B16,'Region 7'!$X$2:$X$500,K$2)</f>
        <v>0</v>
      </c>
      <c r="L16" s="12"/>
      <c r="M16" s="103" t="s">
        <v>215</v>
      </c>
      <c r="N16" s="104" t="e">
        <f ca="1">AVERAGEIFS('Region 7'!$R$2:$R$500, 'Region 7'!$X$2:$X$500,N$2,'Region 7'!$G$2:$G$500, $B16)</f>
        <v>#DIV/0!</v>
      </c>
      <c r="O16" s="104" t="e">
        <f ca="1">AVERAGEIFS('Region 7'!$R$2:$R$500, 'Region 7'!$X$2:$X$500,O$2,'Region 7'!$G$2:$G$500, $B16)</f>
        <v>#DIV/0!</v>
      </c>
      <c r="P16" s="104" t="e">
        <f ca="1">AVERAGEIFS('Region 7'!$R$2:$R$500, 'Region 7'!$X$2:$X$500,P$2,'Region 7'!$G$2:$G$500, $B16)</f>
        <v>#DIV/0!</v>
      </c>
      <c r="Q16" s="104" t="e">
        <f ca="1">AVERAGEIFS('Region 7'!$R$2:$R$500, 'Region 7'!$X$2:$X$500,Q$2,'Region 7'!$G$2:$G$500, $B16)</f>
        <v>#DIV/0!</v>
      </c>
      <c r="R16" s="105"/>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row>
    <row r="17" spans="1:158" s="6" customFormat="1" x14ac:dyDescent="0.3">
      <c r="A17" s="6">
        <v>8</v>
      </c>
      <c r="B17" s="6" t="str">
        <f t="shared" si="4"/>
        <v>Urban</v>
      </c>
      <c r="C17" s="93">
        <f t="shared" si="0"/>
        <v>17.118000000000002</v>
      </c>
      <c r="D17" s="93" t="str">
        <f t="shared" si="1"/>
        <v>-</v>
      </c>
      <c r="E17" s="93">
        <f t="shared" si="2"/>
        <v>27</v>
      </c>
      <c r="F17" s="93" t="str">
        <f t="shared" si="3"/>
        <v>-</v>
      </c>
      <c r="G17" s="12"/>
      <c r="H17" s="103">
        <f>COUNTIFS('Region 8'!$G$2:$G$497,$B17,'Region 8'!$X$2:$X$497,H$2)</f>
        <v>10</v>
      </c>
      <c r="I17" s="103">
        <f>COUNTIFS('Region 8'!$G$2:$G$497,$B17,'Region 8'!$X$2:$X$497,I$2)</f>
        <v>0</v>
      </c>
      <c r="J17" s="103">
        <f>COUNTIFS('Region 8'!$G$2:$G$497,$B17,'Region 8'!$X$2:$X$497,J$2)</f>
        <v>2</v>
      </c>
      <c r="K17" s="103">
        <f>COUNTIFS('Region 8'!$G$2:$G$497,$B17,'Region 8'!$X$2:$X$497,K$2)</f>
        <v>0</v>
      </c>
      <c r="L17" s="12"/>
      <c r="M17" s="103" t="s">
        <v>237</v>
      </c>
      <c r="N17" s="104">
        <f>AVERAGEIFS('Region 8'!$R$2:$R$497, 'Region 8'!$X$2:$X$497,N$2,'Region 8'!$G$2:$G$497, $B17)</f>
        <v>17.118000000000002</v>
      </c>
      <c r="O17" s="104" t="e">
        <f>AVERAGEIFS('Region 8'!$R$2:$R$497, 'Region 8'!$X$2:$X$497,O$2,'Region 8'!$G$2:$G$497, $B17)</f>
        <v>#DIV/0!</v>
      </c>
      <c r="P17" s="104">
        <f>AVERAGEIFS('Region 8'!$R$2:$R$497, 'Region 8'!$X$2:$X$497,P$2,'Region 8'!$G$2:$G$497, $B17)</f>
        <v>27</v>
      </c>
      <c r="Q17" s="104" t="e">
        <f>AVERAGEIFS('Region 8'!$R$2:$R$497, 'Region 8'!$X$2:$X$497,Q$2,'Region 8'!$G$2:$G$497, $B17)</f>
        <v>#DIV/0!</v>
      </c>
      <c r="R17" s="105"/>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row>
    <row r="18" spans="1:158" s="6" customFormat="1" x14ac:dyDescent="0.3">
      <c r="A18" s="6">
        <v>8</v>
      </c>
      <c r="B18" s="6" t="str">
        <f t="shared" si="4"/>
        <v>Rural</v>
      </c>
      <c r="C18" s="93" t="str">
        <f t="shared" si="0"/>
        <v>-</v>
      </c>
      <c r="D18" s="93" t="str">
        <f t="shared" si="1"/>
        <v>-</v>
      </c>
      <c r="E18" s="93" t="str">
        <f t="shared" si="2"/>
        <v>-</v>
      </c>
      <c r="F18" s="93" t="str">
        <f t="shared" si="3"/>
        <v>-</v>
      </c>
      <c r="G18" s="12"/>
      <c r="H18" s="103">
        <f>COUNTIFS('Region 8'!$G$2:$G$497,$B18,'Region 8'!$X$2:$X$497,H$2)</f>
        <v>0</v>
      </c>
      <c r="I18" s="103">
        <f>COUNTIFS('Region 8'!$G$2:$G$497,$B18,'Region 8'!$X$2:$X$497,I$2)</f>
        <v>0</v>
      </c>
      <c r="J18" s="103">
        <f>COUNTIFS('Region 8'!$G$2:$G$497,$B18,'Region 8'!$X$2:$X$497,J$2)</f>
        <v>0</v>
      </c>
      <c r="K18" s="103">
        <f>COUNTIFS('Region 8'!$G$2:$G$497,$B18,'Region 8'!$X$2:$X$497,K$2)</f>
        <v>0</v>
      </c>
      <c r="L18" s="12"/>
      <c r="M18" s="103" t="s">
        <v>215</v>
      </c>
      <c r="N18" s="104" t="e">
        <f>AVERAGEIFS('Region 8'!$R$2:$R$497, 'Region 8'!$X$2:$X$497,N$2,'Region 8'!$G$2:$G$497, $B18)</f>
        <v>#DIV/0!</v>
      </c>
      <c r="O18" s="104" t="e">
        <f>AVERAGEIFS('Region 8'!$R$2:$R$497, 'Region 8'!$X$2:$X$497,O$2,'Region 8'!$G$2:$G$497, $B18)</f>
        <v>#DIV/0!</v>
      </c>
      <c r="P18" s="104" t="e">
        <f>AVERAGEIFS('Region 8'!$R$2:$R$497, 'Region 8'!$X$2:$X$497,P$2,'Region 8'!$G$2:$G$497, $B18)</f>
        <v>#DIV/0!</v>
      </c>
      <c r="Q18" s="104" t="e">
        <f>AVERAGEIFS('Region 8'!$R$2:$R$497, 'Region 8'!$X$2:$X$497,Q$2,'Region 8'!$G$2:$G$497, $B18)</f>
        <v>#DIV/0!</v>
      </c>
      <c r="R18" s="105"/>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row>
    <row r="19" spans="1:158" s="6" customFormat="1" x14ac:dyDescent="0.3">
      <c r="A19" s="6">
        <v>9</v>
      </c>
      <c r="B19" s="6" t="str">
        <f t="shared" si="4"/>
        <v>Urban</v>
      </c>
      <c r="C19" s="93" t="str">
        <f t="shared" si="0"/>
        <v>-</v>
      </c>
      <c r="D19" s="93" t="str">
        <f t="shared" si="1"/>
        <v>-</v>
      </c>
      <c r="E19" s="93" t="str">
        <f t="shared" si="2"/>
        <v>-</v>
      </c>
      <c r="F19" s="93" t="str">
        <f t="shared" si="3"/>
        <v>-</v>
      </c>
      <c r="G19" s="12"/>
      <c r="H19" s="103">
        <f>COUNTIFS('Region 9'!$G$2:$G$500,$B19,'Region 9'!$X$2:$X$500,H$2)</f>
        <v>0</v>
      </c>
      <c r="I19" s="103">
        <f>COUNTIFS('Region 9'!$G$2:$G$500,$B19,'Region 9'!$X$2:$X$500,I$2)</f>
        <v>0</v>
      </c>
      <c r="J19" s="103">
        <f>COUNTIFS('Region 9'!$G$2:$G$500,$B19,'Region 9'!$X$2:$X$500,J$2)</f>
        <v>0</v>
      </c>
      <c r="K19" s="103">
        <f>COUNTIFS('Region 9'!$G$2:$G$500,$B19,'Region 9'!$X$2:$X$500,K$2)</f>
        <v>0</v>
      </c>
      <c r="L19" s="12"/>
      <c r="M19" s="103" t="s">
        <v>237</v>
      </c>
      <c r="N19" s="104" t="e">
        <f ca="1">AVERAGEIFS('Region 9'!$R$2:$R$500, 'Region 9'!$X$2:$X$500,N$2,'Region 9'!$G$2:$G$500, $B19)</f>
        <v>#DIV/0!</v>
      </c>
      <c r="O19" s="104" t="e">
        <f ca="1">AVERAGEIFS('Region 9'!$R$2:$R$500, 'Region 9'!$X$2:$X$500,O$2,'Region 9'!$G$2:$G$500, $B19)</f>
        <v>#DIV/0!</v>
      </c>
      <c r="P19" s="104" t="e">
        <f ca="1">AVERAGEIFS('Region 9'!$R$2:$R$500, 'Region 9'!$X$2:$X$500,P$2,'Region 9'!$G$2:$G$500, $B19)</f>
        <v>#DIV/0!</v>
      </c>
      <c r="Q19" s="104" t="e">
        <f ca="1">AVERAGEIFS('Region 9'!$R$2:$R$500, 'Region 9'!$X$2:$X$500,Q$2,'Region 9'!$G$2:$G$500, $B19)</f>
        <v>#DIV/0!</v>
      </c>
      <c r="R19" s="105"/>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row>
    <row r="20" spans="1:158" s="6" customFormat="1" x14ac:dyDescent="0.3">
      <c r="A20" s="6">
        <v>9</v>
      </c>
      <c r="B20" s="6" t="str">
        <f t="shared" si="4"/>
        <v>Rural</v>
      </c>
      <c r="C20" s="93" t="str">
        <f t="shared" si="0"/>
        <v>-</v>
      </c>
      <c r="D20" s="93" t="str">
        <f t="shared" si="1"/>
        <v>-</v>
      </c>
      <c r="E20" s="93" t="str">
        <f t="shared" si="2"/>
        <v>-</v>
      </c>
      <c r="F20" s="93" t="str">
        <f t="shared" si="3"/>
        <v>-</v>
      </c>
      <c r="G20" s="12"/>
      <c r="H20" s="103">
        <f>COUNTIFS('Region 9'!$G$2:$G$500,$B20,'Region 9'!$X$2:$X$500,H$2)</f>
        <v>0</v>
      </c>
      <c r="I20" s="103">
        <f>COUNTIFS('Region 9'!$G$2:$G$500,$B20,'Region 9'!$X$2:$X$500,I$2)</f>
        <v>0</v>
      </c>
      <c r="J20" s="103">
        <f>COUNTIFS('Region 9'!$G$2:$G$500,$B20,'Region 9'!$X$2:$X$500,J$2)</f>
        <v>0</v>
      </c>
      <c r="K20" s="103">
        <f>COUNTIFS('Region 9'!$G$2:$G$500,$B20,'Region 9'!$X$2:$X$500,K$2)</f>
        <v>0</v>
      </c>
      <c r="L20" s="12"/>
      <c r="M20" s="103" t="s">
        <v>215</v>
      </c>
      <c r="N20" s="104" t="e">
        <f ca="1">AVERAGEIFS('Region 9'!$R$2:$R$500, 'Region 9'!$X$2:$X$500,N$2,'Region 9'!$G$2:$G$500, $B20)</f>
        <v>#DIV/0!</v>
      </c>
      <c r="O20" s="104" t="e">
        <f ca="1">AVERAGEIFS('Region 9'!$R$2:$R$500, 'Region 9'!$X$2:$X$500,O$2,'Region 9'!$G$2:$G$500, $B20)</f>
        <v>#DIV/0!</v>
      </c>
      <c r="P20" s="104" t="e">
        <f ca="1">AVERAGEIFS('Region 9'!$R$2:$R$500, 'Region 9'!$X$2:$X$500,P$2,'Region 9'!$G$2:$G$500, $B20)</f>
        <v>#DIV/0!</v>
      </c>
      <c r="Q20" s="104" t="e">
        <f ca="1">AVERAGEIFS('Region 9'!$R$2:$R$500, 'Region 9'!$X$2:$X$500,Q$2,'Region 9'!$G$2:$G$500, $B20)</f>
        <v>#DIV/0!</v>
      </c>
      <c r="R20" s="105"/>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row>
    <row r="21" spans="1:158" s="6" customFormat="1" x14ac:dyDescent="0.3">
      <c r="A21" s="6">
        <v>10</v>
      </c>
      <c r="B21" s="6" t="str">
        <f t="shared" si="4"/>
        <v>Urban</v>
      </c>
      <c r="C21" s="93">
        <f t="shared" si="0"/>
        <v>13.666666666666666</v>
      </c>
      <c r="D21" s="93" t="str">
        <f t="shared" si="1"/>
        <v>-</v>
      </c>
      <c r="E21" s="93">
        <f t="shared" si="2"/>
        <v>13.666666666666666</v>
      </c>
      <c r="F21" s="93" t="str">
        <f t="shared" si="3"/>
        <v>-</v>
      </c>
      <c r="G21" s="12"/>
      <c r="H21" s="103">
        <f>COUNTIFS('Region 10'!$G$2:$G$500,$B21,'Region 10'!$X$2:$X$500,H$2)</f>
        <v>1</v>
      </c>
      <c r="I21" s="103">
        <f>COUNTIFS('Region 10'!$G$2:$G$500,$B21,'Region 10'!$X$2:$X$500,I$2)</f>
        <v>0</v>
      </c>
      <c r="J21" s="103">
        <f>COUNTIFS('Region 10'!$G$2:$G$500,$B21,'Region 10'!$X$2:$X$500,J$2)</f>
        <v>1</v>
      </c>
      <c r="K21" s="103">
        <f>COUNTIFS('Region 10'!$G$2:$G$500,$B21,'Region 10'!$X$2:$X$500,K$2)</f>
        <v>0</v>
      </c>
      <c r="L21" s="12"/>
      <c r="M21" s="103" t="s">
        <v>237</v>
      </c>
      <c r="N21" s="104">
        <f>AVERAGEIFS('Region 10'!$R$2:$R$500, 'Region 10'!$X$2:$X$500,N$2,'Region 10'!$G$2:$G$500, $B21)</f>
        <v>13.666666666666666</v>
      </c>
      <c r="O21" s="104" t="e">
        <f>AVERAGEIFS('Region 10'!$R$2:$R$500, 'Region 10'!$X$2:$X$500,O$2,'Region 10'!$G$2:$G$500, $B21)</f>
        <v>#DIV/0!</v>
      </c>
      <c r="P21" s="104">
        <f>AVERAGEIFS('Region 10'!$R$2:$R$500, 'Region 10'!$X$2:$X$500,P$2,'Region 10'!$G$2:$G$500, $B21)</f>
        <v>13.666666666666666</v>
      </c>
      <c r="Q21" s="104" t="e">
        <f>AVERAGEIFS('Region 10'!$R$2:$R$500, 'Region 10'!$X$2:$X$500,Q$2,'Region 10'!$G$2:$G$500, $B21)</f>
        <v>#DIV/0!</v>
      </c>
      <c r="R21" s="105"/>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row>
    <row r="22" spans="1:158" s="6" customFormat="1" x14ac:dyDescent="0.3">
      <c r="A22" s="6">
        <v>10</v>
      </c>
      <c r="B22" s="6" t="str">
        <f t="shared" si="4"/>
        <v>Rural</v>
      </c>
      <c r="C22" s="93" t="str">
        <f t="shared" si="0"/>
        <v>-</v>
      </c>
      <c r="D22" s="93" t="str">
        <f t="shared" si="1"/>
        <v>-</v>
      </c>
      <c r="E22" s="93" t="str">
        <f t="shared" si="2"/>
        <v>-</v>
      </c>
      <c r="F22" s="93" t="str">
        <f t="shared" si="3"/>
        <v>-</v>
      </c>
      <c r="G22" s="12"/>
      <c r="H22" s="103">
        <f>COUNTIFS('Region 10'!$G$2:$G$500,$B22,'Region 10'!$X$2:$X$500,H$2)</f>
        <v>0</v>
      </c>
      <c r="I22" s="103">
        <f>COUNTIFS('Region 10'!$G$2:$G$500,$B22,'Region 10'!$X$2:$X$500,I$2)</f>
        <v>0</v>
      </c>
      <c r="J22" s="103">
        <f>COUNTIFS('Region 10'!$G$2:$G$500,$B22,'Region 10'!$X$2:$X$500,J$2)</f>
        <v>0</v>
      </c>
      <c r="K22" s="103">
        <f>COUNTIFS('Region 10'!$G$2:$G$500,$B22,'Region 10'!$X$2:$X$500,K$2)</f>
        <v>0</v>
      </c>
      <c r="L22" s="12"/>
      <c r="M22" s="103" t="s">
        <v>215</v>
      </c>
      <c r="N22" s="104" t="e">
        <f>AVERAGEIFS('Region 10'!$R$2:$R$500, 'Region 10'!$X$2:$X$500,N$2,'Region 10'!$G$2:$G$500, $B22)</f>
        <v>#DIV/0!</v>
      </c>
      <c r="O22" s="104" t="e">
        <f>AVERAGEIFS('Region 10'!$R$2:$R$500, 'Region 10'!$X$2:$X$500,O$2,'Region 10'!$G$2:$G$500, $B22)</f>
        <v>#DIV/0!</v>
      </c>
      <c r="P22" s="104" t="e">
        <f>AVERAGEIFS('Region 10'!$R$2:$R$500, 'Region 10'!$X$2:$X$500,P$2,'Region 10'!$G$2:$G$500, $B22)</f>
        <v>#DIV/0!</v>
      </c>
      <c r="Q22" s="104" t="e">
        <f>AVERAGEIFS('Region 10'!$R$2:$R$500, 'Region 10'!$X$2:$X$500,Q$2,'Region 10'!$G$2:$G$500, $B22)</f>
        <v>#DIV/0!</v>
      </c>
      <c r="R22" s="105"/>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row>
    <row r="23" spans="1:158" s="100" customFormat="1" ht="15" customHeight="1" x14ac:dyDescent="0.3">
      <c r="A23" s="6">
        <v>11</v>
      </c>
      <c r="B23" s="6" t="str">
        <f t="shared" si="4"/>
        <v>Urban</v>
      </c>
      <c r="C23" s="93">
        <f t="shared" si="0"/>
        <v>31.713047796620298</v>
      </c>
      <c r="D23" s="93">
        <f t="shared" si="1"/>
        <v>28.125</v>
      </c>
      <c r="E23" s="93">
        <f t="shared" si="2"/>
        <v>35.690628753726763</v>
      </c>
      <c r="F23" s="93">
        <f t="shared" si="3"/>
        <v>34.504495199039802</v>
      </c>
      <c r="G23" s="12"/>
      <c r="H23" s="103">
        <f>COUNTIFS('Region 11'!$G$2:$G$391,$B23,'Region 11'!$X$2:$X$391,H$2)</f>
        <v>109</v>
      </c>
      <c r="I23" s="103">
        <f>COUNTIFS('Region 11'!$G$2:$G$391,$B23,'Region 11'!$X$2:$X$391,I$2)</f>
        <v>6</v>
      </c>
      <c r="J23" s="103">
        <f>COUNTIFS('Region 11'!$G$2:$G$391,$B23,'Region 11'!$X$2:$X$391,J$2)</f>
        <v>194</v>
      </c>
      <c r="K23" s="103">
        <f>COUNTIFS('Region 11'!$G$2:$G$391,$B23,'Region 11'!$X$2:$X$391,K$2)</f>
        <v>75</v>
      </c>
      <c r="L23" s="12"/>
      <c r="M23" s="103" t="s">
        <v>237</v>
      </c>
      <c r="N23" s="104">
        <f>AVERAGEIFS('Region 11'!$R$2:$R$391, 'Region 11'!$X$2:$X$391,N$2,'Region 11'!$G$2:$G$391, $B23)</f>
        <v>31.713047796620298</v>
      </c>
      <c r="O23" s="104">
        <f>AVERAGEIFS('Region 11'!$R$2:$R$391, 'Region 11'!$X$2:$X$391,O$2,'Region 11'!$G$2:$G$391, $B23)</f>
        <v>28.125</v>
      </c>
      <c r="P23" s="104">
        <f>AVERAGEIFS('Region 11'!$R$2:$R$391, 'Region 11'!$X$2:$X$391,P$2,'Region 11'!$G$2:$G$391, $B23)</f>
        <v>35.690628753726763</v>
      </c>
      <c r="Q23" s="104">
        <f>AVERAGEIFS('Region 11'!$R$2:$R$391, 'Region 11'!$X$2:$X$391,Q$2,'Region 11'!$G$2:$G$391, $B23)</f>
        <v>34.504495199039802</v>
      </c>
      <c r="R23" s="105"/>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row>
    <row r="24" spans="1:158" s="100" customFormat="1" x14ac:dyDescent="0.3">
      <c r="A24" s="6">
        <v>11</v>
      </c>
      <c r="B24" s="6" t="str">
        <f t="shared" si="4"/>
        <v>Rural</v>
      </c>
      <c r="C24" s="93">
        <f t="shared" si="0"/>
        <v>56.521739130434788</v>
      </c>
      <c r="D24" s="93">
        <f t="shared" si="1"/>
        <v>32.608695652173914</v>
      </c>
      <c r="E24" s="93" t="str">
        <f t="shared" si="2"/>
        <v>-</v>
      </c>
      <c r="F24" s="93" t="str">
        <f t="shared" si="3"/>
        <v>-</v>
      </c>
      <c r="G24" s="12"/>
      <c r="H24" s="103">
        <f>COUNTIFS('Region 11'!$G$2:$G$391,$B24,'Region 11'!$X$2:$X$391,H$2)</f>
        <v>2</v>
      </c>
      <c r="I24" s="103">
        <f>COUNTIFS('Region 11'!$G$2:$G$391,$B24,'Region 11'!$X$2:$X$391,I$2)</f>
        <v>4</v>
      </c>
      <c r="J24" s="103">
        <f>COUNTIFS('Region 11'!$G$2:$G$391,$B24,'Region 11'!$X$2:$X$391,J$2)</f>
        <v>0</v>
      </c>
      <c r="K24" s="103">
        <f>COUNTIFS('Region 11'!$G$2:$G$391,$B24,'Region 11'!$X$2:$X$391,K$2)</f>
        <v>0</v>
      </c>
      <c r="L24" s="12"/>
      <c r="M24" s="103" t="s">
        <v>215</v>
      </c>
      <c r="N24" s="104">
        <f>AVERAGEIFS('Region 11'!$R$2:$R$391, 'Region 11'!$X$2:$X$391,N$2,'Region 11'!$G$2:$G$391, $B24)</f>
        <v>56.521739130434788</v>
      </c>
      <c r="O24" s="104">
        <f>AVERAGEIFS('Region 11'!$R$2:$R$391, 'Region 11'!$X$2:$X$391,O$2,'Region 11'!$G$2:$G$391, $B24)</f>
        <v>32.608695652173914</v>
      </c>
      <c r="P24" s="104" t="e">
        <f>AVERAGEIFS('Region 11'!$R$2:$R$391, 'Region 11'!$X$2:$X$391,P$2,'Region 11'!$G$2:$G$391, $B24)</f>
        <v>#DIV/0!</v>
      </c>
      <c r="Q24" s="104" t="e">
        <f>AVERAGEIFS('Region 11'!$R$2:$R$391, 'Region 11'!$X$2:$X$391,Q$2,'Region 11'!$G$2:$G$391, $B24)</f>
        <v>#DIV/0!</v>
      </c>
      <c r="R24" s="105"/>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row>
    <row r="25" spans="1:158" s="106" customFormat="1" x14ac:dyDescent="0.3">
      <c r="A25" s="6">
        <v>12</v>
      </c>
      <c r="B25" s="6" t="str">
        <f t="shared" si="4"/>
        <v>Urban</v>
      </c>
      <c r="C25" s="93">
        <f t="shared" si="0"/>
        <v>23.904409363450789</v>
      </c>
      <c r="D25" s="93" t="str">
        <f t="shared" si="1"/>
        <v>-</v>
      </c>
      <c r="E25" s="93">
        <f t="shared" si="2"/>
        <v>37.003117289068562</v>
      </c>
      <c r="F25" s="93">
        <f t="shared" si="3"/>
        <v>35.268976708791008</v>
      </c>
      <c r="G25" s="12"/>
      <c r="H25" s="103">
        <f>COUNTIFS('Region 12'!$G$2:$G$459,$B25,'Region 12'!$X$2:$X$459,H$2)</f>
        <v>47</v>
      </c>
      <c r="I25" s="103">
        <f>COUNTIFS('Region 12'!$G$2:$G$459,$B25,'Region 12'!$X$2:$X$459,I$2)</f>
        <v>0</v>
      </c>
      <c r="J25" s="103">
        <f>COUNTIFS('Region 12'!$G$2:$G$459,$B25,'Region 12'!$X$2:$X$459,J$2)</f>
        <v>36</v>
      </c>
      <c r="K25" s="103">
        <f>COUNTIFS('Region 12'!$G$2:$G$459,$B25,'Region 12'!$X$2:$X$459,K$2)</f>
        <v>12</v>
      </c>
      <c r="L25" s="12"/>
      <c r="M25" s="103" t="s">
        <v>237</v>
      </c>
      <c r="N25" s="104">
        <f>AVERAGEIFS('Region 12'!$R$2:$R$459, 'Region 12'!$X$2:$X$459,N$2,'Region 12'!$G$2:$G$459, $B25)</f>
        <v>23.904409363450789</v>
      </c>
      <c r="O25" s="104" t="e">
        <f>AVERAGEIFS('Region 12'!$R$2:$R$459, 'Region 12'!$X$2:$X$459,O$2,'Region 12'!$G$2:$G$459, $B25)</f>
        <v>#DIV/0!</v>
      </c>
      <c r="P25" s="104">
        <f>AVERAGEIFS('Region 12'!$R$2:$R$459, 'Region 12'!$X$2:$X$459,P$2,'Region 12'!$G$2:$G$459, $B25)</f>
        <v>37.003117289068562</v>
      </c>
      <c r="Q25" s="104">
        <f>AVERAGEIFS('Region 12'!$R$2:$R$459, 'Region 12'!$X$2:$X$459,Q$2,'Region 12'!$G$2:$G$459, $B25)</f>
        <v>35.268976708791008</v>
      </c>
      <c r="R25" s="105"/>
      <c r="S25" s="12"/>
      <c r="T25" s="12"/>
      <c r="U25" s="12"/>
      <c r="V25" s="12"/>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row>
    <row r="26" spans="1:158" x14ac:dyDescent="0.3">
      <c r="A26" s="6">
        <v>12</v>
      </c>
      <c r="B26" s="6" t="str">
        <f t="shared" si="4"/>
        <v>Rural</v>
      </c>
      <c r="C26" s="93" t="str">
        <f t="shared" si="0"/>
        <v>-</v>
      </c>
      <c r="D26" s="93" t="str">
        <f t="shared" si="1"/>
        <v>-</v>
      </c>
      <c r="E26" s="93" t="str">
        <f t="shared" si="2"/>
        <v>-</v>
      </c>
      <c r="F26" s="93" t="str">
        <f t="shared" si="3"/>
        <v>-</v>
      </c>
      <c r="G26" s="12"/>
      <c r="H26" s="103">
        <f>COUNTIFS('Region 12'!$G$2:$G$459,$B26,'Region 12'!$X$2:$X$459,H$2)</f>
        <v>0</v>
      </c>
      <c r="I26" s="103">
        <f>COUNTIFS('Region 12'!$G$2:$G$459,$B26,'Region 12'!$X$2:$X$459,I$2)</f>
        <v>0</v>
      </c>
      <c r="J26" s="103">
        <f>COUNTIFS('Region 12'!$G$2:$G$459,$B26,'Region 12'!$X$2:$X$459,J$2)</f>
        <v>0</v>
      </c>
      <c r="K26" s="103">
        <f>COUNTIFS('Region 12'!$G$2:$G$459,$B26,'Region 12'!$X$2:$X$459,K$2)</f>
        <v>0</v>
      </c>
      <c r="L26" s="12"/>
      <c r="M26" s="103" t="s">
        <v>215</v>
      </c>
      <c r="N26" s="104" t="e">
        <f>AVERAGEIFS('Region 12'!$R$2:$R$459, 'Region 12'!$X$2:$X$459,N$2,'Region 12'!$G$2:$G$459, $B26)</f>
        <v>#DIV/0!</v>
      </c>
      <c r="O26" s="104" t="e">
        <f>AVERAGEIFS('Region 12'!$R$2:$R$459, 'Region 12'!$X$2:$X$459,O$2,'Region 12'!$G$2:$G$459, $B26)</f>
        <v>#DIV/0!</v>
      </c>
      <c r="P26" s="104" t="e">
        <f>AVERAGEIFS('Region 12'!$R$2:$R$459, 'Region 12'!$X$2:$X$459,P$2,'Region 12'!$G$2:$G$459, $B26)</f>
        <v>#DIV/0!</v>
      </c>
      <c r="Q26" s="104" t="e">
        <f>AVERAGEIFS('Region 12'!$R$2:$R$459, 'Region 12'!$X$2:$X$459,Q$2,'Region 12'!$G$2:$G$459, $B26)</f>
        <v>#DIV/0!</v>
      </c>
      <c r="R26" s="105"/>
      <c r="S26" s="12"/>
      <c r="T26" s="12"/>
      <c r="U26" s="12"/>
      <c r="V26" s="12"/>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row>
    <row r="27" spans="1:158" x14ac:dyDescent="0.3">
      <c r="A27" s="6">
        <v>13</v>
      </c>
      <c r="B27" s="6" t="str">
        <f t="shared" si="4"/>
        <v>Urban</v>
      </c>
      <c r="C27" s="93" t="str">
        <f t="shared" si="0"/>
        <v>-</v>
      </c>
      <c r="D27" s="93" t="str">
        <f t="shared" si="1"/>
        <v>-</v>
      </c>
      <c r="E27" s="93" t="str">
        <f t="shared" si="2"/>
        <v>-</v>
      </c>
      <c r="F27" s="93">
        <f t="shared" si="3"/>
        <v>65</v>
      </c>
      <c r="G27" s="12"/>
      <c r="H27" s="103">
        <f>COUNTIFS('Region 13'!$G$2:$G$500,$B27,'Region 13'!$X$2:$X$500,H$2)</f>
        <v>0</v>
      </c>
      <c r="I27" s="103">
        <f>COUNTIFS('Region 13'!$G$2:$G$500,$B27,'Region 13'!$X$2:$X$500,I$2)</f>
        <v>0</v>
      </c>
      <c r="J27" s="103">
        <f>COUNTIFS('Region 13'!$G$2:$G$500,$B27,'Region 13'!$X$2:$X$500,J$2)</f>
        <v>0</v>
      </c>
      <c r="K27" s="103">
        <f>COUNTIFS('Region 13'!$G$2:$G$500,$B27,'Region 13'!$X$2:$X$500,K$2)</f>
        <v>3</v>
      </c>
      <c r="L27" s="12"/>
      <c r="M27" s="103" t="s">
        <v>237</v>
      </c>
      <c r="N27" s="104" t="e">
        <f>AVERAGEIFS('Region 13'!$R$2:$R$500, 'Region 13'!$X$2:$X$500,N$2,'Region 13'!$G$2:$G$500, $B27)</f>
        <v>#DIV/0!</v>
      </c>
      <c r="O27" s="104" t="e">
        <f>AVERAGEIFS('Region 13'!$R$2:$R$500, 'Region 13'!$X$2:$X$500,O$2,'Region 13'!$G$2:$G$500, $B27)</f>
        <v>#DIV/0!</v>
      </c>
      <c r="P27" s="104" t="e">
        <f>AVERAGEIFS('Region 13'!$R$2:$R$500, 'Region 13'!$X$2:$X$500,P$2,'Region 13'!$G$2:$G$500, $B27)</f>
        <v>#DIV/0!</v>
      </c>
      <c r="Q27" s="104">
        <f>AVERAGEIFS('Region 13'!$R$2:$R$500, 'Region 13'!$X$2:$X$500,Q$2,'Region 13'!$G$2:$G$500, $B27)</f>
        <v>65</v>
      </c>
      <c r="R27" s="105"/>
      <c r="S27" s="12"/>
      <c r="T27" s="12"/>
      <c r="U27" s="12"/>
      <c r="V27" s="12"/>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row>
    <row r="28" spans="1:158" x14ac:dyDescent="0.3">
      <c r="A28" s="6">
        <v>13</v>
      </c>
      <c r="B28" s="6" t="str">
        <f t="shared" si="4"/>
        <v>Rural</v>
      </c>
      <c r="C28" s="93" t="str">
        <f t="shared" si="0"/>
        <v>-</v>
      </c>
      <c r="D28" s="93" t="str">
        <f t="shared" si="1"/>
        <v>-</v>
      </c>
      <c r="E28" s="93">
        <f t="shared" si="2"/>
        <v>22</v>
      </c>
      <c r="F28" s="93" t="str">
        <f t="shared" si="3"/>
        <v>-</v>
      </c>
      <c r="G28" s="12"/>
      <c r="H28" s="103">
        <f>COUNTIFS('Region 13'!$G$2:$G$500,$B28,'Region 13'!$X$2:$X$500,H$2)</f>
        <v>0</v>
      </c>
      <c r="I28" s="103">
        <f>COUNTIFS('Region 13'!$G$2:$G$500,$B28,'Region 13'!$X$2:$X$500,I$2)</f>
        <v>0</v>
      </c>
      <c r="J28" s="103">
        <f>COUNTIFS('Region 13'!$G$2:$G$500,$B28,'Region 13'!$X$2:$X$500,J$2)</f>
        <v>3</v>
      </c>
      <c r="K28" s="103">
        <f>COUNTIFS('Region 13'!$G$2:$G$500,$B28,'Region 13'!$X$2:$X$500,K$2)</f>
        <v>0</v>
      </c>
      <c r="L28" s="12"/>
      <c r="M28" s="103" t="s">
        <v>215</v>
      </c>
      <c r="N28" s="104" t="e">
        <f>AVERAGEIFS('Region 13'!$R$2:$R$500, 'Region 13'!$X$2:$X$500,N$2,'Region 13'!$G$2:$G$500, $B28)</f>
        <v>#DIV/0!</v>
      </c>
      <c r="O28" s="104" t="e">
        <f>AVERAGEIFS('Region 13'!$R$2:$R$500, 'Region 13'!$X$2:$X$500,O$2,'Region 13'!$G$2:$G$500, $B28)</f>
        <v>#DIV/0!</v>
      </c>
      <c r="P28" s="104">
        <f>AVERAGEIFS('Region 13'!$R$2:$R$500, 'Region 13'!$X$2:$X$500,P$2,'Region 13'!$G$2:$G$500, $B28)</f>
        <v>22</v>
      </c>
      <c r="Q28" s="104" t="e">
        <f>AVERAGEIFS('Region 13'!$R$2:$R$500, 'Region 13'!$X$2:$X$500,Q$2,'Region 13'!$G$2:$G$500, $B28)</f>
        <v>#DIV/0!</v>
      </c>
      <c r="R28" s="105"/>
      <c r="S28" s="12"/>
      <c r="T28" s="12"/>
      <c r="U28" s="12"/>
      <c r="V28" s="12"/>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row>
    <row r="29" spans="1:158" x14ac:dyDescent="0.3">
      <c r="A29" s="6">
        <v>14</v>
      </c>
      <c r="B29" s="6" t="str">
        <f t="shared" si="4"/>
        <v>Urban</v>
      </c>
      <c r="C29" s="93" t="str">
        <f t="shared" si="0"/>
        <v>-</v>
      </c>
      <c r="D29" s="93" t="str">
        <f t="shared" si="1"/>
        <v>-</v>
      </c>
      <c r="E29" s="93" t="str">
        <f t="shared" si="2"/>
        <v>-</v>
      </c>
      <c r="F29" s="93" t="str">
        <f t="shared" si="3"/>
        <v>-</v>
      </c>
      <c r="G29" s="12"/>
      <c r="H29" s="103">
        <f>COUNTIFS('Region 14'!$G$2:$G$500,$B29,'Region 14'!$X$2:$X$500,H$2)</f>
        <v>0</v>
      </c>
      <c r="I29" s="103">
        <f>COUNTIFS('Region 14'!$G$2:$G$500,$B29,'Region 14'!$X$2:$X$500,I$2)</f>
        <v>0</v>
      </c>
      <c r="J29" s="103">
        <f>COUNTIFS('Region 14'!$G$2:$G$500,$B29,'Region 14'!$X$2:$X$500,J$2)</f>
        <v>0</v>
      </c>
      <c r="K29" s="103">
        <f>COUNTIFS('Region 14'!$G$2:$G$500,$B29,'Region 14'!$X$2:$X$500,K$2)</f>
        <v>0</v>
      </c>
      <c r="L29" s="12"/>
      <c r="M29" s="103" t="s">
        <v>237</v>
      </c>
      <c r="N29" s="104" t="e">
        <f ca="1">AVERAGEIFS('Region 14'!$R$2:$R$500, 'Region 14'!$X$2:$X$500,N$2,'Region 14'!$G$2:$G$500, $B29)</f>
        <v>#DIV/0!</v>
      </c>
      <c r="O29" s="104" t="e">
        <f ca="1">AVERAGEIFS('Region 14'!$R$2:$R$500, 'Region 14'!$X$2:$X$500,O$2,'Region 14'!$G$2:$G$500, $B29)</f>
        <v>#DIV/0!</v>
      </c>
      <c r="P29" s="104" t="e">
        <f ca="1">AVERAGEIFS('Region 14'!$R$2:$R$500, 'Region 14'!$X$2:$X$500,P$2,'Region 14'!$G$2:$G$500, $B29)</f>
        <v>#DIV/0!</v>
      </c>
      <c r="Q29" s="104" t="e">
        <f ca="1">AVERAGEIFS('Region 14'!$R$2:$R$500, 'Region 14'!$X$2:$X$500,Q$2,'Region 14'!$G$2:$G$500, $B29)</f>
        <v>#DIV/0!</v>
      </c>
      <c r="R29" s="105"/>
      <c r="S29" s="6"/>
      <c r="T29" s="6"/>
      <c r="U29" s="6"/>
      <c r="V29" s="6"/>
    </row>
    <row r="30" spans="1:158" x14ac:dyDescent="0.3">
      <c r="A30" s="6">
        <v>14</v>
      </c>
      <c r="B30" s="6" t="str">
        <f t="shared" si="4"/>
        <v>Rural</v>
      </c>
      <c r="C30" s="93" t="str">
        <f t="shared" si="0"/>
        <v>-</v>
      </c>
      <c r="D30" s="93" t="str">
        <f t="shared" si="1"/>
        <v>-</v>
      </c>
      <c r="E30" s="93" t="str">
        <f t="shared" si="2"/>
        <v>-</v>
      </c>
      <c r="F30" s="93" t="str">
        <f t="shared" si="3"/>
        <v>-</v>
      </c>
      <c r="G30" s="12"/>
      <c r="H30" s="103">
        <f>COUNTIFS('Region 14'!$G$2:$G$500,$B30,'Region 14'!$X$2:$X$500,H$2)</f>
        <v>0</v>
      </c>
      <c r="I30" s="103">
        <f>COUNTIFS('Region 14'!$G$2:$G$500,$B30,'Region 14'!$X$2:$X$500,I$2)</f>
        <v>0</v>
      </c>
      <c r="J30" s="103">
        <f>COUNTIFS('Region 14'!$G$2:$G$500,$B30,'Region 14'!$X$2:$X$500,J$2)</f>
        <v>0</v>
      </c>
      <c r="K30" s="103">
        <f>COUNTIFS('Region 14'!$G$2:$G$500,$B30,'Region 14'!$X$2:$X$500,K$2)</f>
        <v>0</v>
      </c>
      <c r="L30" s="12"/>
      <c r="M30" s="103" t="s">
        <v>215</v>
      </c>
      <c r="N30" s="104" t="e">
        <f ca="1">AVERAGEIFS('Region 14'!$R$2:$R$500, 'Region 14'!$X$2:$X$500,N$2,'Region 14'!$G$2:$G$500, $B30)</f>
        <v>#DIV/0!</v>
      </c>
      <c r="O30" s="104" t="e">
        <f ca="1">AVERAGEIFS('Region 14'!$R$2:$R$500, 'Region 14'!$X$2:$X$500,O$2,'Region 14'!$G$2:$G$500, $B30)</f>
        <v>#DIV/0!</v>
      </c>
      <c r="P30" s="104" t="e">
        <f ca="1">AVERAGEIFS('Region 14'!$R$2:$R$500, 'Region 14'!$X$2:$X$500,P$2,'Region 14'!$G$2:$G$500, $B30)</f>
        <v>#DIV/0!</v>
      </c>
      <c r="Q30" s="104" t="e">
        <f ca="1">AVERAGEIFS('Region 14'!$R$2:$R$500, 'Region 14'!$X$2:$X$500,Q$2,'Region 14'!$G$2:$G$500, $B30)</f>
        <v>#DIV/0!</v>
      </c>
      <c r="R30" s="105"/>
      <c r="S30" s="6"/>
      <c r="T30" s="6"/>
      <c r="U30" s="6"/>
      <c r="V30" s="6"/>
    </row>
    <row r="31" spans="1:158" x14ac:dyDescent="0.3">
      <c r="A31" s="6">
        <v>15</v>
      </c>
      <c r="B31" s="6" t="str">
        <f t="shared" si="4"/>
        <v>Urban</v>
      </c>
      <c r="C31" s="93" t="str">
        <f t="shared" si="0"/>
        <v>-</v>
      </c>
      <c r="D31" s="93" t="str">
        <f t="shared" si="1"/>
        <v>-</v>
      </c>
      <c r="E31" s="93" t="str">
        <f t="shared" si="2"/>
        <v>-</v>
      </c>
      <c r="F31" s="93" t="str">
        <f t="shared" si="3"/>
        <v>-</v>
      </c>
      <c r="G31" s="12"/>
      <c r="H31" s="103">
        <f>COUNTIFS('Region 15'!$G$2:$G$500,$B31,'Region 15'!$X$2:$X$500,H$2)</f>
        <v>0</v>
      </c>
      <c r="I31" s="103">
        <f>COUNTIFS('Region 15'!$G$2:$G$500,$B31,'Region 15'!$X$2:$X$500,I$2)</f>
        <v>0</v>
      </c>
      <c r="J31" s="103">
        <f>COUNTIFS('Region 15'!$G$2:$G$500,$B31,'Region 15'!$X$2:$X$500,J$2)</f>
        <v>0</v>
      </c>
      <c r="K31" s="103">
        <f>COUNTIFS('Region 15'!$G$2:$G$500,$B31,'Region 15'!$X$2:$X$500,K$2)</f>
        <v>0</v>
      </c>
      <c r="L31" s="12"/>
      <c r="M31" s="103" t="s">
        <v>237</v>
      </c>
      <c r="N31" s="104" t="e">
        <f ca="1">AVERAGEIFS('Region 15'!$R$2:$R$500, 'Region 15'!$X$2:$X$500,N$2,'Region 15'!$G$2:$G$500, $B31)</f>
        <v>#DIV/0!</v>
      </c>
      <c r="O31" s="104" t="e">
        <f ca="1">AVERAGEIFS('Region 15'!$R$2:$R$500, 'Region 15'!$X$2:$X$500,O$2,'Region 15'!$G$2:$G$500, $B31)</f>
        <v>#DIV/0!</v>
      </c>
      <c r="P31" s="104" t="e">
        <f ca="1">AVERAGEIFS('Region 15'!$R$2:$R$500, 'Region 15'!$X$2:$X$500,P$2,'Region 15'!$G$2:$G$500, $B31)</f>
        <v>#DIV/0!</v>
      </c>
      <c r="Q31" s="104" t="e">
        <f ca="1">AVERAGEIFS('Region 15'!$R$2:$R$500, 'Region 15'!$X$2:$X$500,Q$2,'Region 15'!$G$2:$G$500, $B31)</f>
        <v>#DIV/0!</v>
      </c>
      <c r="R31" s="105"/>
      <c r="S31" s="6"/>
      <c r="T31" s="6"/>
      <c r="U31" s="6"/>
      <c r="V31" s="6"/>
    </row>
    <row r="32" spans="1:158" x14ac:dyDescent="0.3">
      <c r="A32" s="6">
        <v>15</v>
      </c>
      <c r="B32" s="6" t="str">
        <f t="shared" si="4"/>
        <v>Rural</v>
      </c>
      <c r="C32" s="93" t="str">
        <f t="shared" si="0"/>
        <v>-</v>
      </c>
      <c r="D32" s="93" t="str">
        <f t="shared" si="1"/>
        <v>-</v>
      </c>
      <c r="E32" s="93" t="str">
        <f t="shared" si="2"/>
        <v>-</v>
      </c>
      <c r="F32" s="93" t="str">
        <f t="shared" si="3"/>
        <v>-</v>
      </c>
      <c r="G32" s="12"/>
      <c r="H32" s="103">
        <f>COUNTIFS('Region 15'!$G$2:$G$500,$B32,'Region 15'!$X$2:$X$500,H$2)</f>
        <v>0</v>
      </c>
      <c r="I32" s="103">
        <f>COUNTIFS('Region 15'!$G$2:$G$500,$B32,'Region 15'!$X$2:$X$500,I$2)</f>
        <v>0</v>
      </c>
      <c r="J32" s="103">
        <f>COUNTIFS('Region 15'!$G$2:$G$500,$B32,'Region 15'!$X$2:$X$500,J$2)</f>
        <v>0</v>
      </c>
      <c r="K32" s="103">
        <f>COUNTIFS('Region 15'!$G$2:$G$500,$B32,'Region 15'!$X$2:$X$500,K$2)</f>
        <v>0</v>
      </c>
      <c r="L32" s="12"/>
      <c r="M32" s="103" t="s">
        <v>215</v>
      </c>
      <c r="N32" s="104" t="e">
        <f ca="1">AVERAGEIFS('Region 15'!$R$2:$R$500, 'Region 15'!$X$2:$X$500,N$2,'Region 15'!$G$2:$G$500, $B32)</f>
        <v>#DIV/0!</v>
      </c>
      <c r="O32" s="104" t="e">
        <f ca="1">AVERAGEIFS('Region 15'!$R$2:$R$500, 'Region 15'!$X$2:$X$500,O$2,'Region 15'!$G$2:$G$500, $B32)</f>
        <v>#DIV/0!</v>
      </c>
      <c r="P32" s="104" t="e">
        <f ca="1">AVERAGEIFS('Region 15'!$R$2:$R$500, 'Region 15'!$X$2:$X$500,P$2,'Region 15'!$G$2:$G$500, $B32)</f>
        <v>#DIV/0!</v>
      </c>
      <c r="Q32" s="104" t="e">
        <f ca="1">AVERAGEIFS('Region 15'!$R$2:$R$500, 'Region 15'!$X$2:$X$500,Q$2,'Region 15'!$G$2:$G$500, $B32)</f>
        <v>#DIV/0!</v>
      </c>
      <c r="R32" s="105"/>
      <c r="S32" s="6"/>
      <c r="T32" s="6"/>
      <c r="U32" s="6"/>
      <c r="V32" s="6"/>
    </row>
    <row r="33" spans="1:22" x14ac:dyDescent="0.3">
      <c r="A33" s="6">
        <v>16</v>
      </c>
      <c r="B33" s="6" t="str">
        <f t="shared" si="4"/>
        <v>Urban</v>
      </c>
      <c r="C33" s="93" t="str">
        <f t="shared" si="0"/>
        <v>-</v>
      </c>
      <c r="D33" s="93" t="str">
        <f t="shared" si="1"/>
        <v>-</v>
      </c>
      <c r="E33" s="93" t="str">
        <f t="shared" si="2"/>
        <v>-</v>
      </c>
      <c r="F33" s="93" t="str">
        <f t="shared" si="3"/>
        <v>-</v>
      </c>
      <c r="G33" s="12"/>
      <c r="H33" s="103">
        <f>COUNTIFS('Region 16'!$G$2:$G$500,$B31,'Region 16'!$X$2:$X$500,H$2)</f>
        <v>0</v>
      </c>
      <c r="I33" s="103">
        <f>COUNTIFS('Region 16'!$G$2:$G$500,$B31,'Region 16'!$X$2:$X$500,I$2)</f>
        <v>0</v>
      </c>
      <c r="J33" s="103">
        <f>COUNTIFS('Region 16'!$G$2:$G$500,$B31,'Region 16'!$X$2:$X$500,J$2)</f>
        <v>0</v>
      </c>
      <c r="K33" s="103">
        <f>COUNTIFS('Region 16'!$G$2:$G$500,$B31,'Region 16'!$X$2:$X$500,K$2)</f>
        <v>0</v>
      </c>
      <c r="L33" s="12"/>
      <c r="M33" s="103" t="s">
        <v>237</v>
      </c>
      <c r="N33" s="104" t="e">
        <f ca="1">AVERAGEIFS('Region 16'!$R$2:$R$500, 'Region 16'!$X$2:$X$500,N$2,'Region 16'!$G$2:$G$500, $B33)</f>
        <v>#DIV/0!</v>
      </c>
      <c r="O33" s="104" t="e">
        <f ca="1">AVERAGEIFS('Region 16'!$R$2:$R$500, 'Region 16'!$X$2:$X$500,O$2,'Region 16'!$G$2:$G$500, $B33)</f>
        <v>#DIV/0!</v>
      </c>
      <c r="P33" s="104" t="e">
        <f ca="1">AVERAGEIFS('Region 16'!$R$2:$R$500, 'Region 16'!$X$2:$X$500,P$2,'Region 16'!$G$2:$G$500, $B33)</f>
        <v>#DIV/0!</v>
      </c>
      <c r="Q33" s="104" t="e">
        <f ca="1">AVERAGEIFS('Region 16'!$R$2:$R$500, 'Region 16'!$X$2:$X$500,Q$2,'Region 16'!$G$2:$G$500, $B33)</f>
        <v>#DIV/0!</v>
      </c>
      <c r="R33" s="105"/>
      <c r="S33" s="6"/>
      <c r="T33" s="6"/>
      <c r="U33" s="6"/>
      <c r="V33" s="6"/>
    </row>
    <row r="34" spans="1:22" x14ac:dyDescent="0.3">
      <c r="A34" s="6">
        <v>16</v>
      </c>
      <c r="B34" s="6" t="str">
        <f t="shared" si="4"/>
        <v>Rural</v>
      </c>
      <c r="C34" s="93" t="str">
        <f t="shared" si="0"/>
        <v>-</v>
      </c>
      <c r="D34" s="93" t="str">
        <f t="shared" si="1"/>
        <v>-</v>
      </c>
      <c r="E34" s="93" t="str">
        <f t="shared" si="2"/>
        <v>-</v>
      </c>
      <c r="F34" s="93" t="str">
        <f t="shared" si="3"/>
        <v>-</v>
      </c>
      <c r="G34" s="12"/>
      <c r="H34" s="103">
        <f>COUNTIFS('Region 16'!$G$2:$G$500,$B32,'Region 16'!$X$2:$X$500,H$2)</f>
        <v>0</v>
      </c>
      <c r="I34" s="103">
        <f>COUNTIFS('Region 16'!$G$2:$G$500,$B32,'Region 16'!$X$2:$X$500,I$2)</f>
        <v>0</v>
      </c>
      <c r="J34" s="103">
        <f>COUNTIFS('Region 16'!$G$2:$G$500,$B32,'Region 16'!$X$2:$X$500,J$2)</f>
        <v>0</v>
      </c>
      <c r="K34" s="103">
        <f>COUNTIFS('Region 16'!$G$2:$G$500,$B32,'Region 16'!$X$2:$X$500,K$2)</f>
        <v>0</v>
      </c>
      <c r="L34" s="12"/>
      <c r="M34" s="103" t="s">
        <v>215</v>
      </c>
      <c r="N34" s="104" t="e">
        <f ca="1">AVERAGEIFS('Region 16'!$R$2:$R$500, 'Region 16'!$X$2:$X$500,N$2,'Region 16'!$G$2:$G$500, $B34)</f>
        <v>#DIV/0!</v>
      </c>
      <c r="O34" s="104" t="e">
        <f ca="1">AVERAGEIFS('Region 16'!$R$2:$R$500, 'Region 16'!$X$2:$X$500,O$2,'Region 16'!$G$2:$G$500, $B34)</f>
        <v>#DIV/0!</v>
      </c>
      <c r="P34" s="104" t="e">
        <f ca="1">AVERAGEIFS('Region 16'!$R$2:$R$500, 'Region 16'!$X$2:$X$500,P$2,'Region 16'!$G$2:$G$500, $B34)</f>
        <v>#DIV/0!</v>
      </c>
      <c r="Q34" s="104" t="e">
        <f ca="1">AVERAGEIFS('Region 16'!$R$2:$R$500, 'Region 16'!$X$2:$X$500,Q$2,'Region 16'!$G$2:$G$500, $B34)</f>
        <v>#DIV/0!</v>
      </c>
      <c r="R34" s="105"/>
      <c r="S34" s="6"/>
      <c r="T34" s="6"/>
      <c r="U34" s="6"/>
      <c r="V34" s="6"/>
    </row>
    <row r="35" spans="1:22" x14ac:dyDescent="0.3">
      <c r="A35" s="6">
        <v>17</v>
      </c>
      <c r="B35" s="6" t="str">
        <f t="shared" si="4"/>
        <v>Urban</v>
      </c>
      <c r="C35" s="93">
        <f t="shared" ref="C35:C54" si="5">IF(H35=0,"-",N35)</f>
        <v>57.521249999999988</v>
      </c>
      <c r="D35" s="93" t="str">
        <f t="shared" ref="D35:D54" si="6">IF(I35=0,"-",O35)</f>
        <v>-</v>
      </c>
      <c r="E35" s="93">
        <f t="shared" ref="E35:E54" si="7">IF(J35=0,"-",P35)</f>
        <v>28.25</v>
      </c>
      <c r="F35" s="93" t="str">
        <f t="shared" ref="F35:F54" si="8">IF(K35=0,"-",Q35)</f>
        <v>-</v>
      </c>
      <c r="G35" s="12"/>
      <c r="H35" s="103">
        <f>COUNTIFS('Region 17'!$G$2:$G$293,$B33,'Region 17'!$X$2:$X$293,H$2)</f>
        <v>10</v>
      </c>
      <c r="I35" s="103">
        <f>COUNTIFS('Region 17'!$G$2:$G$293,$B33,'Region 17'!$X$2:$X$293,I$2)</f>
        <v>0</v>
      </c>
      <c r="J35" s="103">
        <f>COUNTIFS('Region 17'!$G$2:$G$293,$B33,'Region 17'!$X$2:$X$293,J$2)</f>
        <v>2</v>
      </c>
      <c r="K35" s="103">
        <f>COUNTIFS('Region 17'!$G$2:$G$293,$B33,'Region 17'!$X$2:$X$293,K$2)</f>
        <v>0</v>
      </c>
      <c r="L35" s="12"/>
      <c r="M35" s="103" t="s">
        <v>237</v>
      </c>
      <c r="N35" s="104">
        <f>AVERAGEIFS('Region 17'!$R$2:$R$498, 'Region 17'!$X$2:$X$498,N$2,'Region 17'!$G$2:$G$498, $B35)</f>
        <v>57.521249999999988</v>
      </c>
      <c r="O35" s="104" t="e">
        <f>AVERAGEIFS('Region 17'!$R$2:$R$498, 'Region 17'!$X$2:$X$498,O$2,'Region 17'!$G$2:$G$498, $B35)</f>
        <v>#DIV/0!</v>
      </c>
      <c r="P35" s="104">
        <f>AVERAGEIFS('Region 17'!$R$2:$R$498, 'Region 17'!$X$2:$X$498,P$2,'Region 17'!$G$2:$G$498, $B35)</f>
        <v>28.25</v>
      </c>
      <c r="Q35" s="104" t="e">
        <f>AVERAGEIFS('Region 17'!$R$2:$R$498, 'Region 17'!$X$2:$X$498,Q$2,'Region 17'!$G$2:$G$498, $B35)</f>
        <v>#DIV/0!</v>
      </c>
      <c r="R35" s="105"/>
      <c r="S35" s="6"/>
      <c r="T35" s="6"/>
      <c r="U35" s="6"/>
      <c r="V35" s="6"/>
    </row>
    <row r="36" spans="1:22" x14ac:dyDescent="0.3">
      <c r="A36" s="6">
        <v>17</v>
      </c>
      <c r="B36" s="6" t="str">
        <f t="shared" si="4"/>
        <v>Rural</v>
      </c>
      <c r="C36" s="93" t="str">
        <f t="shared" si="5"/>
        <v>-</v>
      </c>
      <c r="D36" s="93" t="str">
        <f t="shared" si="6"/>
        <v>-</v>
      </c>
      <c r="E36" s="93" t="str">
        <f t="shared" si="7"/>
        <v>-</v>
      </c>
      <c r="F36" s="93" t="str">
        <f t="shared" si="8"/>
        <v>-</v>
      </c>
      <c r="G36" s="12"/>
      <c r="H36" s="103">
        <f>COUNTIFS('Region 17'!$G$2:$G$293,$B34,'Region 17'!$X$2:$X$293,H$2)</f>
        <v>0</v>
      </c>
      <c r="I36" s="103">
        <f>COUNTIFS('Region 17'!$G$2:$G$293,$B34,'Region 17'!$X$2:$X$293,I$2)</f>
        <v>0</v>
      </c>
      <c r="J36" s="103">
        <f>COUNTIFS('Region 17'!$G$2:$G$293,$B34,'Region 17'!$X$2:$X$293,J$2)</f>
        <v>0</v>
      </c>
      <c r="K36" s="103">
        <f>COUNTIFS('Region 17'!$G$2:$G$293,$B34,'Region 17'!$X$2:$X$293,K$2)</f>
        <v>0</v>
      </c>
      <c r="L36" s="12"/>
      <c r="M36" s="103" t="s">
        <v>215</v>
      </c>
      <c r="N36" s="104" t="e">
        <f>AVERAGEIFS('Region 17'!$R$2:$R$498, 'Region 17'!$X$2:$X$498,N$2,'Region 17'!$G$2:$G$498, $B36)</f>
        <v>#DIV/0!</v>
      </c>
      <c r="O36" s="104" t="e">
        <f>AVERAGEIFS('Region 17'!$R$2:$R$498, 'Region 17'!$X$2:$X$498,O$2,'Region 17'!$G$2:$G$498, $B36)</f>
        <v>#DIV/0!</v>
      </c>
      <c r="P36" s="104" t="e">
        <f>AVERAGEIFS('Region 17'!$R$2:$R$498, 'Region 17'!$X$2:$X$498,P$2,'Region 17'!$G$2:$G$498, $B36)</f>
        <v>#DIV/0!</v>
      </c>
      <c r="Q36" s="104" t="e">
        <f>AVERAGEIFS('Region 17'!$R$2:$R$498, 'Region 17'!$X$2:$X$498,Q$2,'Region 17'!$G$2:$G$498, $B36)</f>
        <v>#DIV/0!</v>
      </c>
      <c r="R36" s="105"/>
      <c r="S36" s="6"/>
      <c r="T36" s="6"/>
      <c r="U36" s="6"/>
      <c r="V36" s="6"/>
    </row>
    <row r="37" spans="1:22" x14ac:dyDescent="0.3">
      <c r="A37" s="6">
        <v>18</v>
      </c>
      <c r="B37" s="6" t="str">
        <f t="shared" si="4"/>
        <v>Urban</v>
      </c>
      <c r="C37" s="93">
        <f t="shared" si="5"/>
        <v>13.274013157894739</v>
      </c>
      <c r="D37" s="93" t="str">
        <f t="shared" si="6"/>
        <v>-</v>
      </c>
      <c r="E37" s="93">
        <f t="shared" si="7"/>
        <v>10</v>
      </c>
      <c r="F37" s="93">
        <f t="shared" si="8"/>
        <v>28.037500000000005</v>
      </c>
      <c r="G37" s="12"/>
      <c r="H37" s="103">
        <f>COUNTIFS('Region 18'!$G$2:$G$262,$B35,'Region 18'!$X$2:$X$262,H$2)</f>
        <v>42</v>
      </c>
      <c r="I37" s="103">
        <f>COUNTIFS('Region 18'!$G$2:$G$262,$B35,'Region 18'!$X$2:$X$262,I$2)</f>
        <v>0</v>
      </c>
      <c r="J37" s="103">
        <f>COUNTIFS('Region 18'!$G$2:$G$262,$B35,'Region 18'!$X$2:$X$262,J$2)</f>
        <v>10</v>
      </c>
      <c r="K37" s="103">
        <f>COUNTIFS('Region 18'!$G$2:$G$262,$B35,'Region 18'!$X$2:$X$262,K$2)</f>
        <v>2</v>
      </c>
      <c r="L37" s="12"/>
      <c r="M37" s="103" t="s">
        <v>237</v>
      </c>
      <c r="N37" s="104">
        <f>AVERAGEIFS('Region 18'!$R$2:$R$468, 'Region 18'!$X$2:$X$468,N$2,'Region 18'!$G$2:$G$468, $B37)</f>
        <v>13.274013157894739</v>
      </c>
      <c r="O37" s="104" t="e">
        <f>AVERAGEIFS('Region 18'!$R$2:$R$468, 'Region 18'!$X$2:$X$468,O$2,'Region 18'!$G$2:$G$468, $B37)</f>
        <v>#DIV/0!</v>
      </c>
      <c r="P37" s="104">
        <f>AVERAGEIFS('Region 18'!$R$2:$R$468, 'Region 18'!$X$2:$X$468,P$2,'Region 18'!$G$2:$G$468, $B37)</f>
        <v>10</v>
      </c>
      <c r="Q37" s="104">
        <f>AVERAGEIFS('Region 18'!$R$2:$R$468, 'Region 18'!$X$2:$X$468,Q$2,'Region 18'!$G$2:$G$468, $B37)</f>
        <v>28.037500000000005</v>
      </c>
      <c r="R37" s="105"/>
      <c r="S37" s="6"/>
      <c r="T37" s="6"/>
      <c r="U37" s="6"/>
      <c r="V37" s="6"/>
    </row>
    <row r="38" spans="1:22" x14ac:dyDescent="0.3">
      <c r="A38" s="6">
        <v>18</v>
      </c>
      <c r="B38" s="6" t="str">
        <f t="shared" si="4"/>
        <v>Rural</v>
      </c>
      <c r="C38" s="93">
        <f t="shared" si="5"/>
        <v>32.625</v>
      </c>
      <c r="D38" s="93" t="str">
        <f t="shared" si="6"/>
        <v>-</v>
      </c>
      <c r="E38" s="93" t="str">
        <f t="shared" si="7"/>
        <v>-</v>
      </c>
      <c r="F38" s="93" t="str">
        <f t="shared" si="8"/>
        <v>-</v>
      </c>
      <c r="G38" s="12"/>
      <c r="H38" s="103">
        <f>COUNTIFS('Region 18'!$G$2:$G$262,$B36,'Region 18'!$X$2:$X$262,H$2)</f>
        <v>1</v>
      </c>
      <c r="I38" s="103">
        <f>COUNTIFS('Region 18'!$G$2:$G$262,$B36,'Region 18'!$X$2:$X$262,I$2)</f>
        <v>0</v>
      </c>
      <c r="J38" s="103">
        <f>COUNTIFS('Region 18'!$G$2:$G$262,$B36,'Region 18'!$X$2:$X$262,J$2)</f>
        <v>0</v>
      </c>
      <c r="K38" s="103">
        <f>COUNTIFS('Region 18'!$G$2:$G$262,$B36,'Region 18'!$X$2:$X$262,K$2)</f>
        <v>0</v>
      </c>
      <c r="L38" s="12"/>
      <c r="M38" s="103" t="s">
        <v>215</v>
      </c>
      <c r="N38" s="104">
        <f>AVERAGEIFS('Region 18'!$R$2:$R$468, 'Region 18'!$X$2:$X$468,N$2,'Region 18'!$G$2:$G$468, $B38)</f>
        <v>32.625</v>
      </c>
      <c r="O38" s="104" t="e">
        <f>AVERAGEIFS('Region 18'!$R$2:$R$468, 'Region 18'!$X$2:$X$468,O$2,'Region 18'!$G$2:$G$468, $B38)</f>
        <v>#DIV/0!</v>
      </c>
      <c r="P38" s="104" t="e">
        <f>AVERAGEIFS('Region 18'!$R$2:$R$468, 'Region 18'!$X$2:$X$468,P$2,'Region 18'!$G$2:$G$468, $B38)</f>
        <v>#DIV/0!</v>
      </c>
      <c r="Q38" s="104" t="e">
        <f>AVERAGEIFS('Region 18'!$R$2:$R$468, 'Region 18'!$X$2:$X$468,Q$2,'Region 18'!$G$2:$G$468, $B38)</f>
        <v>#DIV/0!</v>
      </c>
      <c r="R38" s="105"/>
      <c r="S38" s="6"/>
      <c r="T38" s="6"/>
      <c r="U38" s="6"/>
      <c r="V38" s="6"/>
    </row>
    <row r="39" spans="1:22" x14ac:dyDescent="0.3">
      <c r="A39" s="6">
        <v>19</v>
      </c>
      <c r="B39" s="6" t="str">
        <f t="shared" si="4"/>
        <v>Urban</v>
      </c>
      <c r="C39" s="93" t="str">
        <f t="shared" si="5"/>
        <v>-</v>
      </c>
      <c r="D39" s="93" t="str">
        <f t="shared" si="6"/>
        <v>-</v>
      </c>
      <c r="E39" s="93">
        <f t="shared" si="7"/>
        <v>16.317</v>
      </c>
      <c r="F39" s="93">
        <f t="shared" si="8"/>
        <v>28.647616666666668</v>
      </c>
      <c r="G39" s="12"/>
      <c r="H39" s="103">
        <f>COUNTIFS('Region 19'!$G$2:$G$494,$B37,'Region 19'!$X$2:$X$494,H$2)</f>
        <v>0</v>
      </c>
      <c r="I39" s="103">
        <f>COUNTIFS('Region 19'!$G$2:$G$494,$B37,'Region 19'!$X$2:$X$494,I$2)</f>
        <v>0</v>
      </c>
      <c r="J39" s="103">
        <f>COUNTIFS('Region 19'!$G$2:$G$494,$B37,'Region 19'!$X$2:$X$494,J$2)</f>
        <v>18</v>
      </c>
      <c r="K39" s="103">
        <f>COUNTIFS('Region 19'!$G$2:$G$494,$B37,'Region 19'!$X$2:$X$494,K$2)</f>
        <v>7</v>
      </c>
      <c r="L39" s="12"/>
      <c r="M39" s="103" t="s">
        <v>237</v>
      </c>
      <c r="N39" s="104" t="e">
        <f>AVERAGEIFS('Region 19'!$R$2:$R$494, 'Region 19'!$X$2:$X$494,N$2,'Region 19'!$G$2:$G$494, $B39)</f>
        <v>#DIV/0!</v>
      </c>
      <c r="O39" s="104" t="e">
        <f>AVERAGEIFS('Region 19'!$R$2:$R$494, 'Region 19'!$X$2:$X$494,O$2,'Region 19'!$G$2:$G$494, $B39)</f>
        <v>#DIV/0!</v>
      </c>
      <c r="P39" s="104">
        <f>AVERAGEIFS('Region 19'!$R$2:$R$494, 'Region 19'!$X$2:$X$494,P$2,'Region 19'!$G$2:$G$494, $B39)</f>
        <v>16.317</v>
      </c>
      <c r="Q39" s="104">
        <f>AVERAGEIFS('Region 19'!$R$2:$R$494, 'Region 19'!$X$2:$X$494,Q$2,'Region 19'!$G$2:$G$494, $B39)</f>
        <v>28.647616666666668</v>
      </c>
      <c r="R39" s="105"/>
      <c r="S39" s="6"/>
      <c r="T39" s="6"/>
      <c r="U39" s="6"/>
      <c r="V39" s="6"/>
    </row>
    <row r="40" spans="1:22" x14ac:dyDescent="0.3">
      <c r="A40" s="6">
        <v>19</v>
      </c>
      <c r="B40" s="6" t="str">
        <f t="shared" si="4"/>
        <v>Rural</v>
      </c>
      <c r="C40" s="93" t="str">
        <f t="shared" si="5"/>
        <v>-</v>
      </c>
      <c r="D40" s="93" t="str">
        <f t="shared" si="6"/>
        <v>-</v>
      </c>
      <c r="E40" s="93" t="str">
        <f t="shared" si="7"/>
        <v>-</v>
      </c>
      <c r="F40" s="93" t="str">
        <f t="shared" si="8"/>
        <v>-</v>
      </c>
      <c r="G40" s="12"/>
      <c r="H40" s="103">
        <f>COUNTIFS('Region 19'!$G$2:$G$494,$B38,'Region 19'!$X$2:$X$494,H$2)</f>
        <v>0</v>
      </c>
      <c r="I40" s="103">
        <f>COUNTIFS('Region 19'!$G$2:$G$494,$B38,'Region 19'!$X$2:$X$494,I$2)</f>
        <v>0</v>
      </c>
      <c r="J40" s="103">
        <f>COUNTIFS('Region 19'!$G$2:$G$494,$B38,'Region 19'!$X$2:$X$494,J$2)</f>
        <v>0</v>
      </c>
      <c r="K40" s="103">
        <f>COUNTIFS('Region 19'!$G$2:$G$494,$B38,'Region 19'!$X$2:$X$494,K$2)</f>
        <v>0</v>
      </c>
      <c r="L40" s="12"/>
      <c r="M40" s="103" t="s">
        <v>215</v>
      </c>
      <c r="N40" s="104" t="e">
        <f>AVERAGEIFS('Region 19'!$R$2:$R$494, 'Region 19'!$X$2:$X$494,N$2,'Region 19'!$G$2:$G$494, $B40)</f>
        <v>#DIV/0!</v>
      </c>
      <c r="O40" s="104" t="e">
        <f>AVERAGEIFS('Region 19'!$R$2:$R$494, 'Region 19'!$X$2:$X$494,O$2,'Region 19'!$G$2:$G$494, $B40)</f>
        <v>#DIV/0!</v>
      </c>
      <c r="P40" s="104" t="e">
        <f>AVERAGEIFS('Region 19'!$R$2:$R$494, 'Region 19'!$X$2:$X$494,P$2,'Region 19'!$G$2:$G$494, $B40)</f>
        <v>#DIV/0!</v>
      </c>
      <c r="Q40" s="104" t="e">
        <f>AVERAGEIFS('Region 19'!$R$2:$R$494, 'Region 19'!$X$2:$X$494,Q$2,'Region 19'!$G$2:$G$494, $B40)</f>
        <v>#DIV/0!</v>
      </c>
      <c r="R40" s="105"/>
      <c r="S40" s="6"/>
      <c r="T40" s="6"/>
      <c r="U40" s="6"/>
      <c r="V40" s="6"/>
    </row>
    <row r="41" spans="1:22" x14ac:dyDescent="0.3">
      <c r="A41" s="6">
        <v>20</v>
      </c>
      <c r="B41" s="6" t="str">
        <f t="shared" si="4"/>
        <v>Urban</v>
      </c>
      <c r="C41" s="93">
        <f t="shared" si="5"/>
        <v>17.5</v>
      </c>
      <c r="D41" s="93" t="str">
        <f t="shared" si="6"/>
        <v>-</v>
      </c>
      <c r="E41" s="93">
        <f t="shared" si="7"/>
        <v>41.370750000000001</v>
      </c>
      <c r="F41" s="93">
        <f t="shared" si="8"/>
        <v>25.474687500000002</v>
      </c>
      <c r="G41" s="12"/>
      <c r="H41" s="103">
        <f>COUNTIFS('Region 20'!$G$2:$G$269,$B39,'Region 20'!$X$2:$X$269,H$2)</f>
        <v>12</v>
      </c>
      <c r="I41" s="103">
        <f>COUNTIFS('Region 20'!$G$2:$G$269,$B39,'Region 20'!$X$2:$X$269,I$2)</f>
        <v>0</v>
      </c>
      <c r="J41" s="103">
        <f>COUNTIFS('Region 20'!$G$2:$G$269,$B39,'Region 20'!$X$2:$X$269,J$2)</f>
        <v>3</v>
      </c>
      <c r="K41" s="103">
        <f>COUNTIFS('Region 20'!$G$2:$G$269,$B39,'Region 20'!$X$2:$X$269,K$2)</f>
        <v>16</v>
      </c>
      <c r="L41" s="12"/>
      <c r="M41" s="103" t="s">
        <v>237</v>
      </c>
      <c r="N41" s="104">
        <f>AVERAGEIFS('Region 20'!$R$2:$R$269, 'Region 20'!$X$2:$X$269,N$2,'Region 20'!$G$2:$G$269, $B41)</f>
        <v>17.5</v>
      </c>
      <c r="O41" s="104" t="e">
        <f>AVERAGEIFS('Region 20'!$R$2:$R$269, 'Region 20'!$X$2:$X$269,O$2,'Region 20'!$G$2:$G$269, $B41)</f>
        <v>#DIV/0!</v>
      </c>
      <c r="P41" s="104">
        <f>AVERAGEIFS('Region 20'!$R$2:$R$269, 'Region 20'!$X$2:$X$269,P$2,'Region 20'!$G$2:$G$269, $B41)</f>
        <v>41.370750000000001</v>
      </c>
      <c r="Q41" s="104">
        <f>AVERAGEIFS('Region 20'!$R$2:$R$269, 'Region 20'!$X$2:$X$269,Q$2,'Region 20'!$G$2:$G$269, $B41)</f>
        <v>25.474687500000002</v>
      </c>
      <c r="R41" s="105"/>
      <c r="S41" s="6"/>
      <c r="T41" s="6"/>
      <c r="U41" s="6"/>
      <c r="V41" s="6"/>
    </row>
    <row r="42" spans="1:22" x14ac:dyDescent="0.3">
      <c r="A42" s="6">
        <v>20</v>
      </c>
      <c r="B42" s="6" t="str">
        <f t="shared" si="4"/>
        <v>Rural</v>
      </c>
      <c r="C42" s="93">
        <f t="shared" si="5"/>
        <v>35.196153846153841</v>
      </c>
      <c r="D42" s="93" t="str">
        <f t="shared" si="6"/>
        <v>-</v>
      </c>
      <c r="E42" s="93" t="str">
        <f t="shared" si="7"/>
        <v>-</v>
      </c>
      <c r="F42" s="93" t="str">
        <f t="shared" si="8"/>
        <v>-</v>
      </c>
      <c r="G42" s="6"/>
      <c r="H42" s="103">
        <f>COUNTIFS('Region 20'!$G$2:$G$269,$B40,'Region 20'!$X$2:$X$269,H$2)</f>
        <v>13</v>
      </c>
      <c r="I42" s="103">
        <f>COUNTIFS('Region 20'!$G$2:$G$269,$B40,'Region 20'!$X$2:$X$269,I$2)</f>
        <v>0</v>
      </c>
      <c r="J42" s="103">
        <f>COUNTIFS('Region 20'!$G$2:$G$269,$B40,'Region 20'!$X$2:$X$269,J$2)</f>
        <v>0</v>
      </c>
      <c r="K42" s="103">
        <f>COUNTIFS('Region 20'!$G$2:$G$269,$B40,'Region 20'!$X$2:$X$269,K$2)</f>
        <v>0</v>
      </c>
      <c r="L42" s="12"/>
      <c r="M42" s="103" t="s">
        <v>215</v>
      </c>
      <c r="N42" s="104">
        <f>AVERAGEIFS('Region 20'!$R$2:$R$269, 'Region 20'!$X$2:$X$269,N$2,'Region 20'!$G$2:$G$269, $B42)</f>
        <v>35.196153846153841</v>
      </c>
      <c r="O42" s="104" t="e">
        <f>AVERAGEIFS('Region 20'!$R$2:$R$269, 'Region 20'!$X$2:$X$269,O$2,'Region 20'!$G$2:$G$269, $B42)</f>
        <v>#DIV/0!</v>
      </c>
      <c r="P42" s="104" t="e">
        <f>AVERAGEIFS('Region 20'!$R$2:$R$269, 'Region 20'!$X$2:$X$269,P$2,'Region 20'!$G$2:$G$269, $B42)</f>
        <v>#DIV/0!</v>
      </c>
      <c r="Q42" s="104" t="e">
        <f>AVERAGEIFS('Region 20'!$R$2:$R$269, 'Region 20'!$X$2:$X$269,Q$2,'Region 20'!$G$2:$G$269, $B42)</f>
        <v>#DIV/0!</v>
      </c>
      <c r="R42" s="105"/>
      <c r="S42" s="6"/>
      <c r="T42" s="6"/>
      <c r="U42" s="6"/>
      <c r="V42" s="6"/>
    </row>
    <row r="43" spans="1:22" x14ac:dyDescent="0.3">
      <c r="A43" s="6">
        <v>21</v>
      </c>
      <c r="B43" s="6" t="str">
        <f t="shared" si="4"/>
        <v>Urban</v>
      </c>
      <c r="C43" s="93" t="str">
        <f t="shared" si="5"/>
        <v>-</v>
      </c>
      <c r="D43" s="93">
        <f t="shared" si="6"/>
        <v>44.28</v>
      </c>
      <c r="E43" s="93">
        <f t="shared" si="7"/>
        <v>27.768750000000004</v>
      </c>
      <c r="F43" s="93" t="str">
        <f t="shared" si="8"/>
        <v>-</v>
      </c>
      <c r="G43" s="6"/>
      <c r="H43" s="103">
        <f>COUNTIFS('Region 21'!$G$2:$G$497,$B41,'Region 21'!$X$2:$X$497,H$2)</f>
        <v>0</v>
      </c>
      <c r="I43" s="103">
        <f>COUNTIFS('Region 21'!$G$2:$G$497,$B41,'Region 21'!$X$2:$X$497,I$2)</f>
        <v>3</v>
      </c>
      <c r="J43" s="103">
        <f>COUNTIFS('Region 21'!$G$2:$G$497,$B41,'Region 21'!$X$2:$X$497,J$2)</f>
        <v>10</v>
      </c>
      <c r="K43" s="103">
        <f>COUNTIFS('Region 21'!$G$2:$G$497,$B41,'Region 21'!$X$2:$X$497,K$2)</f>
        <v>0</v>
      </c>
      <c r="L43" s="12"/>
      <c r="M43" s="103" t="s">
        <v>237</v>
      </c>
      <c r="N43" s="104" t="e">
        <f>AVERAGEIFS('Region 21'!$R$2:$R$497, 'Region 21'!$X$2:$X$497,N$2,'Region 21'!$G$2:$G$497, $B43)</f>
        <v>#DIV/0!</v>
      </c>
      <c r="O43" s="104">
        <f>AVERAGEIFS('Region 21'!$R$2:$R$497, 'Region 21'!$X$2:$X$497,O$2,'Region 21'!$G$2:$G$497, $B43)</f>
        <v>44.28</v>
      </c>
      <c r="P43" s="104">
        <f>AVERAGEIFS('Region 21'!$R$2:$R$497, 'Region 21'!$X$2:$X$497,P$2,'Region 21'!$G$2:$G$497, $B43)</f>
        <v>27.768750000000004</v>
      </c>
      <c r="Q43" s="104" t="e">
        <f>AVERAGEIFS('Region 21'!$R$2:$R$497, 'Region 21'!$X$2:$X$497,Q$2,'Region 21'!$G$2:$G$497, $B43)</f>
        <v>#DIV/0!</v>
      </c>
      <c r="R43" s="105"/>
      <c r="S43" s="6"/>
      <c r="T43" s="6"/>
      <c r="U43" s="6"/>
      <c r="V43" s="6"/>
    </row>
    <row r="44" spans="1:22" x14ac:dyDescent="0.3">
      <c r="A44" s="6">
        <v>21</v>
      </c>
      <c r="B44" s="6" t="str">
        <f t="shared" si="4"/>
        <v>Rural</v>
      </c>
      <c r="C44" s="93" t="str">
        <f t="shared" si="5"/>
        <v>-</v>
      </c>
      <c r="D44" s="93" t="str">
        <f t="shared" si="6"/>
        <v>-</v>
      </c>
      <c r="E44" s="93" t="str">
        <f t="shared" si="7"/>
        <v>-</v>
      </c>
      <c r="F44" s="93" t="str">
        <f t="shared" si="8"/>
        <v>-</v>
      </c>
      <c r="G44" s="6"/>
      <c r="H44" s="103">
        <f>COUNTIFS('Region 21'!$G$2:$G$497,$B42,'Region 21'!$X$2:$X$497,H$2)</f>
        <v>0</v>
      </c>
      <c r="I44" s="103">
        <f>COUNTIFS('Region 21'!$G$2:$G$497,$B42,'Region 21'!$X$2:$X$497,I$2)</f>
        <v>0</v>
      </c>
      <c r="J44" s="103">
        <f>COUNTIFS('Region 21'!$G$2:$G$497,$B42,'Region 21'!$X$2:$X$497,J$2)</f>
        <v>0</v>
      </c>
      <c r="K44" s="103">
        <f>COUNTIFS('Region 21'!$G$2:$G$497,$B42,'Region 21'!$X$2:$X$497,K$2)</f>
        <v>0</v>
      </c>
      <c r="L44" s="12"/>
      <c r="M44" s="103" t="s">
        <v>215</v>
      </c>
      <c r="N44" s="104" t="e">
        <f>AVERAGEIFS('Region 21'!$R$2:$R$497, 'Region 21'!$X$2:$X$497,N$2,'Region 21'!$G$2:$G$497, $B44)</f>
        <v>#DIV/0!</v>
      </c>
      <c r="O44" s="104" t="e">
        <f>AVERAGEIFS('Region 21'!$R$2:$R$497, 'Region 21'!$X$2:$X$497,O$2,'Region 21'!$G$2:$G$497, $B44)</f>
        <v>#DIV/0!</v>
      </c>
      <c r="P44" s="104" t="e">
        <f>AVERAGEIFS('Region 21'!$R$2:$R$497, 'Region 21'!$X$2:$X$497,P$2,'Region 21'!$G$2:$G$497, $B44)</f>
        <v>#DIV/0!</v>
      </c>
      <c r="Q44" s="104" t="e">
        <f>AVERAGEIFS('Region 21'!$R$2:$R$497, 'Region 21'!$X$2:$X$497,Q$2,'Region 21'!$G$2:$G$497, $B44)</f>
        <v>#DIV/0!</v>
      </c>
      <c r="R44" s="105"/>
      <c r="S44" s="6"/>
      <c r="T44" s="6"/>
      <c r="U44" s="6"/>
      <c r="V44" s="6"/>
    </row>
    <row r="45" spans="1:22" x14ac:dyDescent="0.3">
      <c r="A45" s="6">
        <v>22</v>
      </c>
      <c r="B45" s="6" t="str">
        <f t="shared" si="4"/>
        <v>Urban</v>
      </c>
      <c r="C45" s="93">
        <f t="shared" si="5"/>
        <v>29</v>
      </c>
      <c r="D45" s="93" t="str">
        <f t="shared" si="6"/>
        <v>-</v>
      </c>
      <c r="E45" s="93" t="str">
        <f t="shared" si="7"/>
        <v>-</v>
      </c>
      <c r="F45" s="93">
        <f t="shared" si="8"/>
        <v>21.25</v>
      </c>
      <c r="G45" s="6"/>
      <c r="H45" s="103">
        <f>COUNTIFS('Region 22'!$G$2:$G$510,$B43,'Region 22'!$X$2:$X$510,H$2)</f>
        <v>32</v>
      </c>
      <c r="I45" s="103">
        <f>COUNTIFS('Region 22'!$G$2:$G$510,$B43,'Region 22'!$X$2:$X$510,I$2)</f>
        <v>0</v>
      </c>
      <c r="J45" s="103">
        <f>COUNTIFS('Region 22'!$G$2:$G$510,$B43,'Region 22'!$X$2:$X$510,J$2)</f>
        <v>0</v>
      </c>
      <c r="K45" s="103">
        <f>COUNTIFS('Region 22'!$G$2:$G$510,$B43,'Region 22'!$X$2:$X$510,K$2)</f>
        <v>4</v>
      </c>
      <c r="L45" s="12"/>
      <c r="M45" s="103" t="s">
        <v>237</v>
      </c>
      <c r="N45" s="104">
        <f>AVERAGEIFS('Region 22'!$R$2:$R$510, 'Region 22'!$X$2:$X$510,N$2,'Region 22'!$G$2:$G$510, $B45)</f>
        <v>29</v>
      </c>
      <c r="O45" s="104" t="e">
        <f>AVERAGEIFS('Region 22'!$R$2:$R$510, 'Region 22'!$X$2:$X$510,O$2,'Region 22'!$G$2:$G$510, $B45)</f>
        <v>#DIV/0!</v>
      </c>
      <c r="P45" s="104" t="e">
        <f>AVERAGEIFS('Region 22'!$R$2:$R$510, 'Region 22'!$X$2:$X$510,P$2,'Region 22'!$G$2:$G$510, $B45)</f>
        <v>#DIV/0!</v>
      </c>
      <c r="Q45" s="104">
        <f>AVERAGEIFS('Region 22'!$R$2:$R$510, 'Region 22'!$X$2:$X$510,Q$2,'Region 22'!$G$2:$G$510, $B45)</f>
        <v>21.25</v>
      </c>
      <c r="R45" s="105"/>
      <c r="S45" s="6"/>
      <c r="T45" s="6"/>
      <c r="U45" s="6"/>
      <c r="V45" s="6"/>
    </row>
    <row r="46" spans="1:22" x14ac:dyDescent="0.3">
      <c r="A46" s="6">
        <v>22</v>
      </c>
      <c r="B46" s="6" t="str">
        <f t="shared" si="4"/>
        <v>Rural</v>
      </c>
      <c r="C46" s="93" t="str">
        <f t="shared" si="5"/>
        <v>-</v>
      </c>
      <c r="D46" s="93" t="str">
        <f t="shared" si="6"/>
        <v>-</v>
      </c>
      <c r="E46" s="93" t="str">
        <f t="shared" si="7"/>
        <v>-</v>
      </c>
      <c r="F46" s="93" t="str">
        <f t="shared" si="8"/>
        <v>-</v>
      </c>
      <c r="G46" s="6"/>
      <c r="H46" s="103">
        <f>COUNTIFS('Region 22'!$G$2:$G$510,$B44,'Region 22'!$X$2:$X$510,H$2)</f>
        <v>0</v>
      </c>
      <c r="I46" s="103">
        <f>COUNTIFS('Region 22'!$G$2:$G$510,$B44,'Region 22'!$X$2:$X$510,I$2)</f>
        <v>0</v>
      </c>
      <c r="J46" s="103">
        <f>COUNTIFS('Region 22'!$G$2:$G$510,$B44,'Region 22'!$X$2:$X$510,J$2)</f>
        <v>0</v>
      </c>
      <c r="K46" s="103">
        <f>COUNTIFS('Region 22'!$G$2:$G$510,$B44,'Region 22'!$X$2:$X$510,K$2)</f>
        <v>0</v>
      </c>
      <c r="L46" s="12"/>
      <c r="M46" s="103" t="s">
        <v>215</v>
      </c>
      <c r="N46" s="104" t="e">
        <f>AVERAGEIFS('Region 22'!$R$2:$R$510, 'Region 22'!$X$2:$X$510,N$2,'Region 22'!$G$2:$G$510, $B46)</f>
        <v>#DIV/0!</v>
      </c>
      <c r="O46" s="104" t="e">
        <f>AVERAGEIFS('Region 22'!$R$2:$R$510, 'Region 22'!$X$2:$X$510,O$2,'Region 22'!$G$2:$G$510, $B46)</f>
        <v>#DIV/0!</v>
      </c>
      <c r="P46" s="104" t="e">
        <f>AVERAGEIFS('Region 22'!$R$2:$R$510, 'Region 22'!$X$2:$X$510,P$2,'Region 22'!$G$2:$G$510, $B46)</f>
        <v>#DIV/0!</v>
      </c>
      <c r="Q46" s="104" t="e">
        <f>AVERAGEIFS('Region 22'!$R$2:$R$510, 'Region 22'!$X$2:$X$510,Q$2,'Region 22'!$G$2:$G$510, $B46)</f>
        <v>#DIV/0!</v>
      </c>
      <c r="R46" s="105"/>
      <c r="S46" s="6"/>
      <c r="T46" s="6"/>
      <c r="U46" s="6"/>
      <c r="V46" s="6"/>
    </row>
    <row r="47" spans="1:22" x14ac:dyDescent="0.3">
      <c r="A47" s="6">
        <v>23</v>
      </c>
      <c r="B47" s="6" t="str">
        <f t="shared" si="4"/>
        <v>Urban</v>
      </c>
      <c r="C47" s="93">
        <f t="shared" si="5"/>
        <v>31.34375</v>
      </c>
      <c r="D47" s="93" t="str">
        <f t="shared" si="6"/>
        <v>-</v>
      </c>
      <c r="E47" s="93" t="str">
        <f t="shared" si="7"/>
        <v>-</v>
      </c>
      <c r="F47" s="93">
        <f t="shared" si="8"/>
        <v>30.080654761904761</v>
      </c>
      <c r="G47" s="6"/>
      <c r="H47" s="103">
        <f>COUNTIFS('Region 23'!$G$2:$G$468,$B45,'Region 23'!$X$2:$X$468,H$2)</f>
        <v>21</v>
      </c>
      <c r="I47" s="103">
        <f>COUNTIFS('Region 23'!$G$2:$G$468,$B45,'Region 23'!$X$2:$X$468,I$2)</f>
        <v>0</v>
      </c>
      <c r="J47" s="103">
        <f>COUNTIFS('Region 23'!$G$2:$G$468,$B45,'Region 23'!$X$2:$X$468,J$2)</f>
        <v>0</v>
      </c>
      <c r="K47" s="103">
        <f>COUNTIFS('Region 23'!$G$2:$G$468,$B45,'Region 23'!$X$2:$X$468,K$2)</f>
        <v>7</v>
      </c>
      <c r="L47" s="12"/>
      <c r="M47" s="103" t="s">
        <v>237</v>
      </c>
      <c r="N47" s="104">
        <f>AVERAGEIFS('Region 23'!$R$2:$R$468, 'Region 23'!$X$2:$X$468,N$2,'Region 23'!$G$2:$G$468, $B47)</f>
        <v>31.34375</v>
      </c>
      <c r="O47" s="104" t="e">
        <f>AVERAGEIFS('Region 23'!$R$2:$R$468, 'Region 23'!$X$2:$X$468,O$2,'Region 23'!$G$2:$G$468, $B47)</f>
        <v>#DIV/0!</v>
      </c>
      <c r="P47" s="104" t="e">
        <f>AVERAGEIFS('Region 23'!$R$2:$R$468, 'Region 23'!$X$2:$X$468,P$2,'Region 23'!$G$2:$G$468, $B47)</f>
        <v>#DIV/0!</v>
      </c>
      <c r="Q47" s="104">
        <f>AVERAGEIFS('Region 23'!$R$2:$R$468, 'Region 23'!$X$2:$X$468,Q$2,'Region 23'!$G$2:$G$468, $B47)</f>
        <v>30.080654761904761</v>
      </c>
      <c r="R47" s="105"/>
      <c r="S47" s="6"/>
      <c r="T47" s="6"/>
      <c r="U47" s="6"/>
      <c r="V47" s="6"/>
    </row>
    <row r="48" spans="1:22" x14ac:dyDescent="0.3">
      <c r="A48" s="6">
        <v>23</v>
      </c>
      <c r="B48" s="6" t="str">
        <f t="shared" si="4"/>
        <v>Rural</v>
      </c>
      <c r="C48" s="93" t="str">
        <f t="shared" si="5"/>
        <v>-</v>
      </c>
      <c r="D48" s="93" t="str">
        <f t="shared" si="6"/>
        <v>-</v>
      </c>
      <c r="E48" s="93" t="str">
        <f t="shared" si="7"/>
        <v>-</v>
      </c>
      <c r="F48" s="93" t="str">
        <f t="shared" si="8"/>
        <v>-</v>
      </c>
      <c r="G48" s="6"/>
      <c r="H48" s="103">
        <f>COUNTIFS('Region 23'!$G$2:$G$468,$B46,'Region 23'!$X$2:$X$468,H$2)</f>
        <v>0</v>
      </c>
      <c r="I48" s="103">
        <f>COUNTIFS('Region 23'!$G$2:$G$468,$B46,'Region 23'!$X$2:$X$468,I$2)</f>
        <v>0</v>
      </c>
      <c r="J48" s="103">
        <f>COUNTIFS('Region 23'!$G$2:$G$468,$B46,'Region 23'!$X$2:$X$468,J$2)</f>
        <v>0</v>
      </c>
      <c r="K48" s="103">
        <f>COUNTIFS('Region 23'!$G$2:$G$468,$B46,'Region 23'!$X$2:$X$468,K$2)</f>
        <v>0</v>
      </c>
      <c r="L48" s="12"/>
      <c r="M48" s="103" t="s">
        <v>215</v>
      </c>
      <c r="N48" s="104" t="e">
        <f>AVERAGEIFS('Region 23'!$R$2:$R$468, 'Region 23'!$X$2:$X$468,N$2,'Region 23'!$G$2:$G$468, $B48)</f>
        <v>#DIV/0!</v>
      </c>
      <c r="O48" s="104" t="e">
        <f>AVERAGEIFS('Region 23'!$R$2:$R$468, 'Region 23'!$X$2:$X$468,O$2,'Region 23'!$G$2:$G$468, $B48)</f>
        <v>#DIV/0!</v>
      </c>
      <c r="P48" s="104" t="e">
        <f>AVERAGEIFS('Region 23'!$R$2:$R$468, 'Region 23'!$X$2:$X$468,P$2,'Region 23'!$G$2:$G$468, $B48)</f>
        <v>#DIV/0!</v>
      </c>
      <c r="Q48" s="104" t="e">
        <f>AVERAGEIFS('Region 23'!$R$2:$R$468, 'Region 23'!$X$2:$X$468,Q$2,'Region 23'!$G$2:$G$468, $B48)</f>
        <v>#DIV/0!</v>
      </c>
      <c r="R48" s="105"/>
      <c r="S48" s="6"/>
      <c r="T48" s="6"/>
      <c r="U48" s="6"/>
      <c r="V48" s="6"/>
    </row>
    <row r="49" spans="1:22" x14ac:dyDescent="0.3">
      <c r="A49" s="6">
        <v>24</v>
      </c>
      <c r="B49" s="6" t="str">
        <f t="shared" si="4"/>
        <v>Urban</v>
      </c>
      <c r="C49" s="93">
        <f t="shared" si="5"/>
        <v>38.249166666666646</v>
      </c>
      <c r="D49" s="93">
        <f t="shared" si="6"/>
        <v>49.552941176470597</v>
      </c>
      <c r="E49" s="93">
        <f t="shared" si="7"/>
        <v>36.847058823529409</v>
      </c>
      <c r="F49" s="93">
        <f t="shared" si="8"/>
        <v>17.181569746043429</v>
      </c>
      <c r="G49" s="6"/>
      <c r="H49" s="103">
        <f>COUNTIFS('Region 24'!$G$2:$G$454,$B47,'Region 24'!$X$2:$X$454,H$2)</f>
        <v>36</v>
      </c>
      <c r="I49" s="103">
        <f>COUNTIFS('Region 24'!$G$2:$G$454,$B47,'Region 24'!$X$2:$X$454,I$2)</f>
        <v>17</v>
      </c>
      <c r="J49" s="103">
        <f>COUNTIFS('Region 24'!$G$2:$G$454,$B47,'Region 24'!$X$2:$X$454,J$2)</f>
        <v>4</v>
      </c>
      <c r="K49" s="103">
        <f>COUNTIFS('Region 24'!$G$2:$G$454,$B47,'Region 24'!$X$2:$X$454,K$2)</f>
        <v>11</v>
      </c>
      <c r="L49" s="12"/>
      <c r="M49" s="103" t="s">
        <v>237</v>
      </c>
      <c r="N49" s="104">
        <f>AVERAGEIFS('Region 24'!$R$2:$R$454, 'Region 24'!$X$2:$X$454,N$2,'Region 24'!$G$2:$G$454, $B49)</f>
        <v>38.249166666666646</v>
      </c>
      <c r="O49" s="104">
        <f>AVERAGEIFS('Region 24'!$R$2:$R$454, 'Region 24'!$X$2:$X$454,O$2,'Region 24'!$G$2:$G$454, $B49)</f>
        <v>49.552941176470597</v>
      </c>
      <c r="P49" s="104">
        <f>AVERAGEIFS('Region 24'!$R$2:$R$454, 'Region 24'!$X$2:$X$454,P$2,'Region 24'!$G$2:$G$454, $B49)</f>
        <v>36.847058823529409</v>
      </c>
      <c r="Q49" s="104">
        <f>AVERAGEIFS('Region 24'!$R$2:$R$454, 'Region 24'!$X$2:$X$454,Q$2,'Region 24'!$G$2:$G$454, $B49)</f>
        <v>17.181569746043429</v>
      </c>
      <c r="R49" s="105"/>
      <c r="S49" s="6"/>
      <c r="T49" s="6"/>
      <c r="U49" s="6"/>
      <c r="V49" s="6"/>
    </row>
    <row r="50" spans="1:22" x14ac:dyDescent="0.3">
      <c r="A50" s="6">
        <v>24</v>
      </c>
      <c r="B50" s="6" t="str">
        <f t="shared" si="4"/>
        <v>Rural</v>
      </c>
      <c r="C50" s="93" t="str">
        <f t="shared" si="5"/>
        <v>-</v>
      </c>
      <c r="D50" s="93" t="str">
        <f t="shared" si="6"/>
        <v>-</v>
      </c>
      <c r="E50" s="93" t="str">
        <f t="shared" si="7"/>
        <v>-</v>
      </c>
      <c r="F50" s="93" t="str">
        <f t="shared" si="8"/>
        <v>-</v>
      </c>
      <c r="G50" s="6"/>
      <c r="H50" s="103">
        <f>COUNTIFS('Region 24'!$G$2:$G$454,$B48,'Region 24'!$X$2:$X$454,H$2)</f>
        <v>0</v>
      </c>
      <c r="I50" s="103">
        <f>COUNTIFS('Region 24'!$G$2:$G$454,$B48,'Region 24'!$X$2:$X$454,I$2)</f>
        <v>0</v>
      </c>
      <c r="J50" s="103">
        <f>COUNTIFS('Region 24'!$G$2:$G$454,$B48,'Region 24'!$X$2:$X$454,J$2)</f>
        <v>0</v>
      </c>
      <c r="K50" s="103">
        <f>COUNTIFS('Region 24'!$G$2:$G$454,$B48,'Region 24'!$X$2:$X$454,K$2)</f>
        <v>0</v>
      </c>
      <c r="L50" s="12"/>
      <c r="M50" s="103" t="s">
        <v>215</v>
      </c>
      <c r="N50" s="104" t="e">
        <f>AVERAGEIFS('Region 24'!$R$2:$R$454, 'Region 24'!$X$2:$X$454,N$2,'Region 24'!$G$2:$G$454, $B50)</f>
        <v>#DIV/0!</v>
      </c>
      <c r="O50" s="104" t="e">
        <f>AVERAGEIFS('Region 24'!$R$2:$R$454, 'Region 24'!$X$2:$X$454,O$2,'Region 24'!$G$2:$G$454, $B50)</f>
        <v>#DIV/0!</v>
      </c>
      <c r="P50" s="104" t="e">
        <f>AVERAGEIFS('Region 24'!$R$2:$R$454, 'Region 24'!$X$2:$X$454,P$2,'Region 24'!$G$2:$G$454, $B50)</f>
        <v>#DIV/0!</v>
      </c>
      <c r="Q50" s="104" t="e">
        <f>AVERAGEIFS('Region 24'!$R$2:$R$454, 'Region 24'!$X$2:$X$454,Q$2,'Region 24'!$G$2:$G$454, $B50)</f>
        <v>#DIV/0!</v>
      </c>
      <c r="R50" s="105"/>
      <c r="S50" s="6"/>
      <c r="T50" s="6"/>
      <c r="U50" s="6"/>
      <c r="V50" s="6"/>
    </row>
    <row r="51" spans="1:22" x14ac:dyDescent="0.3">
      <c r="A51" s="6">
        <v>25</v>
      </c>
      <c r="B51" s="6" t="str">
        <f t="shared" si="4"/>
        <v>Urban</v>
      </c>
      <c r="C51" s="93" t="str">
        <f t="shared" si="5"/>
        <v>-</v>
      </c>
      <c r="D51" s="93" t="str">
        <f t="shared" si="6"/>
        <v>-</v>
      </c>
      <c r="E51" s="93" t="str">
        <f t="shared" si="7"/>
        <v>-</v>
      </c>
      <c r="F51" s="93" t="str">
        <f t="shared" si="8"/>
        <v>-</v>
      </c>
      <c r="G51" s="6"/>
      <c r="H51" s="103">
        <f>COUNTIFS('Region 25'!$G$2:$G$499,$B49,'Region 25'!$X$2:$X$499,H$2)</f>
        <v>0</v>
      </c>
      <c r="I51" s="103">
        <f>COUNTIFS('Region 25'!$G$2:$G$499,$B49,'Region 25'!$X$2:$X$499,I$2)</f>
        <v>0</v>
      </c>
      <c r="J51" s="103">
        <f>COUNTIFS('Region 25'!$G$2:$G$499,$B49,'Region 25'!$X$2:$X$499,J$2)</f>
        <v>0</v>
      </c>
      <c r="K51" s="103">
        <f>COUNTIFS('Region 25'!$G$2:$G$499,$B49,'Region 25'!$X$2:$X$499,K$2)</f>
        <v>0</v>
      </c>
      <c r="L51" s="12"/>
      <c r="M51" s="103" t="s">
        <v>237</v>
      </c>
      <c r="N51" s="104" t="e">
        <f>AVERAGEIFS('Region 25'!$R$2:$R$499, 'Region 25'!$X$2:$X$499,N$2,'Region 25'!$G$2:$G$499, $B51)</f>
        <v>#DIV/0!</v>
      </c>
      <c r="O51" s="104" t="e">
        <f>AVERAGEIFS('Region 25'!$R$2:$R$499, 'Region 25'!$X$2:$X$499,O$2,'Region 25'!$G$2:$G$499, $B51)</f>
        <v>#DIV/0!</v>
      </c>
      <c r="P51" s="104" t="e">
        <f>AVERAGEIFS('Region 25'!$R$2:$R$499, 'Region 25'!$X$2:$X$499,P$2,'Region 25'!$G$2:$G$499, $B51)</f>
        <v>#DIV/0!</v>
      </c>
      <c r="Q51" s="104" t="e">
        <f>AVERAGEIFS('Region 25'!$R$2:$R$499, 'Region 25'!$X$2:$X$499,Q$2,'Region 25'!$G$2:$G$499, $B51)</f>
        <v>#DIV/0!</v>
      </c>
      <c r="R51" s="105"/>
      <c r="S51" s="6"/>
      <c r="T51" s="6"/>
      <c r="U51" s="6"/>
      <c r="V51" s="6"/>
    </row>
    <row r="52" spans="1:22" x14ac:dyDescent="0.3">
      <c r="A52" s="6">
        <v>25</v>
      </c>
      <c r="B52" s="6" t="str">
        <f t="shared" si="4"/>
        <v>Rural</v>
      </c>
      <c r="C52" s="93">
        <f t="shared" si="5"/>
        <v>7.6687116564417179</v>
      </c>
      <c r="D52" s="93" t="str">
        <f t="shared" si="6"/>
        <v>-</v>
      </c>
      <c r="E52" s="93" t="str">
        <f t="shared" si="7"/>
        <v>-</v>
      </c>
      <c r="F52" s="93" t="str">
        <f t="shared" si="8"/>
        <v>-</v>
      </c>
      <c r="G52" s="6"/>
      <c r="H52" s="103">
        <f>COUNTIFS('Region 25'!$G$2:$G$499,$B50,'Region 25'!$X$2:$X$499,H$2)</f>
        <v>2</v>
      </c>
      <c r="I52" s="103">
        <f>COUNTIFS('Region 25'!$G$2:$G$499,$B50,'Region 25'!$X$2:$X$499,I$2)</f>
        <v>0</v>
      </c>
      <c r="J52" s="103">
        <f>COUNTIFS('Region 25'!$G$2:$G$499,$B50,'Region 25'!$X$2:$X$499,J$2)</f>
        <v>0</v>
      </c>
      <c r="K52" s="103">
        <f>COUNTIFS('Region 25'!$G$2:$G$499,$B50,'Region 25'!$X$2:$X$499,K$2)</f>
        <v>0</v>
      </c>
      <c r="L52" s="12"/>
      <c r="M52" s="103" t="s">
        <v>215</v>
      </c>
      <c r="N52" s="104">
        <f>AVERAGEIFS('Region 25'!$R$2:$R$499, 'Region 25'!$X$2:$X$499,N$2,'Region 25'!$G$2:$G$499, $B52)</f>
        <v>7.6687116564417179</v>
      </c>
      <c r="O52" s="104" t="e">
        <f>AVERAGEIFS('Region 25'!$R$2:$R$499, 'Region 25'!$X$2:$X$499,O$2,'Region 25'!$G$2:$G$499, $B52)</f>
        <v>#DIV/0!</v>
      </c>
      <c r="P52" s="104" t="e">
        <f>AVERAGEIFS('Region 25'!$R$2:$R$499, 'Region 25'!$X$2:$X$499,P$2,'Region 25'!$G$2:$G$499, $B52)</f>
        <v>#DIV/0!</v>
      </c>
      <c r="Q52" s="104" t="e">
        <f>AVERAGEIFS('Region 25'!$R$2:$R$499, 'Region 25'!$X$2:$X$499,Q$2,'Region 25'!$G$2:$G$499, $B52)</f>
        <v>#DIV/0!</v>
      </c>
      <c r="R52" s="105"/>
      <c r="S52" s="6"/>
      <c r="T52" s="6"/>
      <c r="U52" s="6"/>
      <c r="V52" s="6"/>
    </row>
    <row r="53" spans="1:22" x14ac:dyDescent="0.3">
      <c r="A53" s="6">
        <v>26</v>
      </c>
      <c r="B53" s="6" t="str">
        <f t="shared" si="4"/>
        <v>Urban</v>
      </c>
      <c r="C53" s="93" t="str">
        <f t="shared" si="5"/>
        <v>-</v>
      </c>
      <c r="D53" s="93" t="str">
        <f t="shared" si="6"/>
        <v>-</v>
      </c>
      <c r="E53" s="93" t="str">
        <f t="shared" si="7"/>
        <v>-</v>
      </c>
      <c r="F53" s="93" t="str">
        <f t="shared" si="8"/>
        <v>-</v>
      </c>
      <c r="G53" s="6"/>
      <c r="H53" s="103">
        <f>COUNTIFS('Region 26'!$G$5:$G$500,$B51,'Region 26'!$X$5:$X$500,H$2)</f>
        <v>0</v>
      </c>
      <c r="I53" s="103">
        <f>COUNTIFS('Region 26'!$G$5:$G$500,$B51,'Region 26'!$X$5:$X$500,I$2)</f>
        <v>0</v>
      </c>
      <c r="J53" s="103">
        <f>COUNTIFS('Region 26'!$G$5:$G$500,$B51,'Region 26'!$X$5:$X$500,J$2)</f>
        <v>0</v>
      </c>
      <c r="K53" s="103">
        <f>COUNTIFS('Region 26'!$G$5:$G$500,$B51,'Region 26'!$X$5:$X$500,K$2)</f>
        <v>0</v>
      </c>
      <c r="L53" s="12"/>
      <c r="M53" s="103" t="s">
        <v>237</v>
      </c>
      <c r="N53" s="104" t="e">
        <f ca="1">AVERAGEIFS('Region 26'!$R$2:$R$500, 'Region 26'!$X$2:$X$500,N$2,'Region 26'!$G$2:$G$500, $B53)</f>
        <v>#DIV/0!</v>
      </c>
      <c r="O53" s="104" t="e">
        <f ca="1">AVERAGEIFS('Region 26'!$R$2:$R$500, 'Region 26'!$X$2:$X$500,O$2,'Region 26'!$G$2:$G$500, $B53)</f>
        <v>#DIV/0!</v>
      </c>
      <c r="P53" s="104" t="e">
        <f ca="1">AVERAGEIFS('Region 26'!$R$2:$R$500, 'Region 26'!$X$2:$X$500,P$2,'Region 26'!$G$2:$G$500, $B53)</f>
        <v>#DIV/0!</v>
      </c>
      <c r="Q53" s="104" t="e">
        <f ca="1">AVERAGEIFS('Region 26'!$R$2:$R$500, 'Region 26'!$X$2:$X$500,Q$2,'Region 26'!$G$2:$G$500, $B53)</f>
        <v>#DIV/0!</v>
      </c>
      <c r="R53" s="105"/>
      <c r="S53" s="6"/>
      <c r="T53" s="6"/>
      <c r="U53" s="6"/>
      <c r="V53" s="6"/>
    </row>
    <row r="54" spans="1:22" x14ac:dyDescent="0.3">
      <c r="A54" s="6">
        <v>26</v>
      </c>
      <c r="B54" s="6" t="str">
        <f t="shared" si="4"/>
        <v>Rural</v>
      </c>
      <c r="C54" s="93" t="str">
        <f t="shared" si="5"/>
        <v>-</v>
      </c>
      <c r="D54" s="93" t="str">
        <f t="shared" si="6"/>
        <v>-</v>
      </c>
      <c r="E54" s="93" t="str">
        <f t="shared" si="7"/>
        <v>-</v>
      </c>
      <c r="F54" s="93" t="str">
        <f t="shared" si="8"/>
        <v>-</v>
      </c>
      <c r="G54" s="6"/>
      <c r="H54" s="103">
        <f>COUNTIFS('Region 26'!$G$5:$G$500,$B52,'Region 26'!$X$5:$X$500,H$2)</f>
        <v>0</v>
      </c>
      <c r="I54" s="103">
        <f>COUNTIFS('Region 26'!$G$5:$G$500,$B52,'Region 26'!$X$5:$X$500,I$2)</f>
        <v>0</v>
      </c>
      <c r="J54" s="103">
        <f>COUNTIFS('Region 26'!$G$5:$G$500,$B52,'Region 26'!$X$5:$X$500,J$2)</f>
        <v>0</v>
      </c>
      <c r="K54" s="103">
        <f>COUNTIFS('Region 26'!$G$5:$G$500,$B52,'Region 26'!$X$5:$X$500,K$2)</f>
        <v>0</v>
      </c>
      <c r="L54" s="12"/>
      <c r="M54" s="103" t="s">
        <v>215</v>
      </c>
      <c r="N54" s="104" t="e">
        <f ca="1">AVERAGEIFS('Region 26'!$R$2:$R$500, 'Region 26'!$X$2:$X$500,N$2,'Region 26'!$G$2:$G$500, $B54)</f>
        <v>#DIV/0!</v>
      </c>
      <c r="O54" s="104" t="e">
        <f ca="1">AVERAGEIFS('Region 26'!$R$2:$R$500, 'Region 26'!$X$2:$X$500,O$2,'Region 26'!$G$2:$G$500, $B54)</f>
        <v>#DIV/0!</v>
      </c>
      <c r="P54" s="104" t="e">
        <f ca="1">AVERAGEIFS('Region 26'!$R$2:$R$500, 'Region 26'!$X$2:$X$500,P$2,'Region 26'!$G$2:$G$500, $B54)</f>
        <v>#DIV/0!</v>
      </c>
      <c r="Q54" s="104" t="e">
        <f ca="1">AVERAGEIFS('Region 26'!$R$2:$R$500, 'Region 26'!$X$2:$X$500,Q$2,'Region 26'!$G$2:$G$500, $B54)</f>
        <v>#DIV/0!</v>
      </c>
      <c r="R54" s="105"/>
      <c r="S54" s="6"/>
      <c r="T54" s="6"/>
      <c r="U54" s="6"/>
      <c r="V54" s="6"/>
    </row>
    <row r="55" spans="1:22" x14ac:dyDescent="0.3">
      <c r="A55" s="6"/>
      <c r="B55" s="6"/>
      <c r="C55" s="6"/>
      <c r="D55" s="6"/>
      <c r="E55" s="6"/>
      <c r="F55" s="6"/>
      <c r="G55" s="6"/>
      <c r="H55" s="6"/>
      <c r="I55" s="6"/>
      <c r="J55" s="6"/>
      <c r="K55" s="6"/>
      <c r="L55" s="6"/>
      <c r="M55" s="6"/>
      <c r="N55" s="6"/>
      <c r="O55" s="6"/>
      <c r="P55" s="6"/>
      <c r="Q55" s="6"/>
      <c r="R55" s="6"/>
      <c r="S55" s="6"/>
      <c r="T55" s="6"/>
      <c r="U55" s="6"/>
      <c r="V55" s="6"/>
    </row>
    <row r="56" spans="1:22" x14ac:dyDescent="0.3">
      <c r="A56" s="6"/>
      <c r="B56" s="6"/>
      <c r="C56" s="6">
        <v>1</v>
      </c>
      <c r="D56" s="6">
        <v>2</v>
      </c>
      <c r="E56" s="6">
        <v>3</v>
      </c>
      <c r="F56" s="6">
        <v>4</v>
      </c>
      <c r="G56" s="6"/>
      <c r="H56" s="6"/>
      <c r="I56" s="6"/>
      <c r="J56" s="6"/>
      <c r="K56" s="6"/>
      <c r="L56" s="6"/>
      <c r="M56" s="6"/>
      <c r="N56" s="6"/>
      <c r="O56" s="6"/>
      <c r="P56" s="6"/>
      <c r="Q56" s="6"/>
      <c r="R56" s="6"/>
      <c r="S56" s="6"/>
      <c r="T56" s="6"/>
      <c r="U56" s="6"/>
      <c r="V56" s="6"/>
    </row>
    <row r="57" spans="1:22" x14ac:dyDescent="0.3">
      <c r="A57" s="6" t="s">
        <v>879</v>
      </c>
      <c r="B57" s="6" t="s">
        <v>58</v>
      </c>
      <c r="C57" s="107">
        <f>AVERAGE(C3,C5,C7,C9,C11,C15,C19,C23,C25,C27,C29,C31,C33,C35,C37,C39,C41,C43,C45,C47,C49,C51,C53)</f>
        <v>34.355520373413945</v>
      </c>
      <c r="D57" s="107">
        <f>AVERAGE(D3,D5,D7,D9,D11,D15,D19,D21,D23,D25,D27,D29,D31,D33,D35,D37,D39,D41,D43,D45,D47,D49,D51,D53)</f>
        <v>40.652647058823533</v>
      </c>
      <c r="E57" s="107">
        <f>AVERAGE(E3,E5,E7,E9,E11,E15,E17,E19,E23,E25,E27,E29,E31,E33,E35,E37,E39,E41,E43,E45,E47,E49,E51,E53)</f>
        <v>28.605575826632482</v>
      </c>
      <c r="F57" s="107">
        <f>AVERAGE(F3,F5,F7,F9,F13,F15,F17,F19,F23,F25,F27,F29,F31,F33,F35,F37,F39,F41,F43,F45,F47,F49,F51,F53)</f>
        <v>31.395334143858694</v>
      </c>
      <c r="G57" s="6"/>
      <c r="H57" s="6"/>
      <c r="I57" s="6"/>
      <c r="J57" s="6"/>
      <c r="K57" s="6"/>
      <c r="L57" s="6"/>
      <c r="M57" s="6"/>
      <c r="N57" s="6"/>
      <c r="O57" s="6"/>
      <c r="P57" s="6"/>
      <c r="Q57" s="6"/>
      <c r="R57" s="6"/>
      <c r="S57" s="6"/>
      <c r="T57" s="6"/>
      <c r="U57" s="6"/>
      <c r="V57" s="6"/>
    </row>
    <row r="58" spans="1:22" x14ac:dyDescent="0.3">
      <c r="A58" s="6"/>
      <c r="B58" s="6" t="s">
        <v>215</v>
      </c>
      <c r="C58" s="107">
        <f>AVERAGE(C4,C6,C8,C10,C12,C14,C16,C18,C20,C22,C24,C26,C28,C30,C32,C34,C36,C38,C40,C42,C44,C46,C48,C50,C52,C54)</f>
        <v>33.002901158257586</v>
      </c>
      <c r="D58" s="107">
        <f>AVERAGE(D4,D6,D8,D10,D12,D14,D16,D18,D20,D22,D24,D26,D28,D30,D32,D34,D36,D38,D40,D42,D44,D46,D48,D50,D52,D54)</f>
        <v>32.608695652173914</v>
      </c>
      <c r="E58" s="107">
        <f>AVERAGE(E4,E6,E8,E10,E12,E14,E16,E18,E20,E22,E24,E26,E28,E30,E32,E34,E36,E38,E40,E42,E44,E46,E48,E50,E52,E54)</f>
        <v>22</v>
      </c>
      <c r="F58" s="108">
        <f>F57</f>
        <v>31.395334143858694</v>
      </c>
      <c r="G58" s="6"/>
      <c r="H58" s="6"/>
      <c r="I58" s="6"/>
      <c r="J58" s="6"/>
      <c r="K58" s="6"/>
      <c r="L58" s="6"/>
      <c r="M58" s="6"/>
      <c r="N58" s="6"/>
      <c r="O58" s="6"/>
      <c r="P58" s="6"/>
      <c r="Q58" s="6"/>
      <c r="R58" s="6"/>
      <c r="S58" s="6"/>
      <c r="T58" s="6"/>
      <c r="U58" s="6"/>
      <c r="V58" s="6"/>
    </row>
    <row r="59" spans="1:22" x14ac:dyDescent="0.3">
      <c r="A59" s="6"/>
      <c r="B59" s="6"/>
      <c r="C59" s="6"/>
      <c r="D59" s="6"/>
      <c r="E59" s="6"/>
      <c r="F59" s="6"/>
      <c r="G59" s="6"/>
      <c r="H59" s="6"/>
      <c r="I59" s="6"/>
      <c r="J59" s="6"/>
      <c r="K59" s="6"/>
      <c r="L59" s="6"/>
      <c r="M59" s="6"/>
      <c r="N59" s="6"/>
      <c r="O59" s="6"/>
      <c r="P59" s="6"/>
      <c r="Q59" s="6"/>
      <c r="R59" s="6"/>
      <c r="S59" s="6"/>
      <c r="T59" s="6"/>
      <c r="U59" s="6"/>
      <c r="V59" s="6"/>
    </row>
    <row r="60" spans="1:22" x14ac:dyDescent="0.3">
      <c r="A60" s="6"/>
      <c r="B60" t="s">
        <v>880</v>
      </c>
      <c r="C60" s="95" t="s">
        <v>881</v>
      </c>
      <c r="D60" s="6"/>
      <c r="E60" s="6"/>
      <c r="F60" s="6"/>
      <c r="G60" s="6"/>
      <c r="H60" s="6"/>
      <c r="I60" s="6"/>
      <c r="J60" s="6"/>
      <c r="K60" s="6"/>
      <c r="L60" s="6"/>
      <c r="M60" s="6"/>
      <c r="N60" s="6"/>
      <c r="O60" s="6"/>
      <c r="P60" s="6"/>
      <c r="Q60" s="6"/>
      <c r="R60" s="6"/>
      <c r="S60" s="6"/>
      <c r="T60" s="6"/>
      <c r="U60" s="6"/>
      <c r="V60" s="6"/>
    </row>
    <row r="61" spans="1:22" x14ac:dyDescent="0.3">
      <c r="A61" s="6"/>
      <c r="B61" s="6"/>
      <c r="C61" s="6"/>
      <c r="D61" s="6"/>
      <c r="E61" s="6"/>
      <c r="F61" s="6"/>
      <c r="G61" s="6"/>
      <c r="H61" s="6"/>
      <c r="I61" s="6"/>
      <c r="J61" s="6"/>
      <c r="K61" s="6"/>
      <c r="L61" s="6"/>
      <c r="M61" s="6"/>
      <c r="N61" s="6"/>
      <c r="O61" s="6"/>
      <c r="P61" s="6"/>
      <c r="Q61" s="6"/>
      <c r="R61" s="6"/>
      <c r="S61" s="6"/>
      <c r="T61" s="6"/>
      <c r="U61" s="6"/>
      <c r="V61" s="6"/>
    </row>
    <row r="62" spans="1:22" x14ac:dyDescent="0.3">
      <c r="A62" s="6"/>
      <c r="B62" s="6"/>
      <c r="C62" s="6"/>
      <c r="D62" s="6"/>
      <c r="E62" s="6"/>
      <c r="F62" s="6"/>
      <c r="G62" s="6"/>
      <c r="H62" s="6"/>
      <c r="I62" s="6"/>
      <c r="J62" s="6"/>
      <c r="K62" s="6"/>
      <c r="L62" s="6"/>
      <c r="M62" s="6"/>
      <c r="N62" s="6"/>
      <c r="O62" s="6"/>
      <c r="P62" s="6"/>
      <c r="Q62" s="6"/>
      <c r="R62" s="6"/>
      <c r="S62" s="6"/>
      <c r="T62" s="6"/>
      <c r="U62" s="6"/>
      <c r="V62" s="6"/>
    </row>
    <row r="63" spans="1:22" x14ac:dyDescent="0.3">
      <c r="A63" s="6"/>
      <c r="B63" s="6"/>
      <c r="C63" s="6"/>
      <c r="D63" s="6"/>
      <c r="E63" s="6"/>
      <c r="F63" s="6"/>
      <c r="G63" s="6"/>
      <c r="H63" s="6"/>
      <c r="I63" s="6"/>
      <c r="J63" s="6"/>
      <c r="K63" s="6"/>
      <c r="L63" s="6"/>
      <c r="M63" s="6"/>
      <c r="N63" s="6"/>
      <c r="O63" s="6"/>
      <c r="P63" s="6"/>
      <c r="Q63" s="6"/>
      <c r="R63" s="6"/>
      <c r="S63" s="6"/>
      <c r="T63" s="6"/>
      <c r="U63" s="6"/>
      <c r="V63" s="6"/>
    </row>
    <row r="64" spans="1:22" x14ac:dyDescent="0.3">
      <c r="A64" s="6"/>
      <c r="B64" s="6"/>
      <c r="C64" s="6"/>
      <c r="D64" s="6"/>
      <c r="E64" s="6"/>
      <c r="F64" s="6"/>
      <c r="G64" s="6"/>
      <c r="H64" s="6"/>
      <c r="I64" s="6"/>
      <c r="J64" s="6"/>
      <c r="K64" s="6"/>
      <c r="L64" s="6"/>
      <c r="M64" s="6"/>
      <c r="N64" s="6"/>
      <c r="O64" s="6"/>
      <c r="P64" s="6"/>
      <c r="Q64" s="6"/>
      <c r="R64" s="6"/>
      <c r="S64" s="6"/>
      <c r="T64" s="6"/>
      <c r="U64" s="6"/>
      <c r="V64" s="6"/>
    </row>
    <row r="65" spans="1:22" x14ac:dyDescent="0.3">
      <c r="A65" s="6"/>
      <c r="B65" s="6"/>
      <c r="C65" s="6"/>
      <c r="D65" s="6"/>
      <c r="E65" s="6"/>
      <c r="F65" s="6"/>
      <c r="G65" s="6"/>
      <c r="H65" s="6"/>
      <c r="I65" s="6"/>
      <c r="J65" s="6"/>
      <c r="K65" s="6"/>
      <c r="L65" s="6"/>
      <c r="M65" s="6"/>
      <c r="N65" s="6"/>
      <c r="O65" s="6"/>
      <c r="P65" s="6"/>
      <c r="Q65" s="6"/>
      <c r="R65" s="6"/>
      <c r="S65" s="6"/>
      <c r="T65" s="6"/>
      <c r="U65" s="6"/>
      <c r="V65" s="6"/>
    </row>
    <row r="66" spans="1:22" x14ac:dyDescent="0.3">
      <c r="A66" s="6"/>
      <c r="B66" s="6"/>
      <c r="C66" s="6"/>
      <c r="D66" s="6"/>
      <c r="E66" s="6"/>
      <c r="F66" s="6"/>
      <c r="G66" s="6"/>
      <c r="H66" s="6"/>
      <c r="I66" s="6"/>
      <c r="J66" s="6"/>
      <c r="K66" s="6"/>
      <c r="L66" s="6"/>
      <c r="M66" s="6"/>
      <c r="N66" s="6"/>
      <c r="O66" s="6"/>
      <c r="P66" s="6"/>
      <c r="Q66" s="6"/>
      <c r="R66" s="6"/>
      <c r="S66" s="6"/>
      <c r="T66" s="6"/>
      <c r="U66" s="6"/>
      <c r="V66" s="6"/>
    </row>
    <row r="67" spans="1:22" x14ac:dyDescent="0.3">
      <c r="A67" s="6"/>
      <c r="B67" s="6"/>
      <c r="C67" s="6"/>
      <c r="D67" s="6"/>
      <c r="E67" s="6"/>
      <c r="F67" s="6"/>
      <c r="G67" s="6"/>
      <c r="H67" s="6"/>
      <c r="I67" s="6"/>
      <c r="J67" s="6"/>
      <c r="K67" s="6"/>
      <c r="L67" s="6"/>
      <c r="M67" s="6"/>
      <c r="N67" s="6"/>
      <c r="O67" s="6"/>
      <c r="P67" s="6"/>
      <c r="Q67" s="6"/>
      <c r="R67" s="6"/>
      <c r="S67" s="6"/>
      <c r="T67" s="6"/>
      <c r="U67" s="6"/>
      <c r="V67" s="6"/>
    </row>
    <row r="68" spans="1:22" x14ac:dyDescent="0.3">
      <c r="A68" s="6"/>
      <c r="B68" s="6"/>
      <c r="C68" s="6"/>
      <c r="D68" s="6"/>
      <c r="E68" s="6"/>
      <c r="F68" s="6"/>
      <c r="G68" s="6"/>
      <c r="H68" s="6"/>
      <c r="I68" s="6"/>
      <c r="J68" s="6"/>
      <c r="K68" s="6"/>
      <c r="L68" s="6"/>
      <c r="M68" s="6"/>
      <c r="N68" s="6"/>
      <c r="O68" s="6"/>
      <c r="P68" s="6"/>
      <c r="Q68" s="6"/>
      <c r="R68" s="6"/>
      <c r="S68" s="6"/>
      <c r="T68" s="6"/>
      <c r="U68" s="6"/>
      <c r="V68" s="6"/>
    </row>
    <row r="69" spans="1:22" x14ac:dyDescent="0.3">
      <c r="A69" s="6"/>
      <c r="B69" s="6"/>
      <c r="C69" s="6"/>
      <c r="D69" s="6"/>
      <c r="E69" s="6"/>
      <c r="F69" s="6"/>
      <c r="G69" s="6"/>
      <c r="H69" s="6"/>
      <c r="I69" s="6"/>
      <c r="J69" s="6"/>
      <c r="K69" s="6"/>
      <c r="L69" s="6"/>
      <c r="M69" s="6"/>
      <c r="N69" s="6"/>
      <c r="O69" s="6"/>
      <c r="P69" s="6"/>
      <c r="Q69" s="6"/>
      <c r="R69" s="6"/>
      <c r="S69" s="6"/>
      <c r="T69" s="6"/>
      <c r="U69" s="6"/>
      <c r="V69" s="6"/>
    </row>
    <row r="70" spans="1:22" x14ac:dyDescent="0.3">
      <c r="A70" s="6"/>
      <c r="B70" s="6"/>
      <c r="C70" s="6"/>
      <c r="D70" s="6"/>
      <c r="E70" s="6"/>
      <c r="F70" s="6"/>
      <c r="G70" s="6"/>
      <c r="H70" s="6"/>
      <c r="I70" s="6"/>
      <c r="J70" s="6"/>
      <c r="K70" s="6"/>
      <c r="L70" s="6"/>
      <c r="M70" s="6"/>
      <c r="N70" s="6"/>
      <c r="O70" s="6"/>
      <c r="P70" s="6"/>
      <c r="Q70" s="6"/>
      <c r="R70" s="6"/>
      <c r="S70" s="6"/>
      <c r="T70" s="6"/>
      <c r="U70" s="6"/>
      <c r="V70" s="6"/>
    </row>
    <row r="71" spans="1:22" x14ac:dyDescent="0.3">
      <c r="A71" s="6"/>
      <c r="B71" s="6"/>
      <c r="C71" s="6"/>
      <c r="D71" s="6"/>
      <c r="E71" s="6"/>
      <c r="F71" s="6"/>
      <c r="G71" s="6"/>
      <c r="H71" s="6"/>
      <c r="I71" s="6"/>
      <c r="J71" s="6"/>
      <c r="K71" s="6"/>
      <c r="L71" s="6"/>
      <c r="M71" s="6"/>
      <c r="N71" s="6"/>
      <c r="O71" s="6"/>
      <c r="P71" s="6"/>
      <c r="Q71" s="6"/>
      <c r="R71" s="6"/>
      <c r="S71" s="6"/>
      <c r="T71" s="6"/>
      <c r="U71" s="6"/>
      <c r="V71" s="6"/>
    </row>
    <row r="72" spans="1:22" x14ac:dyDescent="0.3">
      <c r="A72" s="6"/>
      <c r="B72" s="6"/>
      <c r="C72" s="6"/>
      <c r="D72" s="6"/>
      <c r="E72" s="6"/>
      <c r="F72" s="6"/>
      <c r="G72" s="6"/>
      <c r="H72" s="6"/>
      <c r="I72" s="6"/>
      <c r="J72" s="6"/>
      <c r="K72" s="6"/>
      <c r="L72" s="6"/>
      <c r="M72" s="6"/>
      <c r="N72" s="6"/>
      <c r="O72" s="6"/>
      <c r="P72" s="6"/>
      <c r="Q72" s="6"/>
      <c r="R72" s="6"/>
      <c r="S72" s="6"/>
      <c r="T72" s="6"/>
      <c r="U72" s="6"/>
      <c r="V72" s="6"/>
    </row>
    <row r="73" spans="1:22" x14ac:dyDescent="0.3">
      <c r="A73" s="6"/>
      <c r="B73" s="6"/>
      <c r="C73" s="6"/>
      <c r="D73" s="6"/>
      <c r="E73" s="6"/>
      <c r="F73" s="6"/>
      <c r="G73" s="6"/>
      <c r="H73" s="6"/>
      <c r="I73" s="6"/>
      <c r="J73" s="6"/>
      <c r="K73" s="6"/>
      <c r="L73" s="6"/>
      <c r="M73" s="6"/>
      <c r="N73" s="6"/>
      <c r="O73" s="6"/>
      <c r="P73" s="6"/>
      <c r="Q73" s="6"/>
      <c r="R73" s="6"/>
      <c r="S73" s="6"/>
      <c r="T73" s="6"/>
      <c r="U73" s="6"/>
      <c r="V73" s="6"/>
    </row>
    <row r="74" spans="1:22" x14ac:dyDescent="0.3">
      <c r="A74" s="6"/>
      <c r="B74" s="6"/>
      <c r="C74" s="6"/>
      <c r="D74" s="6"/>
      <c r="E74" s="6"/>
      <c r="F74" s="6"/>
      <c r="G74" s="6"/>
      <c r="H74" s="6"/>
      <c r="I74" s="6"/>
      <c r="J74" s="6"/>
      <c r="K74" s="6"/>
      <c r="L74" s="6"/>
      <c r="M74" s="6"/>
      <c r="N74" s="6"/>
      <c r="O74" s="6"/>
      <c r="P74" s="6"/>
      <c r="Q74" s="6"/>
      <c r="R74" s="6"/>
      <c r="S74" s="6"/>
      <c r="T74" s="6"/>
      <c r="U74" s="6"/>
      <c r="V74" s="6"/>
    </row>
    <row r="75" spans="1:22" x14ac:dyDescent="0.3">
      <c r="A75" s="6"/>
      <c r="B75" s="6"/>
      <c r="C75" s="6"/>
      <c r="D75" s="6"/>
      <c r="E75" s="6"/>
      <c r="F75" s="6"/>
      <c r="G75" s="6"/>
      <c r="H75" s="6"/>
      <c r="I75" s="6"/>
      <c r="J75" s="6"/>
      <c r="K75" s="6"/>
      <c r="L75" s="6"/>
      <c r="M75" s="6"/>
      <c r="N75" s="6"/>
      <c r="O75" s="6"/>
      <c r="P75" s="6"/>
      <c r="Q75" s="6"/>
      <c r="R75" s="6"/>
      <c r="S75" s="6"/>
      <c r="T75" s="6"/>
      <c r="U75" s="6"/>
      <c r="V75" s="6"/>
    </row>
    <row r="76" spans="1:22" x14ac:dyDescent="0.3">
      <c r="A76" s="6"/>
      <c r="B76" s="6"/>
      <c r="C76" s="6"/>
      <c r="D76" s="6"/>
      <c r="E76" s="6"/>
      <c r="F76" s="6"/>
      <c r="G76" s="6"/>
      <c r="H76" s="6"/>
      <c r="I76" s="6"/>
      <c r="J76" s="6"/>
      <c r="K76" s="6"/>
      <c r="L76" s="6"/>
      <c r="M76" s="6"/>
      <c r="N76" s="6"/>
      <c r="O76" s="6"/>
      <c r="P76" s="6"/>
      <c r="Q76" s="6"/>
      <c r="R76" s="6"/>
      <c r="S76" s="6"/>
      <c r="T76" s="6"/>
      <c r="U76" s="6"/>
      <c r="V76" s="6"/>
    </row>
    <row r="77" spans="1:22" x14ac:dyDescent="0.3">
      <c r="A77" s="6"/>
      <c r="B77" s="6"/>
      <c r="C77" s="6"/>
      <c r="D77" s="6"/>
      <c r="E77" s="6"/>
      <c r="F77" s="6"/>
      <c r="G77" s="6"/>
      <c r="H77" s="6"/>
      <c r="I77" s="6"/>
      <c r="J77" s="6"/>
      <c r="K77" s="6"/>
      <c r="L77" s="6"/>
      <c r="M77" s="6"/>
      <c r="N77" s="6"/>
      <c r="O77" s="6"/>
      <c r="P77" s="6"/>
      <c r="Q77" s="6"/>
      <c r="R77" s="6"/>
      <c r="S77" s="6"/>
      <c r="T77" s="6"/>
      <c r="U77" s="6"/>
      <c r="V77" s="6"/>
    </row>
    <row r="78" spans="1:22" x14ac:dyDescent="0.3">
      <c r="A78" s="6"/>
      <c r="B78" s="6"/>
      <c r="C78" s="6"/>
      <c r="D78" s="6"/>
      <c r="E78" s="6"/>
      <c r="F78" s="6"/>
      <c r="G78" s="6"/>
      <c r="H78" s="6"/>
      <c r="I78" s="6"/>
      <c r="J78" s="6"/>
      <c r="K78" s="6"/>
      <c r="L78" s="6"/>
      <c r="M78" s="6"/>
      <c r="N78" s="6"/>
      <c r="O78" s="6"/>
      <c r="P78" s="6"/>
      <c r="Q78" s="6"/>
      <c r="R78" s="6"/>
      <c r="S78" s="6"/>
      <c r="T78" s="6"/>
      <c r="U78" s="6"/>
      <c r="V78" s="6"/>
    </row>
    <row r="79" spans="1:22" x14ac:dyDescent="0.3">
      <c r="A79" s="6"/>
      <c r="B79" s="6"/>
      <c r="C79" s="6"/>
      <c r="D79" s="6"/>
      <c r="E79" s="6"/>
      <c r="F79" s="6"/>
      <c r="G79" s="6"/>
      <c r="H79" s="6"/>
      <c r="I79" s="6"/>
      <c r="J79" s="6"/>
      <c r="K79" s="6"/>
      <c r="L79" s="6"/>
      <c r="M79" s="6"/>
      <c r="N79" s="6"/>
      <c r="O79" s="6"/>
      <c r="P79" s="6"/>
      <c r="Q79" s="6"/>
      <c r="R79" s="6"/>
      <c r="S79" s="6"/>
      <c r="T79" s="6"/>
      <c r="U79" s="6"/>
      <c r="V79" s="6"/>
    </row>
    <row r="80" spans="1:22" x14ac:dyDescent="0.3">
      <c r="A80" s="6"/>
      <c r="B80" s="6"/>
      <c r="C80" s="6"/>
      <c r="D80" s="6"/>
      <c r="E80" s="6"/>
      <c r="F80" s="6"/>
      <c r="G80" s="6"/>
      <c r="H80" s="6"/>
      <c r="I80" s="6"/>
      <c r="J80" s="6"/>
      <c r="K80" s="6"/>
      <c r="L80" s="6"/>
      <c r="M80" s="6"/>
      <c r="N80" s="6"/>
      <c r="O80" s="6"/>
      <c r="P80" s="6"/>
      <c r="Q80" s="6"/>
      <c r="R80" s="6"/>
      <c r="S80" s="6"/>
      <c r="T80" s="6"/>
      <c r="U80" s="6"/>
      <c r="V80" s="6"/>
    </row>
    <row r="81" spans="1:22" x14ac:dyDescent="0.3">
      <c r="A81" s="6"/>
      <c r="B81" s="6"/>
      <c r="C81" s="6"/>
      <c r="D81" s="6"/>
      <c r="E81" s="6"/>
      <c r="F81" s="6"/>
      <c r="G81" s="6"/>
      <c r="H81" s="6"/>
      <c r="I81" s="6"/>
      <c r="J81" s="6"/>
      <c r="K81" s="6"/>
      <c r="L81" s="6"/>
      <c r="M81" s="6"/>
      <c r="N81" s="6"/>
      <c r="O81" s="6"/>
      <c r="P81" s="6"/>
      <c r="Q81" s="6"/>
      <c r="R81" s="6"/>
      <c r="S81" s="6"/>
      <c r="T81" s="6"/>
      <c r="U81" s="6"/>
      <c r="V81" s="6"/>
    </row>
    <row r="82" spans="1:22" x14ac:dyDescent="0.3">
      <c r="A82" s="6"/>
      <c r="B82" s="6"/>
      <c r="C82" s="6"/>
      <c r="D82" s="6"/>
      <c r="E82" s="6"/>
      <c r="F82" s="6"/>
      <c r="G82" s="6"/>
      <c r="H82" s="6"/>
      <c r="I82" s="6"/>
      <c r="J82" s="6"/>
      <c r="K82" s="6"/>
      <c r="L82" s="6"/>
      <c r="M82" s="6"/>
      <c r="N82" s="6"/>
      <c r="O82" s="6"/>
      <c r="P82" s="6"/>
      <c r="Q82" s="6"/>
      <c r="R82" s="6"/>
      <c r="S82" s="6"/>
      <c r="T82" s="6"/>
      <c r="U82" s="6"/>
      <c r="V82" s="6"/>
    </row>
    <row r="83" spans="1:22" x14ac:dyDescent="0.3">
      <c r="A83" s="6"/>
      <c r="B83" s="6"/>
      <c r="C83" s="6"/>
      <c r="D83" s="6"/>
      <c r="E83" s="6"/>
      <c r="F83" s="6"/>
      <c r="G83" s="6"/>
      <c r="H83" s="6"/>
      <c r="I83" s="6"/>
      <c r="J83" s="6"/>
      <c r="K83" s="6"/>
      <c r="L83" s="6"/>
      <c r="M83" s="6"/>
      <c r="N83" s="6"/>
      <c r="O83" s="6"/>
      <c r="P83" s="6"/>
      <c r="Q83" s="6"/>
      <c r="R83" s="6"/>
      <c r="S83" s="6"/>
      <c r="T83" s="6"/>
      <c r="U83" s="6"/>
      <c r="V83" s="6"/>
    </row>
    <row r="84" spans="1:22" x14ac:dyDescent="0.3">
      <c r="A84" s="6"/>
      <c r="B84" s="6"/>
      <c r="C84" s="6"/>
      <c r="D84" s="6"/>
      <c r="E84" s="6"/>
      <c r="F84" s="6"/>
      <c r="G84" s="6"/>
      <c r="H84" s="6"/>
      <c r="I84" s="6"/>
      <c r="J84" s="6"/>
      <c r="K84" s="6"/>
      <c r="L84" s="6"/>
      <c r="M84" s="6"/>
      <c r="N84" s="6"/>
      <c r="O84" s="6"/>
      <c r="P84" s="6"/>
      <c r="Q84" s="6"/>
      <c r="R84" s="6"/>
      <c r="S84" s="6"/>
      <c r="T84" s="6"/>
      <c r="U84" s="6"/>
      <c r="V84" s="6"/>
    </row>
    <row r="85" spans="1:22" x14ac:dyDescent="0.3">
      <c r="A85" s="6"/>
      <c r="B85" s="6"/>
      <c r="C85" s="6"/>
      <c r="D85" s="6"/>
      <c r="E85" s="6"/>
      <c r="F85" s="6"/>
      <c r="G85" s="6"/>
      <c r="H85" s="6"/>
      <c r="I85" s="6"/>
      <c r="J85" s="6"/>
      <c r="K85" s="6"/>
      <c r="L85" s="6"/>
      <c r="M85" s="6"/>
      <c r="N85" s="6"/>
      <c r="O85" s="6"/>
      <c r="P85" s="6"/>
      <c r="Q85" s="6"/>
      <c r="R85" s="6"/>
      <c r="S85" s="6"/>
      <c r="T85" s="6"/>
      <c r="U85" s="6"/>
      <c r="V85" s="6"/>
    </row>
    <row r="86" spans="1:22" x14ac:dyDescent="0.3">
      <c r="A86" s="6"/>
      <c r="B86" s="6"/>
      <c r="C86" s="6"/>
      <c r="D86" s="6"/>
      <c r="E86" s="6"/>
      <c r="F86" s="6"/>
      <c r="G86" s="6"/>
      <c r="H86" s="6"/>
      <c r="I86" s="6"/>
      <c r="J86" s="6"/>
      <c r="K86" s="6"/>
      <c r="L86" s="6"/>
      <c r="M86" s="6"/>
      <c r="N86" s="6"/>
      <c r="O86" s="6"/>
      <c r="P86" s="6"/>
      <c r="Q86" s="6"/>
      <c r="R86" s="6"/>
      <c r="S86" s="6"/>
      <c r="T86" s="6"/>
      <c r="U86" s="6"/>
      <c r="V86" s="6"/>
    </row>
    <row r="87" spans="1:22" x14ac:dyDescent="0.3">
      <c r="A87" s="6"/>
      <c r="B87" s="6"/>
      <c r="C87" s="6"/>
      <c r="D87" s="6"/>
      <c r="E87" s="6"/>
      <c r="F87" s="6"/>
      <c r="G87" s="6"/>
      <c r="H87" s="6"/>
      <c r="I87" s="6"/>
      <c r="J87" s="6"/>
      <c r="K87" s="6"/>
      <c r="L87" s="6"/>
      <c r="M87" s="6"/>
      <c r="N87" s="6"/>
      <c r="O87" s="6"/>
      <c r="P87" s="6"/>
      <c r="Q87" s="6"/>
      <c r="R87" s="6"/>
      <c r="S87" s="6"/>
      <c r="T87" s="6"/>
      <c r="U87" s="6"/>
      <c r="V87" s="6"/>
    </row>
    <row r="88" spans="1:22" x14ac:dyDescent="0.3">
      <c r="A88" s="6"/>
      <c r="B88" s="6"/>
      <c r="C88" s="6"/>
      <c r="D88" s="6"/>
      <c r="E88" s="6"/>
      <c r="F88" s="6"/>
      <c r="G88" s="6"/>
      <c r="H88" s="6"/>
      <c r="I88" s="6"/>
      <c r="J88" s="6"/>
      <c r="K88" s="6"/>
      <c r="L88" s="6"/>
      <c r="M88" s="6"/>
      <c r="N88" s="6"/>
      <c r="O88" s="6"/>
      <c r="P88" s="6"/>
      <c r="Q88" s="6"/>
      <c r="R88" s="6"/>
      <c r="S88" s="6"/>
      <c r="T88" s="6"/>
      <c r="U88" s="6"/>
      <c r="V88" s="6"/>
    </row>
    <row r="89" spans="1:22" x14ac:dyDescent="0.3">
      <c r="A89" s="6"/>
      <c r="B89" s="6"/>
      <c r="C89" s="6"/>
      <c r="D89" s="6"/>
      <c r="E89" s="6"/>
      <c r="F89" s="6"/>
      <c r="G89" s="6"/>
      <c r="H89" s="6"/>
      <c r="I89" s="6"/>
      <c r="J89" s="6"/>
      <c r="K89" s="6"/>
      <c r="L89" s="6"/>
      <c r="M89" s="6"/>
      <c r="N89" s="6"/>
      <c r="O89" s="6"/>
      <c r="P89" s="6"/>
      <c r="Q89" s="6"/>
      <c r="R89" s="6"/>
      <c r="S89" s="6"/>
      <c r="T89" s="6"/>
      <c r="U89" s="6"/>
      <c r="V89" s="6"/>
    </row>
    <row r="90" spans="1:22" x14ac:dyDescent="0.3">
      <c r="A90" s="6"/>
      <c r="B90" s="6"/>
      <c r="C90" s="6"/>
      <c r="D90" s="6"/>
      <c r="E90" s="6"/>
      <c r="F90" s="6"/>
      <c r="G90" s="6"/>
      <c r="H90" s="6"/>
      <c r="I90" s="6"/>
      <c r="J90" s="6"/>
      <c r="K90" s="6"/>
      <c r="L90" s="6"/>
      <c r="M90" s="6"/>
      <c r="N90" s="6"/>
      <c r="O90" s="6"/>
      <c r="P90" s="6"/>
      <c r="Q90" s="6"/>
      <c r="R90" s="6"/>
      <c r="S90" s="6"/>
      <c r="T90" s="6"/>
      <c r="U90" s="6"/>
      <c r="V90" s="6"/>
    </row>
    <row r="91" spans="1:22" x14ac:dyDescent="0.3">
      <c r="A91" s="6"/>
      <c r="B91" s="6"/>
      <c r="C91" s="6"/>
      <c r="D91" s="6"/>
      <c r="E91" s="6"/>
      <c r="F91" s="6"/>
      <c r="G91" s="6"/>
      <c r="H91" s="6"/>
      <c r="I91" s="6"/>
      <c r="J91" s="6"/>
      <c r="K91" s="6"/>
      <c r="L91" s="6"/>
      <c r="M91" s="6"/>
      <c r="N91" s="6"/>
      <c r="O91" s="6"/>
      <c r="P91" s="6"/>
      <c r="Q91" s="6"/>
      <c r="R91" s="6"/>
      <c r="S91" s="6"/>
      <c r="T91" s="6"/>
      <c r="U91" s="6"/>
      <c r="V91" s="6"/>
    </row>
    <row r="92" spans="1:22" x14ac:dyDescent="0.3">
      <c r="A92" s="6"/>
      <c r="B92" s="6"/>
      <c r="C92" s="6"/>
      <c r="D92" s="6"/>
      <c r="E92" s="6"/>
      <c r="F92" s="6"/>
      <c r="G92" s="6"/>
      <c r="H92" s="6"/>
      <c r="I92" s="6"/>
      <c r="J92" s="6"/>
      <c r="K92" s="6"/>
      <c r="L92" s="6"/>
      <c r="M92" s="6"/>
      <c r="N92" s="6"/>
      <c r="O92" s="6"/>
      <c r="P92" s="6"/>
      <c r="Q92" s="6"/>
      <c r="R92" s="6"/>
      <c r="S92" s="6"/>
      <c r="T92" s="6"/>
      <c r="U92" s="6"/>
      <c r="V92" s="6"/>
    </row>
    <row r="93" spans="1:22" x14ac:dyDescent="0.3">
      <c r="A93" s="6"/>
      <c r="B93" s="6"/>
      <c r="C93" s="6"/>
      <c r="D93" s="6"/>
      <c r="E93" s="6"/>
      <c r="F93" s="6"/>
      <c r="G93" s="6"/>
      <c r="H93" s="6"/>
      <c r="I93" s="6"/>
      <c r="J93" s="6"/>
      <c r="K93" s="6"/>
      <c r="L93" s="6"/>
      <c r="M93" s="6"/>
      <c r="N93" s="6"/>
      <c r="O93" s="6"/>
      <c r="P93" s="6"/>
      <c r="Q93" s="6"/>
      <c r="R93" s="6"/>
      <c r="S93" s="6"/>
      <c r="T93" s="6"/>
      <c r="U93" s="6"/>
      <c r="V93" s="6"/>
    </row>
    <row r="94" spans="1:22" x14ac:dyDescent="0.3">
      <c r="A94" s="6"/>
      <c r="B94" s="6"/>
      <c r="C94" s="6"/>
      <c r="D94" s="6"/>
      <c r="E94" s="6"/>
      <c r="F94" s="6"/>
      <c r="G94" s="6"/>
      <c r="H94" s="6"/>
      <c r="I94" s="6"/>
      <c r="J94" s="6"/>
      <c r="K94" s="6"/>
      <c r="L94" s="6"/>
      <c r="M94" s="6"/>
      <c r="N94" s="6"/>
      <c r="O94" s="6"/>
      <c r="P94" s="6"/>
      <c r="Q94" s="6"/>
      <c r="R94" s="6"/>
      <c r="S94" s="6"/>
      <c r="T94" s="6"/>
      <c r="U94" s="6"/>
      <c r="V94" s="6"/>
    </row>
    <row r="95" spans="1:22" x14ac:dyDescent="0.3">
      <c r="A95" s="6"/>
      <c r="B95" s="6"/>
      <c r="C95" s="6"/>
      <c r="D95" s="6"/>
      <c r="E95" s="6"/>
      <c r="F95" s="6"/>
      <c r="G95" s="6"/>
      <c r="H95" s="6"/>
      <c r="I95" s="6"/>
      <c r="J95" s="6"/>
      <c r="K95" s="6"/>
      <c r="L95" s="6"/>
      <c r="M95" s="6"/>
      <c r="N95" s="6"/>
      <c r="O95" s="6"/>
      <c r="P95" s="6"/>
      <c r="Q95" s="6"/>
      <c r="R95" s="6"/>
      <c r="S95" s="6"/>
      <c r="T95" s="6"/>
      <c r="U95" s="6"/>
      <c r="V95" s="6"/>
    </row>
    <row r="96" spans="1:22" x14ac:dyDescent="0.3">
      <c r="A96" s="6"/>
      <c r="B96" s="6"/>
      <c r="C96" s="6"/>
      <c r="D96" s="6"/>
      <c r="E96" s="6"/>
      <c r="F96" s="6"/>
      <c r="G96" s="6"/>
      <c r="H96" s="6"/>
      <c r="I96" s="6"/>
      <c r="J96" s="6"/>
      <c r="K96" s="6"/>
      <c r="L96" s="6"/>
      <c r="M96" s="6"/>
      <c r="N96" s="6"/>
      <c r="O96" s="6"/>
      <c r="P96" s="6"/>
      <c r="Q96" s="6"/>
      <c r="R96" s="6"/>
      <c r="S96" s="6"/>
      <c r="T96" s="6"/>
      <c r="U96" s="6"/>
      <c r="V96" s="6"/>
    </row>
    <row r="97" spans="1:22" x14ac:dyDescent="0.3">
      <c r="A97" s="6"/>
      <c r="B97" s="6"/>
      <c r="C97" s="6"/>
      <c r="D97" s="6"/>
      <c r="E97" s="6"/>
      <c r="F97" s="6"/>
      <c r="G97" s="6"/>
      <c r="H97" s="6"/>
      <c r="I97" s="6"/>
      <c r="J97" s="6"/>
      <c r="K97" s="6"/>
      <c r="L97" s="6"/>
      <c r="M97" s="6"/>
      <c r="N97" s="6"/>
      <c r="O97" s="6"/>
      <c r="P97" s="6"/>
      <c r="Q97" s="6"/>
      <c r="R97" s="6"/>
      <c r="S97" s="6"/>
      <c r="T97" s="6"/>
      <c r="U97" s="6"/>
      <c r="V97" s="6"/>
    </row>
    <row r="98" spans="1:22" x14ac:dyDescent="0.3">
      <c r="A98" s="6"/>
      <c r="B98" s="6"/>
      <c r="C98" s="6"/>
      <c r="D98" s="6"/>
      <c r="E98" s="6"/>
      <c r="F98" s="6"/>
      <c r="G98" s="6"/>
      <c r="H98" s="6"/>
      <c r="I98" s="6"/>
      <c r="J98" s="6"/>
      <c r="K98" s="6"/>
      <c r="L98" s="6"/>
      <c r="M98" s="6"/>
      <c r="N98" s="6"/>
      <c r="O98" s="6"/>
      <c r="P98" s="6"/>
      <c r="Q98" s="6"/>
      <c r="R98" s="6"/>
      <c r="S98" s="6"/>
      <c r="T98" s="6"/>
      <c r="U98" s="6"/>
      <c r="V98" s="6"/>
    </row>
    <row r="99" spans="1:22" x14ac:dyDescent="0.3">
      <c r="A99" s="6"/>
      <c r="B99" s="6"/>
      <c r="C99" s="6"/>
      <c r="D99" s="6"/>
      <c r="E99" s="6"/>
      <c r="F99" s="6"/>
      <c r="G99" s="6"/>
      <c r="H99" s="6"/>
      <c r="I99" s="6"/>
      <c r="J99" s="6"/>
      <c r="K99" s="6"/>
      <c r="L99" s="6"/>
      <c r="M99" s="6"/>
      <c r="N99" s="6"/>
      <c r="O99" s="6"/>
      <c r="P99" s="6"/>
      <c r="Q99" s="6"/>
      <c r="R99" s="6"/>
      <c r="S99" s="6"/>
      <c r="T99" s="6"/>
      <c r="U99" s="6"/>
      <c r="V99" s="6"/>
    </row>
    <row r="100" spans="1:22" x14ac:dyDescent="0.3">
      <c r="A100" s="6"/>
      <c r="B100" s="6"/>
      <c r="C100" s="6"/>
      <c r="D100" s="6"/>
      <c r="E100" s="6"/>
      <c r="F100" s="6"/>
      <c r="G100" s="6"/>
      <c r="H100" s="6"/>
      <c r="I100" s="6"/>
      <c r="J100" s="6"/>
      <c r="K100" s="6"/>
      <c r="L100" s="6"/>
      <c r="M100" s="6"/>
      <c r="N100" s="6"/>
      <c r="O100" s="6"/>
      <c r="P100" s="6"/>
      <c r="Q100" s="6"/>
      <c r="R100" s="6"/>
      <c r="S100" s="6"/>
      <c r="T100" s="6"/>
      <c r="U100" s="6"/>
      <c r="V100" s="6"/>
    </row>
    <row r="101" spans="1:22" x14ac:dyDescent="0.3">
      <c r="A101" s="6"/>
      <c r="B101" s="6"/>
      <c r="C101" s="6"/>
      <c r="D101" s="6"/>
      <c r="E101" s="6"/>
      <c r="F101" s="6"/>
      <c r="G101" s="6"/>
      <c r="H101" s="6"/>
      <c r="I101" s="6"/>
      <c r="J101" s="6"/>
      <c r="K101" s="6"/>
      <c r="L101" s="6"/>
      <c r="M101" s="6"/>
      <c r="N101" s="6"/>
      <c r="O101" s="6"/>
      <c r="P101" s="6"/>
      <c r="Q101" s="6"/>
      <c r="R101" s="6"/>
      <c r="S101" s="6"/>
      <c r="T101" s="6"/>
      <c r="U101" s="6"/>
      <c r="V101" s="6"/>
    </row>
    <row r="102" spans="1:22" x14ac:dyDescent="0.3">
      <c r="A102" s="6"/>
      <c r="B102" s="6"/>
      <c r="C102" s="6"/>
      <c r="D102" s="6"/>
      <c r="E102" s="6"/>
      <c r="F102" s="6"/>
      <c r="G102" s="6"/>
      <c r="H102" s="6"/>
      <c r="I102" s="6"/>
      <c r="J102" s="6"/>
      <c r="K102" s="6"/>
      <c r="L102" s="6"/>
      <c r="M102" s="6"/>
      <c r="N102" s="6"/>
      <c r="O102" s="6"/>
      <c r="P102" s="6"/>
      <c r="Q102" s="6"/>
      <c r="R102" s="6"/>
      <c r="S102" s="6"/>
      <c r="T102" s="6"/>
      <c r="U102" s="6"/>
      <c r="V102" s="6"/>
    </row>
    <row r="103" spans="1:22" x14ac:dyDescent="0.3">
      <c r="A103" s="6"/>
      <c r="B103" s="6"/>
      <c r="C103" s="6"/>
      <c r="D103" s="6"/>
      <c r="E103" s="6"/>
      <c r="F103" s="6"/>
      <c r="G103" s="6"/>
      <c r="H103" s="6"/>
      <c r="I103" s="6"/>
      <c r="J103" s="6"/>
      <c r="K103" s="6"/>
      <c r="L103" s="6"/>
      <c r="M103" s="6"/>
      <c r="N103" s="6"/>
      <c r="O103" s="6"/>
      <c r="P103" s="6"/>
      <c r="Q103" s="6"/>
      <c r="R103" s="6"/>
      <c r="S103" s="6"/>
      <c r="T103" s="6"/>
      <c r="U103" s="6"/>
      <c r="V103" s="6"/>
    </row>
    <row r="104" spans="1:22" x14ac:dyDescent="0.3">
      <c r="A104" s="6"/>
      <c r="B104" s="6"/>
      <c r="C104" s="6"/>
      <c r="D104" s="6"/>
      <c r="E104" s="6"/>
      <c r="F104" s="6"/>
      <c r="G104" s="6"/>
      <c r="H104" s="6"/>
      <c r="I104" s="6"/>
      <c r="J104" s="6"/>
      <c r="K104" s="6"/>
      <c r="L104" s="6"/>
      <c r="M104" s="6"/>
      <c r="N104" s="6"/>
      <c r="O104" s="6"/>
      <c r="P104" s="6"/>
      <c r="Q104" s="6"/>
      <c r="R104" s="6"/>
      <c r="S104" s="6"/>
      <c r="T104" s="6"/>
      <c r="U104" s="6"/>
      <c r="V104" s="6"/>
    </row>
    <row r="105" spans="1:22" x14ac:dyDescent="0.3">
      <c r="A105" s="6"/>
      <c r="B105" s="6"/>
      <c r="C105" s="6"/>
      <c r="D105" s="6"/>
      <c r="E105" s="6"/>
      <c r="F105" s="6"/>
      <c r="G105" s="6"/>
      <c r="H105" s="6"/>
      <c r="I105" s="6"/>
      <c r="J105" s="6"/>
      <c r="K105" s="6"/>
      <c r="L105" s="6"/>
      <c r="M105" s="6"/>
      <c r="N105" s="6"/>
      <c r="O105" s="6"/>
      <c r="P105" s="6"/>
      <c r="Q105" s="6"/>
      <c r="R105" s="6"/>
      <c r="S105" s="6"/>
      <c r="T105" s="6"/>
      <c r="U105" s="6"/>
      <c r="V105" s="6"/>
    </row>
    <row r="106" spans="1:22" x14ac:dyDescent="0.3">
      <c r="A106" s="6"/>
      <c r="B106" s="6"/>
      <c r="C106" s="6"/>
      <c r="D106" s="6"/>
      <c r="E106" s="6"/>
      <c r="F106" s="6"/>
      <c r="G106" s="6"/>
      <c r="H106" s="6"/>
      <c r="I106" s="6"/>
      <c r="J106" s="6"/>
      <c r="K106" s="6"/>
      <c r="L106" s="6"/>
      <c r="M106" s="6"/>
      <c r="N106" s="6"/>
      <c r="O106" s="6"/>
      <c r="P106" s="6"/>
      <c r="Q106" s="6"/>
      <c r="R106" s="6"/>
      <c r="S106" s="6"/>
      <c r="T106" s="6"/>
      <c r="U106" s="6"/>
      <c r="V106" s="6"/>
    </row>
    <row r="107" spans="1:22" x14ac:dyDescent="0.3">
      <c r="A107" s="6"/>
      <c r="B107" s="6"/>
      <c r="C107" s="6"/>
      <c r="D107" s="6"/>
      <c r="E107" s="6"/>
      <c r="F107" s="6"/>
      <c r="G107" s="6"/>
      <c r="H107" s="6"/>
      <c r="I107" s="6"/>
      <c r="J107" s="6"/>
      <c r="K107" s="6"/>
      <c r="L107" s="6"/>
      <c r="M107" s="6"/>
      <c r="N107" s="6"/>
      <c r="O107" s="6"/>
      <c r="P107" s="6"/>
      <c r="Q107" s="6"/>
      <c r="R107" s="6"/>
      <c r="S107" s="6"/>
      <c r="T107" s="6"/>
      <c r="U107" s="6"/>
      <c r="V107" s="6"/>
    </row>
    <row r="108" spans="1:22" x14ac:dyDescent="0.3">
      <c r="A108" s="6"/>
      <c r="B108" s="6"/>
      <c r="C108" s="6"/>
      <c r="D108" s="6"/>
      <c r="E108" s="6"/>
      <c r="F108" s="6"/>
      <c r="G108" s="6"/>
      <c r="H108" s="6"/>
      <c r="I108" s="6"/>
      <c r="J108" s="6"/>
      <c r="K108" s="6"/>
      <c r="L108" s="6"/>
      <c r="M108" s="6"/>
      <c r="N108" s="6"/>
      <c r="O108" s="6"/>
      <c r="P108" s="6"/>
      <c r="Q108" s="6"/>
      <c r="R108" s="6"/>
      <c r="S108" s="6"/>
      <c r="T108" s="6"/>
      <c r="U108" s="6"/>
      <c r="V108" s="6"/>
    </row>
    <row r="109" spans="1:22" x14ac:dyDescent="0.3">
      <c r="A109" s="6"/>
      <c r="B109" s="6"/>
      <c r="C109" s="6"/>
      <c r="D109" s="6"/>
      <c r="E109" s="6"/>
      <c r="F109" s="6"/>
      <c r="G109" s="6"/>
      <c r="H109" s="6"/>
      <c r="I109" s="6"/>
      <c r="J109" s="6"/>
      <c r="K109" s="6"/>
      <c r="L109" s="6"/>
      <c r="M109" s="6"/>
      <c r="N109" s="6"/>
      <c r="O109" s="6"/>
      <c r="P109" s="6"/>
      <c r="Q109" s="6"/>
      <c r="R109" s="6"/>
      <c r="S109" s="6"/>
      <c r="T109" s="6"/>
      <c r="U109" s="6"/>
      <c r="V109" s="6"/>
    </row>
    <row r="110" spans="1:22" x14ac:dyDescent="0.3">
      <c r="A110" s="6"/>
      <c r="B110" s="6"/>
      <c r="C110" s="6"/>
      <c r="D110" s="6"/>
      <c r="E110" s="6"/>
      <c r="F110" s="6"/>
      <c r="G110" s="6"/>
      <c r="H110" s="6"/>
      <c r="I110" s="6"/>
      <c r="J110" s="6"/>
      <c r="K110" s="6"/>
      <c r="L110" s="6"/>
      <c r="M110" s="6"/>
      <c r="N110" s="6"/>
      <c r="O110" s="6"/>
      <c r="P110" s="6"/>
      <c r="Q110" s="6"/>
      <c r="R110" s="6"/>
      <c r="S110" s="6"/>
      <c r="T110" s="6"/>
      <c r="U110" s="6"/>
      <c r="V110" s="6"/>
    </row>
    <row r="111" spans="1:22" x14ac:dyDescent="0.3">
      <c r="A111" s="6"/>
      <c r="B111" s="6"/>
      <c r="C111" s="6"/>
      <c r="D111" s="6"/>
      <c r="E111" s="6"/>
      <c r="F111" s="6"/>
      <c r="G111" s="6"/>
      <c r="H111" s="6"/>
      <c r="I111" s="6"/>
      <c r="J111" s="6"/>
      <c r="K111" s="6"/>
      <c r="L111" s="6"/>
      <c r="M111" s="6"/>
      <c r="N111" s="6"/>
      <c r="O111" s="6"/>
      <c r="P111" s="6"/>
      <c r="Q111" s="6"/>
      <c r="R111" s="6"/>
      <c r="S111" s="6"/>
      <c r="T111" s="6"/>
      <c r="U111" s="6"/>
      <c r="V111" s="6"/>
    </row>
    <row r="112" spans="1:22" x14ac:dyDescent="0.3">
      <c r="A112" s="6"/>
      <c r="B112" s="6"/>
      <c r="C112" s="6"/>
      <c r="D112" s="6"/>
      <c r="E112" s="6"/>
      <c r="F112" s="6"/>
      <c r="G112" s="6"/>
      <c r="H112" s="6"/>
      <c r="I112" s="6"/>
      <c r="J112" s="6"/>
      <c r="K112" s="6"/>
      <c r="L112" s="6"/>
      <c r="M112" s="6"/>
      <c r="N112" s="6"/>
      <c r="O112" s="6"/>
      <c r="P112" s="6"/>
      <c r="Q112" s="6"/>
      <c r="R112" s="6"/>
      <c r="S112" s="6"/>
      <c r="T112" s="6"/>
      <c r="U112" s="6"/>
      <c r="V112" s="6"/>
    </row>
    <row r="113" spans="1:22" x14ac:dyDescent="0.3">
      <c r="A113" s="6"/>
      <c r="B113" s="6"/>
      <c r="C113" s="6"/>
      <c r="D113" s="6"/>
      <c r="E113" s="6"/>
      <c r="F113" s="6"/>
      <c r="G113" s="6"/>
      <c r="H113" s="6"/>
      <c r="I113" s="6"/>
      <c r="J113" s="6"/>
      <c r="K113" s="6"/>
      <c r="L113" s="6"/>
      <c r="M113" s="6"/>
      <c r="N113" s="6"/>
      <c r="O113" s="6"/>
      <c r="P113" s="6"/>
      <c r="Q113" s="6"/>
      <c r="R113" s="6"/>
      <c r="S113" s="6"/>
      <c r="T113" s="6"/>
      <c r="U113" s="6"/>
      <c r="V113" s="6"/>
    </row>
    <row r="114" spans="1:22" x14ac:dyDescent="0.3">
      <c r="A114" s="6"/>
      <c r="B114" s="6"/>
      <c r="C114" s="6"/>
      <c r="D114" s="6"/>
      <c r="E114" s="6"/>
      <c r="F114" s="6"/>
      <c r="G114" s="6"/>
      <c r="H114" s="6"/>
      <c r="I114" s="6"/>
      <c r="J114" s="6"/>
      <c r="K114" s="6"/>
      <c r="L114" s="6"/>
      <c r="M114" s="6"/>
      <c r="N114" s="6"/>
      <c r="O114" s="6"/>
      <c r="P114" s="6"/>
      <c r="Q114" s="6"/>
      <c r="R114" s="6"/>
      <c r="S114" s="6"/>
      <c r="T114" s="6"/>
      <c r="U114" s="6"/>
      <c r="V114" s="6"/>
    </row>
    <row r="115" spans="1:22" x14ac:dyDescent="0.3">
      <c r="A115" s="6"/>
      <c r="B115" s="6"/>
      <c r="C115" s="6"/>
      <c r="D115" s="6"/>
      <c r="E115" s="6"/>
      <c r="F115" s="6"/>
      <c r="G115" s="6"/>
      <c r="H115" s="6"/>
      <c r="I115" s="6"/>
      <c r="J115" s="6"/>
      <c r="K115" s="6"/>
      <c r="L115" s="6"/>
      <c r="M115" s="6"/>
      <c r="N115" s="6"/>
      <c r="O115" s="6"/>
      <c r="P115" s="6"/>
      <c r="Q115" s="6"/>
      <c r="R115" s="6"/>
      <c r="S115" s="6"/>
      <c r="T115" s="6"/>
      <c r="U115" s="6"/>
      <c r="V115" s="6"/>
    </row>
    <row r="116" spans="1:22" x14ac:dyDescent="0.3">
      <c r="A116" s="6"/>
      <c r="B116" s="6"/>
      <c r="C116" s="6"/>
      <c r="D116" s="6"/>
      <c r="E116" s="6"/>
      <c r="F116" s="6"/>
      <c r="G116" s="6"/>
      <c r="H116" s="6"/>
      <c r="I116" s="6"/>
      <c r="J116" s="6"/>
      <c r="K116" s="6"/>
      <c r="L116" s="6"/>
      <c r="M116" s="6"/>
      <c r="N116" s="6"/>
      <c r="O116" s="6"/>
      <c r="P116" s="6"/>
      <c r="Q116" s="6"/>
      <c r="R116" s="6"/>
      <c r="S116" s="6"/>
      <c r="T116" s="6"/>
      <c r="U116" s="6"/>
      <c r="V116" s="6"/>
    </row>
    <row r="117" spans="1:22" x14ac:dyDescent="0.3">
      <c r="A117" s="6"/>
      <c r="B117" s="6"/>
      <c r="C117" s="6"/>
      <c r="D117" s="6"/>
      <c r="E117" s="6"/>
      <c r="F117" s="6"/>
      <c r="G117" s="6"/>
      <c r="H117" s="6"/>
      <c r="I117" s="6"/>
      <c r="J117" s="6"/>
      <c r="K117" s="6"/>
      <c r="L117" s="6"/>
      <c r="M117" s="6"/>
      <c r="N117" s="6"/>
      <c r="O117" s="6"/>
      <c r="P117" s="6"/>
      <c r="Q117" s="6"/>
      <c r="R117" s="6"/>
      <c r="S117" s="6"/>
      <c r="T117" s="6"/>
      <c r="U117" s="6"/>
      <c r="V117" s="6"/>
    </row>
    <row r="118" spans="1:22" x14ac:dyDescent="0.3">
      <c r="A118" s="6"/>
      <c r="B118" s="6"/>
      <c r="C118" s="6"/>
      <c r="D118" s="6"/>
      <c r="E118" s="6"/>
      <c r="F118" s="6"/>
      <c r="G118" s="6"/>
      <c r="H118" s="6"/>
      <c r="I118" s="6"/>
      <c r="J118" s="6"/>
      <c r="K118" s="6"/>
      <c r="L118" s="6"/>
      <c r="M118" s="6"/>
      <c r="N118" s="6"/>
      <c r="O118" s="6"/>
      <c r="P118" s="6"/>
      <c r="Q118" s="6"/>
      <c r="R118" s="6"/>
      <c r="S118" s="6"/>
      <c r="T118" s="6"/>
      <c r="U118" s="6"/>
      <c r="V118" s="6"/>
    </row>
    <row r="119" spans="1:22" x14ac:dyDescent="0.3">
      <c r="A119" s="6"/>
      <c r="B119" s="6"/>
      <c r="C119" s="6"/>
      <c r="D119" s="6"/>
      <c r="E119" s="6"/>
      <c r="F119" s="6"/>
      <c r="G119" s="6"/>
      <c r="H119" s="6"/>
      <c r="I119" s="6"/>
      <c r="J119" s="6"/>
      <c r="K119" s="6"/>
      <c r="L119" s="6"/>
      <c r="M119" s="6"/>
      <c r="N119" s="6"/>
      <c r="O119" s="6"/>
      <c r="P119" s="6"/>
      <c r="Q119" s="6"/>
      <c r="R119" s="6"/>
      <c r="S119" s="6"/>
      <c r="T119" s="6"/>
      <c r="U119" s="6"/>
      <c r="V119" s="6"/>
    </row>
    <row r="120" spans="1:22" x14ac:dyDescent="0.3">
      <c r="A120" s="6"/>
      <c r="B120" s="6"/>
      <c r="C120" s="6"/>
      <c r="D120" s="6"/>
      <c r="E120" s="6"/>
      <c r="F120" s="6"/>
      <c r="G120" s="6"/>
      <c r="H120" s="6"/>
      <c r="I120" s="6"/>
      <c r="J120" s="6"/>
      <c r="K120" s="6"/>
      <c r="L120" s="6"/>
      <c r="M120" s="6"/>
      <c r="N120" s="6"/>
      <c r="O120" s="6"/>
      <c r="P120" s="6"/>
      <c r="Q120" s="6"/>
      <c r="R120" s="6"/>
      <c r="S120" s="6"/>
      <c r="T120" s="6"/>
      <c r="U120" s="6"/>
      <c r="V120" s="6"/>
    </row>
    <row r="121" spans="1:22" x14ac:dyDescent="0.3">
      <c r="A121" s="6"/>
      <c r="B121" s="6"/>
      <c r="C121" s="6"/>
      <c r="D121" s="6"/>
      <c r="E121" s="6"/>
      <c r="F121" s="6"/>
      <c r="G121" s="6"/>
      <c r="H121" s="6"/>
      <c r="I121" s="6"/>
      <c r="J121" s="6"/>
      <c r="K121" s="6"/>
      <c r="L121" s="6"/>
      <c r="M121" s="6"/>
      <c r="N121" s="6"/>
      <c r="O121" s="6"/>
      <c r="P121" s="6"/>
      <c r="Q121" s="6"/>
      <c r="R121" s="6"/>
      <c r="S121" s="6"/>
      <c r="T121" s="6"/>
      <c r="U121" s="6"/>
      <c r="V121" s="6"/>
    </row>
    <row r="122" spans="1:22" x14ac:dyDescent="0.3">
      <c r="A122" s="6"/>
      <c r="B122" s="6"/>
      <c r="C122" s="6"/>
      <c r="D122" s="6"/>
      <c r="E122" s="6"/>
      <c r="F122" s="6"/>
      <c r="G122" s="6"/>
      <c r="H122" s="6"/>
      <c r="I122" s="6"/>
      <c r="J122" s="6"/>
      <c r="K122" s="6"/>
      <c r="L122" s="6"/>
      <c r="M122" s="6"/>
      <c r="N122" s="6"/>
      <c r="O122" s="6"/>
      <c r="P122" s="6"/>
      <c r="Q122" s="6"/>
      <c r="R122" s="6"/>
      <c r="S122" s="6"/>
      <c r="T122" s="6"/>
      <c r="U122" s="6"/>
      <c r="V122" s="6"/>
    </row>
    <row r="123" spans="1:22" x14ac:dyDescent="0.3">
      <c r="A123" s="6"/>
      <c r="B123" s="6"/>
      <c r="C123" s="6"/>
      <c r="D123" s="6"/>
      <c r="E123" s="6"/>
      <c r="F123" s="6"/>
      <c r="G123" s="6"/>
      <c r="H123" s="6"/>
      <c r="I123" s="6"/>
      <c r="J123" s="6"/>
      <c r="K123" s="6"/>
      <c r="L123" s="6"/>
      <c r="M123" s="6"/>
      <c r="N123" s="6"/>
      <c r="O123" s="6"/>
      <c r="P123" s="6"/>
      <c r="Q123" s="6"/>
      <c r="R123" s="6"/>
      <c r="S123" s="6"/>
      <c r="T123" s="6"/>
      <c r="U123" s="6"/>
      <c r="V123" s="6"/>
    </row>
    <row r="124" spans="1:22" x14ac:dyDescent="0.3">
      <c r="A124" s="6"/>
      <c r="B124" s="6"/>
      <c r="C124" s="6"/>
      <c r="D124" s="6"/>
      <c r="E124" s="6"/>
      <c r="F124" s="6"/>
      <c r="G124" s="6"/>
      <c r="H124" s="6"/>
      <c r="I124" s="6"/>
      <c r="J124" s="6"/>
      <c r="K124" s="6"/>
      <c r="L124" s="6"/>
      <c r="M124" s="6"/>
      <c r="N124" s="6"/>
      <c r="O124" s="6"/>
      <c r="P124" s="6"/>
      <c r="Q124" s="6"/>
      <c r="R124" s="6"/>
      <c r="S124" s="6"/>
      <c r="T124" s="6"/>
      <c r="U124" s="6"/>
      <c r="V124" s="6"/>
    </row>
    <row r="125" spans="1:22" x14ac:dyDescent="0.3">
      <c r="A125" s="6"/>
      <c r="B125" s="6"/>
      <c r="C125" s="6"/>
      <c r="D125" s="6"/>
      <c r="E125" s="6"/>
      <c r="F125" s="6"/>
      <c r="G125" s="6"/>
      <c r="H125" s="6"/>
      <c r="I125" s="6"/>
      <c r="J125" s="6"/>
      <c r="K125" s="6"/>
      <c r="L125" s="6"/>
      <c r="M125" s="6"/>
      <c r="N125" s="6"/>
      <c r="O125" s="6"/>
      <c r="P125" s="6"/>
      <c r="Q125" s="6"/>
      <c r="R125" s="6"/>
      <c r="S125" s="6"/>
      <c r="T125" s="6"/>
      <c r="U125" s="6"/>
      <c r="V125" s="6"/>
    </row>
    <row r="126" spans="1:22" x14ac:dyDescent="0.3">
      <c r="A126" s="6"/>
      <c r="B126" s="6"/>
      <c r="C126" s="6"/>
      <c r="D126" s="6"/>
      <c r="E126" s="6"/>
      <c r="F126" s="6"/>
      <c r="G126" s="6"/>
      <c r="H126" s="6"/>
      <c r="I126" s="6"/>
      <c r="J126" s="6"/>
      <c r="K126" s="6"/>
      <c r="L126" s="6"/>
      <c r="M126" s="6"/>
      <c r="N126" s="6"/>
      <c r="O126" s="6"/>
      <c r="P126" s="6"/>
      <c r="Q126" s="6"/>
      <c r="R126" s="6"/>
      <c r="S126" s="6"/>
      <c r="T126" s="6"/>
      <c r="U126" s="6"/>
      <c r="V126" s="6"/>
    </row>
    <row r="127" spans="1:22" x14ac:dyDescent="0.3">
      <c r="A127" s="6"/>
      <c r="B127" s="6"/>
      <c r="C127" s="6"/>
      <c r="D127" s="6"/>
      <c r="E127" s="6"/>
      <c r="F127" s="6"/>
      <c r="G127" s="6"/>
      <c r="H127" s="6"/>
      <c r="I127" s="6"/>
      <c r="J127" s="6"/>
      <c r="K127" s="6"/>
      <c r="L127" s="6"/>
      <c r="M127" s="6"/>
      <c r="N127" s="6"/>
      <c r="O127" s="6"/>
      <c r="P127" s="6"/>
      <c r="Q127" s="6"/>
      <c r="R127" s="6"/>
      <c r="S127" s="6"/>
      <c r="T127" s="6"/>
      <c r="U127" s="6"/>
      <c r="V127" s="6"/>
    </row>
    <row r="128" spans="1:22" x14ac:dyDescent="0.3">
      <c r="A128" s="6"/>
      <c r="B128" s="6"/>
      <c r="C128" s="6"/>
      <c r="D128" s="6"/>
      <c r="E128" s="6"/>
      <c r="F128" s="6"/>
      <c r="G128" s="6"/>
      <c r="H128" s="6"/>
      <c r="I128" s="6"/>
      <c r="J128" s="6"/>
      <c r="K128" s="6"/>
      <c r="L128" s="6"/>
      <c r="M128" s="6"/>
      <c r="N128" s="6"/>
      <c r="O128" s="6"/>
      <c r="P128" s="6"/>
      <c r="Q128" s="6"/>
      <c r="R128" s="6"/>
      <c r="S128" s="6"/>
      <c r="T128" s="6"/>
      <c r="U128" s="6"/>
      <c r="V128" s="6"/>
    </row>
    <row r="129" spans="1:22" x14ac:dyDescent="0.3">
      <c r="A129" s="6"/>
      <c r="B129" s="6"/>
      <c r="C129" s="6"/>
      <c r="D129" s="6"/>
      <c r="E129" s="6"/>
      <c r="F129" s="6"/>
      <c r="G129" s="6"/>
      <c r="H129" s="6"/>
      <c r="I129" s="6"/>
      <c r="J129" s="6"/>
      <c r="K129" s="6"/>
      <c r="L129" s="6"/>
      <c r="M129" s="6"/>
      <c r="N129" s="6"/>
      <c r="O129" s="6"/>
      <c r="P129" s="6"/>
      <c r="Q129" s="6"/>
      <c r="R129" s="6"/>
      <c r="S129" s="6"/>
      <c r="T129" s="6"/>
      <c r="U129" s="6"/>
      <c r="V129" s="6"/>
    </row>
    <row r="130" spans="1:22" x14ac:dyDescent="0.3">
      <c r="A130" s="6"/>
      <c r="B130" s="6"/>
      <c r="C130" s="6"/>
      <c r="D130" s="6"/>
      <c r="E130" s="6"/>
      <c r="F130" s="6"/>
      <c r="G130" s="6"/>
      <c r="H130" s="6"/>
      <c r="I130" s="6"/>
      <c r="J130" s="6"/>
      <c r="K130" s="6"/>
      <c r="L130" s="6"/>
      <c r="M130" s="6"/>
      <c r="N130" s="6"/>
      <c r="O130" s="6"/>
      <c r="P130" s="6"/>
      <c r="Q130" s="6"/>
      <c r="R130" s="6"/>
      <c r="S130" s="6"/>
      <c r="T130" s="6"/>
      <c r="U130" s="6"/>
      <c r="V130" s="6"/>
    </row>
    <row r="131" spans="1:22" x14ac:dyDescent="0.3">
      <c r="A131" s="6"/>
      <c r="B131" s="6"/>
      <c r="C131" s="6"/>
      <c r="D131" s="6"/>
      <c r="E131" s="6"/>
      <c r="F131" s="6"/>
      <c r="G131" s="6"/>
      <c r="H131" s="6"/>
      <c r="I131" s="6"/>
      <c r="J131" s="6"/>
      <c r="K131" s="6"/>
      <c r="L131" s="6"/>
      <c r="M131" s="6"/>
      <c r="N131" s="6"/>
      <c r="O131" s="6"/>
      <c r="P131" s="6"/>
      <c r="Q131" s="6"/>
      <c r="R131" s="6"/>
      <c r="S131" s="6"/>
      <c r="T131" s="6"/>
      <c r="U131" s="6"/>
      <c r="V131" s="6"/>
    </row>
    <row r="132" spans="1:22" x14ac:dyDescent="0.3">
      <c r="A132" s="6"/>
      <c r="B132" s="6"/>
      <c r="C132" s="6"/>
      <c r="D132" s="6"/>
      <c r="E132" s="6"/>
      <c r="F132" s="6"/>
      <c r="G132" s="6"/>
      <c r="H132" s="6"/>
      <c r="I132" s="6"/>
      <c r="J132" s="6"/>
      <c r="K132" s="6"/>
      <c r="L132" s="6"/>
      <c r="M132" s="6"/>
      <c r="N132" s="6"/>
      <c r="O132" s="6"/>
      <c r="P132" s="6"/>
      <c r="Q132" s="6"/>
      <c r="R132" s="6"/>
      <c r="S132" s="6"/>
      <c r="T132" s="6"/>
      <c r="U132" s="6"/>
      <c r="V132" s="6"/>
    </row>
    <row r="133" spans="1:22" x14ac:dyDescent="0.3">
      <c r="A133" s="6"/>
      <c r="B133" s="6"/>
      <c r="C133" s="6"/>
      <c r="D133" s="6"/>
      <c r="E133" s="6"/>
      <c r="F133" s="6"/>
      <c r="G133" s="6"/>
      <c r="H133" s="6"/>
      <c r="I133" s="6"/>
      <c r="J133" s="6"/>
      <c r="K133" s="6"/>
      <c r="L133" s="6"/>
      <c r="M133" s="6"/>
      <c r="N133" s="6"/>
      <c r="O133" s="6"/>
      <c r="P133" s="6"/>
      <c r="Q133" s="6"/>
      <c r="R133" s="6"/>
      <c r="S133" s="6"/>
      <c r="T133" s="6"/>
      <c r="U133" s="6"/>
      <c r="V133" s="6"/>
    </row>
    <row r="134" spans="1:22" x14ac:dyDescent="0.3">
      <c r="A134" s="6"/>
      <c r="B134" s="6"/>
      <c r="C134" s="6"/>
      <c r="D134" s="6"/>
      <c r="E134" s="6"/>
      <c r="F134" s="6"/>
      <c r="G134" s="6"/>
      <c r="H134" s="6"/>
      <c r="I134" s="6"/>
      <c r="J134" s="6"/>
      <c r="K134" s="6"/>
      <c r="L134" s="6"/>
      <c r="M134" s="6"/>
      <c r="N134" s="6"/>
      <c r="O134" s="6"/>
      <c r="P134" s="6"/>
      <c r="Q134" s="6"/>
      <c r="R134" s="6"/>
      <c r="S134" s="6"/>
      <c r="T134" s="6"/>
      <c r="U134" s="6"/>
      <c r="V134" s="6"/>
    </row>
    <row r="135" spans="1:22" x14ac:dyDescent="0.3">
      <c r="A135" s="6"/>
      <c r="B135" s="6"/>
      <c r="C135" s="6"/>
      <c r="D135" s="6"/>
      <c r="E135" s="6"/>
      <c r="F135" s="6"/>
      <c r="G135" s="6"/>
      <c r="H135" s="6"/>
      <c r="I135" s="6"/>
      <c r="J135" s="6"/>
      <c r="K135" s="6"/>
      <c r="L135" s="6"/>
      <c r="M135" s="6"/>
      <c r="N135" s="6"/>
      <c r="O135" s="6"/>
      <c r="P135" s="6"/>
      <c r="Q135" s="6"/>
      <c r="R135" s="6"/>
      <c r="S135" s="6"/>
      <c r="T135" s="6"/>
      <c r="U135" s="6"/>
      <c r="V135" s="6"/>
    </row>
    <row r="136" spans="1:22" x14ac:dyDescent="0.3">
      <c r="A136" s="6"/>
      <c r="B136" s="6"/>
      <c r="C136" s="6"/>
      <c r="D136" s="6"/>
      <c r="E136" s="6"/>
      <c r="F136" s="6"/>
      <c r="G136" s="6"/>
      <c r="H136" s="6"/>
      <c r="I136" s="6"/>
      <c r="J136" s="6"/>
      <c r="K136" s="6"/>
      <c r="L136" s="6"/>
      <c r="M136" s="6"/>
      <c r="N136" s="6"/>
      <c r="O136" s="6"/>
      <c r="P136" s="6"/>
      <c r="Q136" s="6"/>
      <c r="R136" s="6"/>
      <c r="S136" s="6"/>
      <c r="T136" s="6"/>
      <c r="U136" s="6"/>
      <c r="V136" s="6"/>
    </row>
    <row r="137" spans="1:22" x14ac:dyDescent="0.3">
      <c r="A137" s="6"/>
      <c r="B137" s="6"/>
      <c r="C137" s="6"/>
      <c r="D137" s="6"/>
      <c r="E137" s="6"/>
      <c r="F137" s="6"/>
      <c r="G137" s="6"/>
      <c r="H137" s="6"/>
      <c r="I137" s="6"/>
      <c r="J137" s="6"/>
      <c r="K137" s="6"/>
      <c r="L137" s="6"/>
      <c r="M137" s="6"/>
      <c r="N137" s="6"/>
      <c r="O137" s="6"/>
      <c r="P137" s="6"/>
      <c r="Q137" s="6"/>
      <c r="R137" s="6"/>
      <c r="S137" s="6"/>
      <c r="T137" s="6"/>
      <c r="U137" s="6"/>
      <c r="V137" s="6"/>
    </row>
    <row r="138" spans="1:22" x14ac:dyDescent="0.3">
      <c r="A138" s="6"/>
      <c r="B138" s="6"/>
      <c r="C138" s="6"/>
      <c r="D138" s="6"/>
      <c r="E138" s="6"/>
      <c r="F138" s="6"/>
      <c r="G138" s="6"/>
      <c r="H138" s="6"/>
      <c r="I138" s="6"/>
      <c r="J138" s="6"/>
      <c r="K138" s="6"/>
      <c r="L138" s="6"/>
      <c r="M138" s="6"/>
      <c r="N138" s="6"/>
      <c r="O138" s="6"/>
      <c r="P138" s="6"/>
      <c r="Q138" s="6"/>
      <c r="R138" s="6"/>
      <c r="S138" s="6"/>
      <c r="T138" s="6"/>
      <c r="U138" s="6"/>
      <c r="V138" s="6"/>
    </row>
    <row r="139" spans="1:22" x14ac:dyDescent="0.3">
      <c r="A139" s="6"/>
      <c r="B139" s="6"/>
      <c r="C139" s="6"/>
      <c r="D139" s="6"/>
      <c r="E139" s="6"/>
      <c r="F139" s="6"/>
      <c r="G139" s="6"/>
      <c r="H139" s="6"/>
      <c r="I139" s="6"/>
      <c r="J139" s="6"/>
      <c r="K139" s="6"/>
      <c r="L139" s="6"/>
      <c r="M139" s="6"/>
      <c r="N139" s="6"/>
      <c r="O139" s="6"/>
      <c r="P139" s="6"/>
      <c r="Q139" s="6"/>
      <c r="R139" s="6"/>
      <c r="S139" s="6"/>
      <c r="T139" s="6"/>
      <c r="U139" s="6"/>
      <c r="V139" s="6"/>
    </row>
    <row r="140" spans="1:22" x14ac:dyDescent="0.3">
      <c r="A140" s="6"/>
      <c r="B140" s="6"/>
      <c r="C140" s="6"/>
      <c r="D140" s="6"/>
      <c r="E140" s="6"/>
      <c r="F140" s="6"/>
      <c r="G140" s="6"/>
      <c r="H140" s="6"/>
      <c r="I140" s="6"/>
      <c r="J140" s="6"/>
      <c r="K140" s="6"/>
      <c r="L140" s="6"/>
      <c r="M140" s="6"/>
      <c r="N140" s="6"/>
      <c r="O140" s="6"/>
      <c r="P140" s="6"/>
      <c r="Q140" s="6"/>
      <c r="R140" s="6"/>
      <c r="S140" s="6"/>
      <c r="T140" s="6"/>
      <c r="U140" s="6"/>
      <c r="V140" s="6"/>
    </row>
    <row r="141" spans="1:22" x14ac:dyDescent="0.3">
      <c r="A141" s="6"/>
      <c r="B141" s="6"/>
      <c r="C141" s="6"/>
      <c r="D141" s="6"/>
      <c r="E141" s="6"/>
      <c r="F141" s="6"/>
      <c r="G141" s="6"/>
      <c r="H141" s="6"/>
      <c r="I141" s="6"/>
      <c r="J141" s="6"/>
      <c r="K141" s="6"/>
      <c r="L141" s="6"/>
      <c r="M141" s="6"/>
      <c r="N141" s="6"/>
      <c r="O141" s="6"/>
      <c r="P141" s="6"/>
      <c r="Q141" s="6"/>
      <c r="R141" s="6"/>
      <c r="S141" s="6"/>
      <c r="T141" s="6"/>
      <c r="U141" s="6"/>
      <c r="V141" s="6"/>
    </row>
    <row r="142" spans="1:22" x14ac:dyDescent="0.3">
      <c r="A142" s="6"/>
      <c r="B142" s="6"/>
      <c r="C142" s="6"/>
      <c r="D142" s="6"/>
      <c r="E142" s="6"/>
      <c r="F142" s="6"/>
      <c r="G142" s="6"/>
      <c r="H142" s="6"/>
      <c r="I142" s="6"/>
      <c r="J142" s="6"/>
      <c r="K142" s="6"/>
      <c r="L142" s="6"/>
      <c r="M142" s="6"/>
      <c r="N142" s="6"/>
      <c r="O142" s="6"/>
      <c r="P142" s="6"/>
      <c r="Q142" s="6"/>
      <c r="R142" s="6"/>
      <c r="S142" s="6"/>
      <c r="T142" s="6"/>
      <c r="U142" s="6"/>
      <c r="V142" s="6"/>
    </row>
    <row r="143" spans="1:22" x14ac:dyDescent="0.3">
      <c r="A143" s="6"/>
      <c r="B143" s="6"/>
      <c r="C143" s="6"/>
      <c r="D143" s="6"/>
      <c r="E143" s="6"/>
      <c r="F143" s="6"/>
      <c r="G143" s="6"/>
      <c r="H143" s="6"/>
      <c r="I143" s="6"/>
      <c r="J143" s="6"/>
      <c r="K143" s="6"/>
      <c r="L143" s="6"/>
      <c r="M143" s="6"/>
      <c r="N143" s="6"/>
      <c r="O143" s="6"/>
      <c r="P143" s="6"/>
      <c r="Q143" s="6"/>
      <c r="R143" s="6"/>
      <c r="S143" s="6"/>
      <c r="T143" s="6"/>
      <c r="U143" s="6"/>
      <c r="V143" s="6"/>
    </row>
    <row r="144" spans="1:22" x14ac:dyDescent="0.3">
      <c r="A144" s="6"/>
      <c r="B144" s="6"/>
      <c r="C144" s="6"/>
      <c r="D144" s="6"/>
      <c r="E144" s="6"/>
      <c r="F144" s="6"/>
      <c r="G144" s="6"/>
      <c r="H144" s="6"/>
      <c r="I144" s="6"/>
      <c r="J144" s="6"/>
      <c r="K144" s="6"/>
      <c r="L144" s="6"/>
      <c r="M144" s="6"/>
      <c r="N144" s="6"/>
      <c r="O144" s="6"/>
      <c r="P144" s="6"/>
      <c r="Q144" s="6"/>
      <c r="R144" s="6"/>
      <c r="S144" s="6"/>
      <c r="T144" s="6"/>
      <c r="U144" s="6"/>
      <c r="V144" s="6"/>
    </row>
    <row r="145" spans="1:22" x14ac:dyDescent="0.3">
      <c r="A145" s="6"/>
      <c r="B145" s="6"/>
      <c r="C145" s="6"/>
      <c r="D145" s="6"/>
      <c r="E145" s="6"/>
      <c r="F145" s="6"/>
      <c r="G145" s="6"/>
      <c r="H145" s="6"/>
      <c r="I145" s="6"/>
      <c r="J145" s="6"/>
      <c r="K145" s="6"/>
      <c r="L145" s="6"/>
      <c r="M145" s="6"/>
      <c r="N145" s="6"/>
      <c r="O145" s="6"/>
      <c r="P145" s="6"/>
      <c r="Q145" s="6"/>
      <c r="R145" s="6"/>
      <c r="S145" s="6"/>
      <c r="T145" s="6"/>
      <c r="U145" s="6"/>
      <c r="V145" s="6"/>
    </row>
    <row r="146" spans="1:22" x14ac:dyDescent="0.3">
      <c r="A146" s="6"/>
      <c r="B146" s="6"/>
      <c r="C146" s="6"/>
      <c r="D146" s="6"/>
      <c r="E146" s="6"/>
      <c r="F146" s="6"/>
      <c r="G146" s="6"/>
      <c r="H146" s="6"/>
      <c r="I146" s="6"/>
      <c r="J146" s="6"/>
      <c r="K146" s="6"/>
      <c r="L146" s="6"/>
      <c r="M146" s="6"/>
      <c r="N146" s="6"/>
      <c r="O146" s="6"/>
      <c r="P146" s="6"/>
      <c r="Q146" s="6"/>
      <c r="R146" s="6"/>
      <c r="S146" s="6"/>
      <c r="T146" s="6"/>
      <c r="U146" s="6"/>
      <c r="V146" s="6"/>
    </row>
    <row r="147" spans="1:22" x14ac:dyDescent="0.3">
      <c r="A147" s="6"/>
      <c r="B147" s="6"/>
      <c r="C147" s="6"/>
      <c r="D147" s="6"/>
      <c r="E147" s="6"/>
      <c r="F147" s="6"/>
      <c r="G147" s="6"/>
      <c r="H147" s="6"/>
      <c r="I147" s="6"/>
      <c r="J147" s="6"/>
      <c r="K147" s="6"/>
      <c r="L147" s="6"/>
      <c r="M147" s="6"/>
      <c r="N147" s="6"/>
      <c r="O147" s="6"/>
      <c r="P147" s="6"/>
      <c r="Q147" s="6"/>
      <c r="R147" s="6"/>
      <c r="S147" s="6"/>
      <c r="T147" s="6"/>
      <c r="U147" s="6"/>
      <c r="V147" s="6"/>
    </row>
    <row r="148" spans="1:22" x14ac:dyDescent="0.3">
      <c r="A148" s="6"/>
      <c r="B148" s="6"/>
      <c r="C148" s="6"/>
      <c r="D148" s="6"/>
      <c r="E148" s="6"/>
      <c r="F148" s="6"/>
      <c r="G148" s="6"/>
      <c r="H148" s="6"/>
      <c r="I148" s="6"/>
      <c r="J148" s="6"/>
      <c r="K148" s="6"/>
      <c r="L148" s="6"/>
      <c r="M148" s="6"/>
      <c r="N148" s="6"/>
      <c r="O148" s="6"/>
      <c r="P148" s="6"/>
      <c r="Q148" s="6"/>
      <c r="R148" s="6"/>
      <c r="S148" s="6"/>
      <c r="T148" s="6"/>
      <c r="U148" s="6"/>
      <c r="V148" s="6"/>
    </row>
    <row r="149" spans="1:22" x14ac:dyDescent="0.3">
      <c r="A149" s="6"/>
      <c r="B149" s="6"/>
      <c r="C149" s="6"/>
      <c r="D149" s="6"/>
      <c r="E149" s="6"/>
      <c r="F149" s="6"/>
      <c r="G149" s="6"/>
      <c r="H149" s="6"/>
      <c r="I149" s="6"/>
      <c r="J149" s="6"/>
      <c r="K149" s="6"/>
      <c r="L149" s="6"/>
      <c r="M149" s="6"/>
      <c r="N149" s="6"/>
      <c r="O149" s="6"/>
      <c r="P149" s="6"/>
      <c r="Q149" s="6"/>
      <c r="R149" s="6"/>
      <c r="S149" s="6"/>
      <c r="T149" s="6"/>
      <c r="U149" s="6"/>
      <c r="V149" s="6"/>
    </row>
    <row r="150" spans="1:22" x14ac:dyDescent="0.3">
      <c r="A150" s="6"/>
      <c r="B150" s="6"/>
      <c r="C150" s="6"/>
      <c r="D150" s="6"/>
      <c r="E150" s="6"/>
      <c r="F150" s="6"/>
      <c r="G150" s="6"/>
      <c r="H150" s="6"/>
      <c r="I150" s="6"/>
      <c r="J150" s="6"/>
      <c r="K150" s="6"/>
      <c r="L150" s="6"/>
      <c r="M150" s="6"/>
      <c r="N150" s="6"/>
      <c r="O150" s="6"/>
      <c r="P150" s="6"/>
      <c r="Q150" s="6"/>
      <c r="R150" s="6"/>
      <c r="S150" s="6"/>
      <c r="T150" s="6"/>
      <c r="U150" s="6"/>
      <c r="V150" s="6"/>
    </row>
    <row r="151" spans="1:22" x14ac:dyDescent="0.3">
      <c r="A151" s="6"/>
      <c r="B151" s="6"/>
      <c r="C151" s="6"/>
      <c r="D151" s="6"/>
      <c r="E151" s="6"/>
      <c r="F151" s="6"/>
      <c r="G151" s="6"/>
      <c r="H151" s="6"/>
      <c r="I151" s="6"/>
      <c r="J151" s="6"/>
      <c r="K151" s="6"/>
      <c r="L151" s="6"/>
      <c r="M151" s="6"/>
      <c r="N151" s="6"/>
      <c r="O151" s="6"/>
      <c r="P151" s="6"/>
      <c r="Q151" s="6"/>
      <c r="R151" s="6"/>
      <c r="S151" s="6"/>
      <c r="T151" s="6"/>
      <c r="U151" s="6"/>
      <c r="V151" s="6"/>
    </row>
    <row r="152" spans="1:22" x14ac:dyDescent="0.3">
      <c r="A152" s="6"/>
      <c r="B152" s="6"/>
      <c r="C152" s="6"/>
      <c r="D152" s="6"/>
      <c r="E152" s="6"/>
      <c r="F152" s="6"/>
      <c r="G152" s="6"/>
      <c r="H152" s="6"/>
      <c r="I152" s="6"/>
      <c r="J152" s="6"/>
      <c r="K152" s="6"/>
      <c r="L152" s="6"/>
      <c r="M152" s="6"/>
      <c r="N152" s="6"/>
      <c r="O152" s="6"/>
      <c r="P152" s="6"/>
      <c r="Q152" s="6"/>
      <c r="R152" s="6"/>
      <c r="S152" s="6"/>
      <c r="T152" s="6"/>
      <c r="U152" s="6"/>
      <c r="V152" s="6"/>
    </row>
    <row r="153" spans="1:22" x14ac:dyDescent="0.3">
      <c r="A153" s="6"/>
      <c r="B153" s="6"/>
      <c r="C153" s="6"/>
      <c r="D153" s="6"/>
      <c r="E153" s="6"/>
      <c r="F153" s="6"/>
      <c r="G153" s="6"/>
      <c r="H153" s="6"/>
      <c r="I153" s="6"/>
      <c r="J153" s="6"/>
      <c r="K153" s="6"/>
      <c r="L153" s="6"/>
      <c r="M153" s="6"/>
      <c r="N153" s="6"/>
      <c r="O153" s="6"/>
      <c r="P153" s="6"/>
      <c r="Q153" s="6"/>
      <c r="R153" s="6"/>
      <c r="S153" s="6"/>
      <c r="T153" s="6"/>
      <c r="U153" s="6"/>
      <c r="V153" s="6"/>
    </row>
    <row r="154" spans="1:22" x14ac:dyDescent="0.3">
      <c r="A154" s="6"/>
      <c r="B154" s="6"/>
      <c r="C154" s="6"/>
      <c r="D154" s="6"/>
      <c r="E154" s="6"/>
      <c r="F154" s="6"/>
      <c r="G154" s="6"/>
      <c r="H154" s="6"/>
      <c r="I154" s="6"/>
      <c r="J154" s="6"/>
      <c r="K154" s="6"/>
      <c r="L154" s="6"/>
      <c r="M154" s="6"/>
      <c r="N154" s="6"/>
      <c r="O154" s="6"/>
      <c r="P154" s="6"/>
      <c r="Q154" s="6"/>
      <c r="R154" s="6"/>
      <c r="S154" s="6"/>
      <c r="T154" s="6"/>
      <c r="U154" s="6"/>
      <c r="V154" s="6"/>
    </row>
    <row r="155" spans="1:22" x14ac:dyDescent="0.3">
      <c r="A155" s="6"/>
      <c r="B155" s="6"/>
      <c r="C155" s="6"/>
      <c r="D155" s="6"/>
      <c r="E155" s="6"/>
      <c r="F155" s="6"/>
      <c r="G155" s="6"/>
      <c r="H155" s="6"/>
      <c r="I155" s="6"/>
      <c r="J155" s="6"/>
      <c r="K155" s="6"/>
      <c r="L155" s="6"/>
      <c r="M155" s="6"/>
      <c r="N155" s="6"/>
      <c r="O155" s="6"/>
      <c r="P155" s="6"/>
      <c r="Q155" s="6"/>
      <c r="R155" s="6"/>
      <c r="S155" s="6"/>
      <c r="T155" s="6"/>
      <c r="U155" s="6"/>
      <c r="V155" s="6"/>
    </row>
    <row r="156" spans="1:22" x14ac:dyDescent="0.3">
      <c r="A156" s="6"/>
      <c r="B156" s="6"/>
      <c r="C156" s="6"/>
      <c r="D156" s="6"/>
      <c r="E156" s="6"/>
      <c r="F156" s="6"/>
      <c r="G156" s="6"/>
      <c r="H156" s="6"/>
      <c r="I156" s="6"/>
      <c r="J156" s="6"/>
      <c r="K156" s="6"/>
      <c r="L156" s="6"/>
      <c r="M156" s="6"/>
      <c r="N156" s="6"/>
      <c r="O156" s="6"/>
      <c r="P156" s="6"/>
      <c r="Q156" s="6"/>
      <c r="R156" s="6"/>
      <c r="S156" s="6"/>
      <c r="T156" s="6"/>
      <c r="U156" s="6"/>
      <c r="V156" s="6"/>
    </row>
    <row r="157" spans="1:22" x14ac:dyDescent="0.3">
      <c r="A157" s="6"/>
      <c r="B157" s="6"/>
      <c r="C157" s="6"/>
      <c r="D157" s="6"/>
      <c r="E157" s="6"/>
      <c r="F157" s="6"/>
      <c r="G157" s="6"/>
      <c r="H157" s="6"/>
      <c r="I157" s="6"/>
      <c r="J157" s="6"/>
      <c r="K157" s="6"/>
      <c r="L157" s="6"/>
      <c r="M157" s="6"/>
      <c r="N157" s="6"/>
      <c r="O157" s="6"/>
      <c r="P157" s="6"/>
      <c r="Q157" s="6"/>
      <c r="R157" s="6"/>
      <c r="S157" s="6"/>
      <c r="T157" s="6"/>
      <c r="U157" s="6"/>
      <c r="V157" s="6"/>
    </row>
    <row r="158" spans="1:22" x14ac:dyDescent="0.3">
      <c r="A158" s="6"/>
      <c r="B158" s="6"/>
      <c r="C158" s="6"/>
      <c r="D158" s="6"/>
      <c r="E158" s="6"/>
      <c r="F158" s="6"/>
      <c r="G158" s="6"/>
      <c r="H158" s="6"/>
      <c r="I158" s="6"/>
      <c r="J158" s="6"/>
      <c r="K158" s="6"/>
      <c r="L158" s="6"/>
      <c r="M158" s="6"/>
      <c r="N158" s="6"/>
      <c r="O158" s="6"/>
      <c r="P158" s="6"/>
      <c r="Q158" s="6"/>
      <c r="R158" s="6"/>
      <c r="S158" s="6"/>
      <c r="T158" s="6"/>
      <c r="U158" s="6"/>
      <c r="V158" s="6"/>
    </row>
    <row r="159" spans="1:22" x14ac:dyDescent="0.3">
      <c r="A159" s="6"/>
      <c r="B159" s="6"/>
      <c r="C159" s="6"/>
      <c r="D159" s="6"/>
      <c r="E159" s="6"/>
      <c r="F159" s="6"/>
      <c r="G159" s="6"/>
      <c r="H159" s="6"/>
      <c r="I159" s="6"/>
      <c r="J159" s="6"/>
      <c r="K159" s="6"/>
      <c r="L159" s="6"/>
      <c r="M159" s="6"/>
      <c r="N159" s="6"/>
      <c r="O159" s="6"/>
      <c r="P159" s="6"/>
      <c r="Q159" s="6"/>
      <c r="R159" s="6"/>
      <c r="S159" s="6"/>
      <c r="T159" s="6"/>
      <c r="U159" s="6"/>
      <c r="V159" s="6"/>
    </row>
    <row r="160" spans="1:22" x14ac:dyDescent="0.3">
      <c r="A160" s="6"/>
      <c r="B160" s="6"/>
      <c r="C160" s="6"/>
      <c r="D160" s="6"/>
      <c r="E160" s="6"/>
      <c r="F160" s="6"/>
      <c r="G160" s="6"/>
      <c r="H160" s="6"/>
      <c r="I160" s="6"/>
      <c r="J160" s="6"/>
      <c r="K160" s="6"/>
      <c r="L160" s="6"/>
      <c r="M160" s="6"/>
      <c r="N160" s="6"/>
      <c r="O160" s="6"/>
      <c r="P160" s="6"/>
      <c r="Q160" s="6"/>
      <c r="R160" s="6"/>
      <c r="S160" s="6"/>
      <c r="T160" s="6"/>
      <c r="U160" s="6"/>
      <c r="V160" s="6"/>
    </row>
    <row r="161" spans="1:22" x14ac:dyDescent="0.3">
      <c r="A161" s="6"/>
      <c r="B161" s="6"/>
      <c r="C161" s="6"/>
      <c r="D161" s="6"/>
      <c r="E161" s="6"/>
      <c r="F161" s="6"/>
      <c r="G161" s="6"/>
      <c r="H161" s="6"/>
      <c r="I161" s="6"/>
      <c r="J161" s="6"/>
      <c r="K161" s="6"/>
      <c r="L161" s="6"/>
      <c r="M161" s="6"/>
      <c r="N161" s="6"/>
      <c r="O161" s="6"/>
      <c r="P161" s="6"/>
      <c r="Q161" s="6"/>
      <c r="R161" s="6"/>
      <c r="S161" s="6"/>
      <c r="T161" s="6"/>
      <c r="U161" s="6"/>
      <c r="V161" s="6"/>
    </row>
    <row r="162" spans="1:22" x14ac:dyDescent="0.3">
      <c r="A162" s="6"/>
      <c r="B162" s="6"/>
      <c r="C162" s="6"/>
      <c r="D162" s="6"/>
      <c r="E162" s="6"/>
      <c r="F162" s="6"/>
      <c r="G162" s="6"/>
      <c r="H162" s="6"/>
      <c r="I162" s="6"/>
      <c r="J162" s="6"/>
      <c r="K162" s="6"/>
      <c r="L162" s="6"/>
      <c r="M162" s="6"/>
      <c r="N162" s="6"/>
      <c r="O162" s="6"/>
      <c r="P162" s="6"/>
      <c r="Q162" s="6"/>
      <c r="R162" s="6"/>
      <c r="S162" s="6"/>
      <c r="T162" s="6"/>
      <c r="U162" s="6"/>
      <c r="V162" s="6"/>
    </row>
    <row r="163" spans="1:22" x14ac:dyDescent="0.3">
      <c r="A163" s="6"/>
      <c r="B163" s="6"/>
      <c r="C163" s="6"/>
      <c r="D163" s="6"/>
      <c r="E163" s="6"/>
      <c r="F163" s="6"/>
      <c r="G163" s="6"/>
      <c r="H163" s="6"/>
      <c r="I163" s="6"/>
      <c r="J163" s="6"/>
      <c r="K163" s="6"/>
      <c r="L163" s="6"/>
      <c r="M163" s="6"/>
      <c r="N163" s="6"/>
      <c r="O163" s="6"/>
      <c r="P163" s="6"/>
      <c r="Q163" s="6"/>
      <c r="R163" s="6"/>
      <c r="S163" s="6"/>
      <c r="T163" s="6"/>
      <c r="U163" s="6"/>
      <c r="V163" s="6"/>
    </row>
    <row r="164" spans="1:22" x14ac:dyDescent="0.3">
      <c r="A164" s="6"/>
      <c r="B164" s="6"/>
      <c r="C164" s="6"/>
      <c r="D164" s="6"/>
      <c r="E164" s="6"/>
      <c r="F164" s="6"/>
      <c r="G164" s="6"/>
      <c r="H164" s="6"/>
      <c r="I164" s="6"/>
      <c r="J164" s="6"/>
      <c r="K164" s="6"/>
      <c r="L164" s="6"/>
      <c r="M164" s="6"/>
      <c r="N164" s="6"/>
      <c r="O164" s="6"/>
      <c r="P164" s="6"/>
      <c r="Q164" s="6"/>
      <c r="R164" s="6"/>
      <c r="S164" s="6"/>
      <c r="T164" s="6"/>
      <c r="U164" s="6"/>
      <c r="V164" s="6"/>
    </row>
    <row r="165" spans="1:22" x14ac:dyDescent="0.3">
      <c r="A165" s="6"/>
      <c r="B165" s="6"/>
      <c r="C165" s="6"/>
      <c r="D165" s="6"/>
      <c r="E165" s="6"/>
      <c r="F165" s="6"/>
      <c r="G165" s="6"/>
      <c r="H165" s="6"/>
      <c r="I165" s="6"/>
      <c r="J165" s="6"/>
      <c r="K165" s="6"/>
      <c r="L165" s="6"/>
      <c r="M165" s="6"/>
      <c r="N165" s="6"/>
      <c r="O165" s="6"/>
      <c r="P165" s="6"/>
      <c r="Q165" s="6"/>
      <c r="R165" s="6"/>
      <c r="S165" s="6"/>
      <c r="T165" s="6"/>
      <c r="U165" s="6"/>
      <c r="V165" s="6"/>
    </row>
    <row r="166" spans="1:22" x14ac:dyDescent="0.3">
      <c r="A166" s="6"/>
      <c r="B166" s="6"/>
      <c r="C166" s="6"/>
      <c r="D166" s="6"/>
      <c r="E166" s="6"/>
      <c r="F166" s="6"/>
      <c r="G166" s="6"/>
      <c r="H166" s="6"/>
      <c r="I166" s="6"/>
      <c r="J166" s="6"/>
      <c r="K166" s="6"/>
      <c r="L166" s="6"/>
      <c r="M166" s="6"/>
      <c r="N166" s="6"/>
      <c r="O166" s="6"/>
      <c r="P166" s="6"/>
      <c r="Q166" s="6"/>
      <c r="R166" s="6"/>
      <c r="S166" s="6"/>
      <c r="T166" s="6"/>
      <c r="U166" s="6"/>
      <c r="V166" s="6"/>
    </row>
    <row r="167" spans="1:22" x14ac:dyDescent="0.3">
      <c r="A167" s="6"/>
      <c r="B167" s="6"/>
      <c r="C167" s="6"/>
      <c r="D167" s="6"/>
      <c r="E167" s="6"/>
      <c r="F167" s="6"/>
      <c r="G167" s="6"/>
      <c r="H167" s="6"/>
      <c r="I167" s="6"/>
      <c r="J167" s="6"/>
      <c r="K167" s="6"/>
      <c r="L167" s="6"/>
      <c r="M167" s="6"/>
      <c r="N167" s="6"/>
      <c r="O167" s="6"/>
      <c r="P167" s="6"/>
      <c r="Q167" s="6"/>
      <c r="R167" s="6"/>
      <c r="S167" s="6"/>
      <c r="T167" s="6"/>
      <c r="U167" s="6"/>
      <c r="V167" s="6"/>
    </row>
    <row r="168" spans="1:22" x14ac:dyDescent="0.3">
      <c r="A168" s="6"/>
      <c r="B168" s="6"/>
      <c r="C168" s="6"/>
      <c r="D168" s="6"/>
      <c r="E168" s="6"/>
      <c r="F168" s="6"/>
      <c r="G168" s="6"/>
      <c r="H168" s="6"/>
      <c r="I168" s="6"/>
      <c r="J168" s="6"/>
      <c r="K168" s="6"/>
      <c r="L168" s="6"/>
      <c r="M168" s="6"/>
      <c r="N168" s="6"/>
      <c r="O168" s="6"/>
      <c r="P168" s="6"/>
      <c r="Q168" s="6"/>
      <c r="R168" s="6"/>
      <c r="S168" s="6"/>
      <c r="T168" s="6"/>
      <c r="U168" s="6"/>
      <c r="V168" s="6"/>
    </row>
    <row r="169" spans="1:22" x14ac:dyDescent="0.3">
      <c r="A169" s="6"/>
      <c r="B169" s="6"/>
      <c r="C169" s="6"/>
      <c r="D169" s="6"/>
      <c r="E169" s="6"/>
      <c r="F169" s="6"/>
      <c r="G169" s="6"/>
      <c r="H169" s="6"/>
      <c r="I169" s="6"/>
      <c r="J169" s="6"/>
      <c r="K169" s="6"/>
      <c r="L169" s="6"/>
      <c r="M169" s="6"/>
      <c r="N169" s="6"/>
      <c r="O169" s="6"/>
      <c r="P169" s="6"/>
      <c r="Q169" s="6"/>
      <c r="R169" s="6"/>
      <c r="S169" s="6"/>
      <c r="T169" s="6"/>
      <c r="U169" s="6"/>
      <c r="V169" s="6"/>
    </row>
    <row r="170" spans="1:22" x14ac:dyDescent="0.3">
      <c r="A170" s="6"/>
      <c r="B170" s="6"/>
      <c r="C170" s="6"/>
      <c r="D170" s="6"/>
      <c r="E170" s="6"/>
      <c r="F170" s="6"/>
      <c r="G170" s="6"/>
      <c r="H170" s="6"/>
      <c r="I170" s="6"/>
      <c r="J170" s="6"/>
      <c r="K170" s="6"/>
      <c r="L170" s="6"/>
      <c r="M170" s="6"/>
      <c r="N170" s="6"/>
      <c r="O170" s="6"/>
      <c r="P170" s="6"/>
      <c r="Q170" s="6"/>
      <c r="R170" s="6"/>
      <c r="S170" s="6"/>
      <c r="T170" s="6"/>
      <c r="U170" s="6"/>
      <c r="V170" s="6"/>
    </row>
    <row r="171" spans="1:22" x14ac:dyDescent="0.3">
      <c r="A171" s="6"/>
      <c r="B171" s="6"/>
      <c r="C171" s="6"/>
      <c r="D171" s="6"/>
      <c r="E171" s="6"/>
      <c r="F171" s="6"/>
      <c r="G171" s="6"/>
      <c r="H171" s="6"/>
      <c r="I171" s="6"/>
      <c r="J171" s="6"/>
      <c r="K171" s="6"/>
      <c r="L171" s="6"/>
      <c r="M171" s="6"/>
      <c r="N171" s="6"/>
      <c r="O171" s="6"/>
      <c r="P171" s="6"/>
      <c r="Q171" s="6"/>
      <c r="R171" s="6"/>
      <c r="S171" s="6"/>
      <c r="T171" s="6"/>
      <c r="U171" s="6"/>
      <c r="V171" s="6"/>
    </row>
    <row r="172" spans="1:22" x14ac:dyDescent="0.3">
      <c r="A172" s="6"/>
      <c r="B172" s="6"/>
      <c r="C172" s="6"/>
      <c r="D172" s="6"/>
      <c r="E172" s="6"/>
      <c r="F172" s="6"/>
      <c r="G172" s="6"/>
      <c r="H172" s="6"/>
      <c r="I172" s="6"/>
      <c r="J172" s="6"/>
      <c r="K172" s="6"/>
      <c r="L172" s="6"/>
      <c r="M172" s="6"/>
      <c r="N172" s="6"/>
      <c r="O172" s="6"/>
      <c r="P172" s="6"/>
      <c r="Q172" s="6"/>
      <c r="R172" s="6"/>
      <c r="S172" s="6"/>
      <c r="T172" s="6"/>
      <c r="U172" s="6"/>
      <c r="V172" s="6"/>
    </row>
    <row r="173" spans="1:22" x14ac:dyDescent="0.3">
      <c r="A173" s="6"/>
      <c r="B173" s="6"/>
      <c r="C173" s="6"/>
      <c r="D173" s="6"/>
      <c r="E173" s="6"/>
      <c r="F173" s="6"/>
      <c r="G173" s="6"/>
      <c r="H173" s="6"/>
      <c r="I173" s="6"/>
      <c r="J173" s="6"/>
      <c r="K173" s="6"/>
      <c r="L173" s="6"/>
      <c r="M173" s="6"/>
      <c r="N173" s="6"/>
      <c r="O173" s="6"/>
      <c r="P173" s="6"/>
      <c r="Q173" s="6"/>
      <c r="R173" s="6"/>
      <c r="S173" s="6"/>
      <c r="T173" s="6"/>
      <c r="U173" s="6"/>
      <c r="V173" s="6"/>
    </row>
    <row r="174" spans="1:22" x14ac:dyDescent="0.3">
      <c r="A174" s="6"/>
      <c r="B174" s="6"/>
      <c r="C174" s="6"/>
      <c r="D174" s="6"/>
      <c r="E174" s="6"/>
      <c r="F174" s="6"/>
      <c r="G174" s="6"/>
      <c r="H174" s="6"/>
      <c r="I174" s="6"/>
      <c r="J174" s="6"/>
      <c r="K174" s="6"/>
      <c r="L174" s="6"/>
      <c r="M174" s="6"/>
      <c r="N174" s="6"/>
      <c r="O174" s="6"/>
      <c r="P174" s="6"/>
      <c r="Q174" s="6"/>
      <c r="R174" s="6"/>
      <c r="S174" s="6"/>
      <c r="T174" s="6"/>
      <c r="U174" s="6"/>
      <c r="V174" s="6"/>
    </row>
    <row r="175" spans="1:22" x14ac:dyDescent="0.3">
      <c r="A175" s="6"/>
      <c r="B175" s="6"/>
      <c r="C175" s="6"/>
      <c r="D175" s="6"/>
      <c r="E175" s="6"/>
      <c r="F175" s="6"/>
      <c r="G175" s="6"/>
      <c r="H175" s="6"/>
      <c r="I175" s="6"/>
      <c r="J175" s="6"/>
      <c r="K175" s="6"/>
      <c r="L175" s="6"/>
      <c r="M175" s="6"/>
      <c r="N175" s="6"/>
      <c r="O175" s="6"/>
      <c r="P175" s="6"/>
      <c r="Q175" s="6"/>
      <c r="R175" s="6"/>
      <c r="S175" s="6"/>
      <c r="T175" s="6"/>
      <c r="U175" s="6"/>
      <c r="V175" s="6"/>
    </row>
    <row r="176" spans="1:22" x14ac:dyDescent="0.3">
      <c r="A176" s="6"/>
      <c r="B176" s="6"/>
      <c r="C176" s="6"/>
      <c r="D176" s="6"/>
      <c r="E176" s="6"/>
      <c r="F176" s="6"/>
      <c r="G176" s="6"/>
      <c r="H176" s="6"/>
      <c r="I176" s="6"/>
      <c r="J176" s="6"/>
      <c r="K176" s="6"/>
      <c r="L176" s="6"/>
      <c r="M176" s="6"/>
      <c r="N176" s="6"/>
      <c r="O176" s="6"/>
      <c r="P176" s="6"/>
      <c r="Q176" s="6"/>
      <c r="R176" s="6"/>
      <c r="S176" s="6"/>
      <c r="T176" s="6"/>
      <c r="U176" s="6"/>
      <c r="V176" s="6"/>
    </row>
    <row r="177" spans="1:22" x14ac:dyDescent="0.3">
      <c r="A177" s="6"/>
      <c r="B177" s="6"/>
      <c r="C177" s="6"/>
      <c r="D177" s="6"/>
      <c r="E177" s="6"/>
      <c r="F177" s="6"/>
      <c r="G177" s="6"/>
      <c r="H177" s="6"/>
      <c r="I177" s="6"/>
      <c r="J177" s="6"/>
      <c r="K177" s="6"/>
      <c r="L177" s="6"/>
      <c r="M177" s="6"/>
      <c r="N177" s="6"/>
      <c r="O177" s="6"/>
      <c r="P177" s="6"/>
      <c r="Q177" s="6"/>
      <c r="R177" s="6"/>
      <c r="S177" s="6"/>
      <c r="T177" s="6"/>
      <c r="U177" s="6"/>
      <c r="V177" s="6"/>
    </row>
    <row r="178" spans="1:22" x14ac:dyDescent="0.3">
      <c r="A178" s="6"/>
      <c r="B178" s="6"/>
      <c r="C178" s="6"/>
      <c r="D178" s="6"/>
      <c r="E178" s="6"/>
      <c r="F178" s="6"/>
      <c r="G178" s="6"/>
      <c r="H178" s="6"/>
      <c r="I178" s="6"/>
      <c r="J178" s="6"/>
      <c r="K178" s="6"/>
      <c r="L178" s="6"/>
      <c r="M178" s="6"/>
      <c r="N178" s="6"/>
      <c r="O178" s="6"/>
      <c r="P178" s="6"/>
      <c r="Q178" s="6"/>
      <c r="R178" s="6"/>
      <c r="S178" s="6"/>
      <c r="T178" s="6"/>
      <c r="U178" s="6"/>
      <c r="V178" s="6"/>
    </row>
    <row r="179" spans="1:22" x14ac:dyDescent="0.3">
      <c r="A179" s="6"/>
      <c r="B179" s="6"/>
      <c r="C179" s="6"/>
      <c r="D179" s="6"/>
      <c r="E179" s="6"/>
      <c r="F179" s="6"/>
      <c r="G179" s="6"/>
      <c r="H179" s="6"/>
      <c r="I179" s="6"/>
      <c r="J179" s="6"/>
      <c r="K179" s="6"/>
      <c r="L179" s="6"/>
      <c r="M179" s="6"/>
      <c r="N179" s="6"/>
      <c r="O179" s="6"/>
      <c r="P179" s="6"/>
      <c r="Q179" s="6"/>
      <c r="R179" s="6"/>
      <c r="S179" s="6"/>
      <c r="T179" s="6"/>
      <c r="U179" s="6"/>
      <c r="V179" s="6"/>
    </row>
    <row r="180" spans="1:22" x14ac:dyDescent="0.3">
      <c r="A180" s="6"/>
      <c r="B180" s="6"/>
      <c r="C180" s="6"/>
      <c r="D180" s="6"/>
      <c r="E180" s="6"/>
      <c r="F180" s="6"/>
      <c r="G180" s="6"/>
      <c r="H180" s="6"/>
      <c r="I180" s="6"/>
      <c r="J180" s="6"/>
      <c r="K180" s="6"/>
      <c r="L180" s="6"/>
      <c r="M180" s="6"/>
      <c r="N180" s="6"/>
      <c r="O180" s="6"/>
      <c r="P180" s="6"/>
      <c r="Q180" s="6"/>
      <c r="R180" s="6"/>
      <c r="S180" s="6"/>
      <c r="T180" s="6"/>
      <c r="U180" s="6"/>
      <c r="V180" s="6"/>
    </row>
    <row r="181" spans="1:22" x14ac:dyDescent="0.3">
      <c r="A181" s="6"/>
      <c r="B181" s="6"/>
      <c r="C181" s="6"/>
      <c r="D181" s="6"/>
      <c r="E181" s="6"/>
      <c r="F181" s="6"/>
      <c r="G181" s="6"/>
      <c r="H181" s="6"/>
      <c r="I181" s="6"/>
      <c r="J181" s="6"/>
      <c r="K181" s="6"/>
      <c r="L181" s="6"/>
      <c r="M181" s="6"/>
      <c r="N181" s="6"/>
      <c r="O181" s="6"/>
      <c r="P181" s="6"/>
      <c r="Q181" s="6"/>
      <c r="R181" s="6"/>
      <c r="S181" s="6"/>
      <c r="T181" s="6"/>
      <c r="U181" s="6"/>
      <c r="V181" s="6"/>
    </row>
    <row r="182" spans="1:22" x14ac:dyDescent="0.3">
      <c r="A182" s="6"/>
      <c r="B182" s="6"/>
      <c r="C182" s="6"/>
      <c r="D182" s="6"/>
      <c r="E182" s="6"/>
      <c r="F182" s="6"/>
      <c r="G182" s="6"/>
      <c r="H182" s="6"/>
      <c r="I182" s="6"/>
      <c r="J182" s="6"/>
      <c r="K182" s="6"/>
      <c r="L182" s="6"/>
      <c r="M182" s="6"/>
      <c r="N182" s="6"/>
      <c r="O182" s="6"/>
      <c r="P182" s="6"/>
      <c r="Q182" s="6"/>
      <c r="R182" s="6"/>
      <c r="S182" s="6"/>
      <c r="T182" s="6"/>
      <c r="U182" s="6"/>
      <c r="V182" s="6"/>
    </row>
    <row r="183" spans="1:22" x14ac:dyDescent="0.3">
      <c r="A183" s="6"/>
      <c r="B183" s="6"/>
      <c r="C183" s="6"/>
      <c r="D183" s="6"/>
      <c r="E183" s="6"/>
      <c r="F183" s="6"/>
      <c r="G183" s="6"/>
      <c r="H183" s="6"/>
      <c r="I183" s="6"/>
      <c r="J183" s="6"/>
      <c r="K183" s="6"/>
      <c r="L183" s="6"/>
      <c r="M183" s="6"/>
      <c r="N183" s="6"/>
      <c r="O183" s="6"/>
      <c r="P183" s="6"/>
      <c r="Q183" s="6"/>
      <c r="R183" s="6"/>
      <c r="S183" s="6"/>
      <c r="T183" s="6"/>
      <c r="U183" s="6"/>
      <c r="V183" s="6"/>
    </row>
    <row r="184" spans="1:22" x14ac:dyDescent="0.3">
      <c r="A184" s="6"/>
      <c r="B184" s="6"/>
      <c r="C184" s="6"/>
      <c r="D184" s="6"/>
      <c r="E184" s="6"/>
      <c r="F184" s="6"/>
      <c r="G184" s="6"/>
      <c r="H184" s="6"/>
      <c r="I184" s="6"/>
      <c r="J184" s="6"/>
      <c r="K184" s="6"/>
      <c r="L184" s="6"/>
      <c r="M184" s="6"/>
      <c r="N184" s="6"/>
      <c r="O184" s="6"/>
      <c r="P184" s="6"/>
      <c r="Q184" s="6"/>
      <c r="R184" s="6"/>
      <c r="S184" s="6"/>
      <c r="T184" s="6"/>
      <c r="U184" s="6"/>
      <c r="V184" s="6"/>
    </row>
    <row r="185" spans="1:22" x14ac:dyDescent="0.3">
      <c r="A185" s="6"/>
      <c r="B185" s="6"/>
      <c r="C185" s="6"/>
      <c r="D185" s="6"/>
      <c r="E185" s="6"/>
      <c r="F185" s="6"/>
      <c r="G185" s="6"/>
      <c r="H185" s="6"/>
      <c r="I185" s="6"/>
      <c r="J185" s="6"/>
      <c r="K185" s="6"/>
      <c r="L185" s="6"/>
      <c r="M185" s="6"/>
      <c r="N185" s="6"/>
      <c r="O185" s="6"/>
      <c r="P185" s="6"/>
      <c r="Q185" s="6"/>
      <c r="R185" s="6"/>
      <c r="S185" s="6"/>
      <c r="T185" s="6"/>
      <c r="U185" s="6"/>
      <c r="V185" s="6"/>
    </row>
    <row r="186" spans="1:22" x14ac:dyDescent="0.3">
      <c r="A186" s="6"/>
      <c r="B186" s="6"/>
      <c r="C186" s="6"/>
      <c r="D186" s="6"/>
      <c r="E186" s="6"/>
      <c r="F186" s="6"/>
      <c r="G186" s="6"/>
      <c r="H186" s="6"/>
      <c r="I186" s="6"/>
      <c r="J186" s="6"/>
      <c r="K186" s="6"/>
      <c r="L186" s="6"/>
      <c r="M186" s="6"/>
      <c r="N186" s="6"/>
      <c r="O186" s="6"/>
      <c r="P186" s="6"/>
      <c r="Q186" s="6"/>
      <c r="R186" s="6"/>
      <c r="S186" s="6"/>
      <c r="T186" s="6"/>
      <c r="U186" s="6"/>
      <c r="V186" s="6"/>
    </row>
    <row r="187" spans="1:22" x14ac:dyDescent="0.3">
      <c r="A187" s="6"/>
      <c r="B187" s="6"/>
      <c r="C187" s="6"/>
      <c r="D187" s="6"/>
      <c r="E187" s="6"/>
      <c r="F187" s="6"/>
      <c r="G187" s="6"/>
      <c r="H187" s="6"/>
      <c r="I187" s="6"/>
      <c r="J187" s="6"/>
      <c r="K187" s="6"/>
      <c r="L187" s="6"/>
      <c r="M187" s="6"/>
      <c r="N187" s="6"/>
      <c r="O187" s="6"/>
      <c r="P187" s="6"/>
      <c r="Q187" s="6"/>
      <c r="R187" s="6"/>
      <c r="S187" s="6"/>
      <c r="T187" s="6"/>
      <c r="U187" s="6"/>
      <c r="V187" s="6"/>
    </row>
    <row r="188" spans="1:22" x14ac:dyDescent="0.3">
      <c r="A188" s="6"/>
      <c r="B188" s="6"/>
      <c r="C188" s="6"/>
      <c r="D188" s="6"/>
      <c r="E188" s="6"/>
      <c r="F188" s="6"/>
      <c r="G188" s="6"/>
      <c r="H188" s="6"/>
      <c r="I188" s="6"/>
      <c r="J188" s="6"/>
      <c r="K188" s="6"/>
      <c r="L188" s="6"/>
      <c r="M188" s="6"/>
      <c r="N188" s="6"/>
      <c r="O188" s="6"/>
      <c r="P188" s="6"/>
      <c r="Q188" s="6"/>
      <c r="R188" s="6"/>
      <c r="S188" s="6"/>
      <c r="T188" s="6"/>
      <c r="U188" s="6"/>
      <c r="V188" s="6"/>
    </row>
    <row r="189" spans="1:22" x14ac:dyDescent="0.3">
      <c r="A189" s="6"/>
      <c r="B189" s="6"/>
      <c r="C189" s="6"/>
      <c r="D189" s="6"/>
      <c r="E189" s="6"/>
      <c r="F189" s="6"/>
      <c r="G189" s="6"/>
      <c r="H189" s="6"/>
      <c r="I189" s="6"/>
      <c r="J189" s="6"/>
      <c r="K189" s="6"/>
      <c r="L189" s="6"/>
      <c r="M189" s="6"/>
      <c r="N189" s="6"/>
      <c r="O189" s="6"/>
      <c r="P189" s="6"/>
      <c r="Q189" s="6"/>
      <c r="R189" s="6"/>
      <c r="S189" s="6"/>
      <c r="T189" s="6"/>
      <c r="U189" s="6"/>
      <c r="V189" s="6"/>
    </row>
    <row r="190" spans="1:22" x14ac:dyDescent="0.3">
      <c r="A190" s="6"/>
      <c r="B190" s="6"/>
      <c r="C190" s="6"/>
      <c r="D190" s="6"/>
      <c r="E190" s="6"/>
      <c r="F190" s="6"/>
      <c r="G190" s="6"/>
      <c r="H190" s="6"/>
      <c r="I190" s="6"/>
      <c r="J190" s="6"/>
      <c r="K190" s="6"/>
      <c r="L190" s="6"/>
      <c r="M190" s="6"/>
      <c r="N190" s="6"/>
      <c r="O190" s="6"/>
      <c r="P190" s="6"/>
      <c r="Q190" s="6"/>
      <c r="R190" s="6"/>
      <c r="S190" s="6"/>
      <c r="T190" s="6"/>
      <c r="U190" s="6"/>
      <c r="V190" s="6"/>
    </row>
    <row r="191" spans="1:22" x14ac:dyDescent="0.3">
      <c r="A191" s="6"/>
      <c r="B191" s="6"/>
      <c r="C191" s="6"/>
      <c r="D191" s="6"/>
      <c r="E191" s="6"/>
      <c r="F191" s="6"/>
      <c r="G191" s="6"/>
      <c r="H191" s="6"/>
      <c r="I191" s="6"/>
      <c r="J191" s="6"/>
      <c r="K191" s="6"/>
      <c r="L191" s="6"/>
      <c r="M191" s="6"/>
      <c r="N191" s="6"/>
      <c r="O191" s="6"/>
      <c r="P191" s="6"/>
      <c r="Q191" s="6"/>
      <c r="R191" s="6"/>
      <c r="S191" s="6"/>
      <c r="T191" s="6"/>
      <c r="U191" s="6"/>
      <c r="V191" s="6"/>
    </row>
    <row r="192" spans="1:22" x14ac:dyDescent="0.3">
      <c r="A192" s="6"/>
      <c r="B192" s="6"/>
      <c r="C192" s="6"/>
      <c r="D192" s="6"/>
      <c r="E192" s="6"/>
      <c r="F192" s="6"/>
      <c r="G192" s="6"/>
      <c r="H192" s="6"/>
      <c r="I192" s="6"/>
      <c r="J192" s="6"/>
      <c r="K192" s="6"/>
      <c r="L192" s="6"/>
      <c r="M192" s="6"/>
      <c r="N192" s="6"/>
      <c r="O192" s="6"/>
      <c r="P192" s="6"/>
      <c r="Q192" s="6"/>
      <c r="R192" s="6"/>
      <c r="S192" s="6"/>
      <c r="T192" s="6"/>
      <c r="U192" s="6"/>
      <c r="V192" s="6"/>
    </row>
    <row r="193" spans="1:22" x14ac:dyDescent="0.3">
      <c r="A193" s="6"/>
      <c r="B193" s="6"/>
      <c r="C193" s="6"/>
      <c r="D193" s="6"/>
      <c r="E193" s="6"/>
      <c r="F193" s="6"/>
      <c r="G193" s="6"/>
      <c r="H193" s="6"/>
      <c r="I193" s="6"/>
      <c r="J193" s="6"/>
      <c r="K193" s="6"/>
      <c r="L193" s="6"/>
      <c r="M193" s="6"/>
      <c r="N193" s="6"/>
      <c r="O193" s="6"/>
      <c r="P193" s="6"/>
      <c r="Q193" s="6"/>
      <c r="R193" s="6"/>
      <c r="S193" s="6"/>
      <c r="T193" s="6"/>
      <c r="U193" s="6"/>
      <c r="V193" s="6"/>
    </row>
    <row r="194" spans="1:22" x14ac:dyDescent="0.3">
      <c r="A194" s="6"/>
      <c r="B194" s="6"/>
      <c r="C194" s="6"/>
      <c r="D194" s="6"/>
      <c r="E194" s="6"/>
      <c r="F194" s="6"/>
      <c r="G194" s="6"/>
      <c r="H194" s="6"/>
      <c r="I194" s="6"/>
      <c r="J194" s="6"/>
      <c r="K194" s="6"/>
      <c r="L194" s="6"/>
      <c r="M194" s="6"/>
      <c r="N194" s="6"/>
      <c r="O194" s="6"/>
      <c r="P194" s="6"/>
      <c r="Q194" s="6"/>
      <c r="R194" s="6"/>
      <c r="S194" s="6"/>
      <c r="T194" s="6"/>
      <c r="U194" s="6"/>
      <c r="V194" s="6"/>
    </row>
    <row r="195" spans="1:22" x14ac:dyDescent="0.3">
      <c r="A195" s="6"/>
      <c r="B195" s="6"/>
      <c r="C195" s="6"/>
      <c r="D195" s="6"/>
      <c r="E195" s="6"/>
      <c r="F195" s="6"/>
      <c r="G195" s="6"/>
      <c r="H195" s="6"/>
      <c r="I195" s="6"/>
      <c r="J195" s="6"/>
      <c r="K195" s="6"/>
      <c r="L195" s="6"/>
      <c r="M195" s="6"/>
      <c r="N195" s="6"/>
      <c r="O195" s="6"/>
      <c r="P195" s="6"/>
      <c r="Q195" s="6"/>
      <c r="R195" s="6"/>
      <c r="S195" s="6"/>
      <c r="T195" s="6"/>
      <c r="U195" s="6"/>
      <c r="V195" s="6"/>
    </row>
    <row r="196" spans="1:22" x14ac:dyDescent="0.3">
      <c r="A196" s="6"/>
      <c r="B196" s="6"/>
      <c r="C196" s="6"/>
      <c r="D196" s="6"/>
      <c r="E196" s="6"/>
      <c r="F196" s="6"/>
      <c r="G196" s="6"/>
      <c r="H196" s="6"/>
      <c r="I196" s="6"/>
      <c r="J196" s="6"/>
      <c r="K196" s="6"/>
      <c r="L196" s="6"/>
      <c r="M196" s="6"/>
      <c r="N196" s="6"/>
      <c r="O196" s="6"/>
      <c r="P196" s="6"/>
      <c r="Q196" s="6"/>
      <c r="R196" s="6"/>
      <c r="S196" s="6"/>
      <c r="T196" s="6"/>
      <c r="U196" s="6"/>
      <c r="V196" s="6"/>
    </row>
    <row r="197" spans="1:22" x14ac:dyDescent="0.3">
      <c r="A197" s="6"/>
      <c r="B197" s="6"/>
      <c r="C197" s="6"/>
      <c r="D197" s="6"/>
      <c r="E197" s="6"/>
      <c r="F197" s="6"/>
      <c r="G197" s="6"/>
      <c r="H197" s="6"/>
      <c r="I197" s="6"/>
      <c r="J197" s="6"/>
      <c r="K197" s="6"/>
      <c r="L197" s="6"/>
      <c r="M197" s="6"/>
      <c r="N197" s="6"/>
      <c r="O197" s="6"/>
      <c r="P197" s="6"/>
      <c r="Q197" s="6"/>
      <c r="R197" s="6"/>
      <c r="S197" s="6"/>
      <c r="T197" s="6"/>
      <c r="U197" s="6"/>
      <c r="V197" s="6"/>
    </row>
    <row r="198" spans="1:22" x14ac:dyDescent="0.3">
      <c r="A198" s="6"/>
      <c r="B198" s="6"/>
      <c r="C198" s="6"/>
      <c r="D198" s="6"/>
      <c r="E198" s="6"/>
      <c r="F198" s="6"/>
      <c r="G198" s="6"/>
      <c r="H198" s="6"/>
      <c r="I198" s="6"/>
      <c r="J198" s="6"/>
      <c r="K198" s="6"/>
      <c r="L198" s="6"/>
      <c r="M198" s="6"/>
      <c r="N198" s="6"/>
      <c r="O198" s="6"/>
      <c r="P198" s="6"/>
      <c r="Q198" s="6"/>
      <c r="R198" s="6"/>
      <c r="S198" s="6"/>
      <c r="T198" s="6"/>
      <c r="U198" s="6"/>
      <c r="V198" s="6"/>
    </row>
    <row r="199" spans="1:22" x14ac:dyDescent="0.3">
      <c r="A199" s="6"/>
      <c r="B199" s="6"/>
      <c r="C199" s="6"/>
      <c r="D199" s="6"/>
      <c r="E199" s="6"/>
      <c r="F199" s="6"/>
      <c r="G199" s="6"/>
      <c r="H199" s="6"/>
      <c r="I199" s="6"/>
      <c r="J199" s="6"/>
      <c r="K199" s="6"/>
      <c r="L199" s="6"/>
      <c r="M199" s="6"/>
      <c r="N199" s="6"/>
      <c r="O199" s="6"/>
      <c r="P199" s="6"/>
      <c r="Q199" s="6"/>
      <c r="R199" s="6"/>
      <c r="S199" s="6"/>
      <c r="T199" s="6"/>
      <c r="U199" s="6"/>
      <c r="V199" s="6"/>
    </row>
    <row r="200" spans="1:22" x14ac:dyDescent="0.3">
      <c r="A200" s="6"/>
      <c r="B200" s="6"/>
      <c r="C200" s="6"/>
      <c r="D200" s="6"/>
      <c r="E200" s="6"/>
      <c r="F200" s="6"/>
      <c r="G200" s="6"/>
      <c r="H200" s="6"/>
      <c r="I200" s="6"/>
      <c r="J200" s="6"/>
      <c r="K200" s="6"/>
      <c r="L200" s="6"/>
      <c r="M200" s="6"/>
      <c r="N200" s="6"/>
      <c r="O200" s="6"/>
      <c r="P200" s="6"/>
      <c r="Q200" s="6"/>
      <c r="R200" s="6"/>
      <c r="S200" s="6"/>
      <c r="T200" s="6"/>
      <c r="U200" s="6"/>
      <c r="V200" s="6"/>
    </row>
    <row r="201" spans="1:22" x14ac:dyDescent="0.3">
      <c r="A201" s="6"/>
      <c r="B201" s="6"/>
      <c r="C201" s="6"/>
      <c r="D201" s="6"/>
      <c r="E201" s="6"/>
      <c r="F201" s="6"/>
      <c r="G201" s="6"/>
      <c r="H201" s="6"/>
      <c r="I201" s="6"/>
      <c r="J201" s="6"/>
      <c r="K201" s="6"/>
      <c r="L201" s="6"/>
      <c r="M201" s="6"/>
      <c r="N201" s="6"/>
      <c r="O201" s="6"/>
      <c r="P201" s="6"/>
      <c r="Q201" s="6"/>
      <c r="R201" s="6"/>
      <c r="S201" s="6"/>
      <c r="T201" s="6"/>
      <c r="U201" s="6"/>
      <c r="V201" s="6"/>
    </row>
    <row r="202" spans="1:22" x14ac:dyDescent="0.3">
      <c r="A202" s="6"/>
      <c r="B202" s="6"/>
      <c r="C202" s="6"/>
      <c r="D202" s="6"/>
      <c r="E202" s="6"/>
      <c r="F202" s="6"/>
      <c r="G202" s="6"/>
      <c r="H202" s="6"/>
      <c r="I202" s="6"/>
      <c r="J202" s="6"/>
      <c r="K202" s="6"/>
      <c r="L202" s="6"/>
      <c r="M202" s="6"/>
      <c r="N202" s="6"/>
      <c r="O202" s="6"/>
      <c r="P202" s="6"/>
      <c r="Q202" s="6"/>
      <c r="R202" s="6"/>
      <c r="S202" s="6"/>
      <c r="T202" s="6"/>
      <c r="U202" s="6"/>
      <c r="V202" s="6"/>
    </row>
    <row r="203" spans="1:22" x14ac:dyDescent="0.3">
      <c r="A203" s="6"/>
      <c r="B203" s="6"/>
      <c r="C203" s="6"/>
      <c r="D203" s="6"/>
      <c r="E203" s="6"/>
      <c r="F203" s="6"/>
      <c r="G203" s="6"/>
      <c r="H203" s="6"/>
      <c r="I203" s="6"/>
      <c r="J203" s="6"/>
      <c r="K203" s="6"/>
      <c r="L203" s="6"/>
      <c r="M203" s="6"/>
      <c r="N203" s="6"/>
      <c r="O203" s="6"/>
      <c r="P203" s="6"/>
      <c r="Q203" s="6"/>
      <c r="R203" s="6"/>
      <c r="S203" s="6"/>
      <c r="T203" s="6"/>
      <c r="U203" s="6"/>
      <c r="V203" s="6"/>
    </row>
    <row r="204" spans="1:22" x14ac:dyDescent="0.3">
      <c r="A204" s="6"/>
      <c r="B204" s="6"/>
      <c r="C204" s="6"/>
      <c r="D204" s="6"/>
      <c r="E204" s="6"/>
      <c r="F204" s="6"/>
      <c r="G204" s="6"/>
      <c r="H204" s="6"/>
      <c r="I204" s="6"/>
      <c r="J204" s="6"/>
      <c r="K204" s="6"/>
      <c r="L204" s="6"/>
      <c r="M204" s="6"/>
      <c r="N204" s="6"/>
      <c r="O204" s="6"/>
      <c r="P204" s="6"/>
      <c r="Q204" s="6"/>
      <c r="R204" s="6"/>
      <c r="S204" s="6"/>
      <c r="T204" s="6"/>
      <c r="U204" s="6"/>
      <c r="V204" s="6"/>
    </row>
    <row r="205" spans="1:22" x14ac:dyDescent="0.3">
      <c r="A205" s="6"/>
      <c r="B205" s="6"/>
      <c r="C205" s="6"/>
      <c r="D205" s="6"/>
      <c r="E205" s="6"/>
      <c r="F205" s="6"/>
      <c r="G205" s="6"/>
      <c r="H205" s="6"/>
      <c r="I205" s="6"/>
      <c r="J205" s="6"/>
      <c r="K205" s="6"/>
      <c r="L205" s="6"/>
      <c r="M205" s="6"/>
      <c r="N205" s="6"/>
      <c r="O205" s="6"/>
      <c r="P205" s="6"/>
      <c r="Q205" s="6"/>
      <c r="R205" s="6"/>
      <c r="S205" s="6"/>
      <c r="T205" s="6"/>
      <c r="U205" s="6"/>
      <c r="V205" s="6"/>
    </row>
    <row r="206" spans="1:22" x14ac:dyDescent="0.3">
      <c r="A206" s="6"/>
      <c r="B206" s="6"/>
      <c r="C206" s="6"/>
      <c r="D206" s="6"/>
      <c r="E206" s="6"/>
      <c r="F206" s="6"/>
      <c r="G206" s="6"/>
      <c r="H206" s="6"/>
      <c r="I206" s="6"/>
      <c r="J206" s="6"/>
      <c r="K206" s="6"/>
      <c r="L206" s="6"/>
      <c r="M206" s="6"/>
      <c r="N206" s="6"/>
      <c r="O206" s="6"/>
      <c r="P206" s="6"/>
      <c r="Q206" s="6"/>
      <c r="R206" s="6"/>
      <c r="S206" s="6"/>
      <c r="T206" s="6"/>
      <c r="U206" s="6"/>
      <c r="V206" s="6"/>
    </row>
    <row r="207" spans="1:22" x14ac:dyDescent="0.3">
      <c r="A207" s="6"/>
      <c r="B207" s="6"/>
      <c r="C207" s="6"/>
      <c r="D207" s="6"/>
      <c r="E207" s="6"/>
      <c r="F207" s="6"/>
      <c r="G207" s="6"/>
      <c r="H207" s="6"/>
      <c r="I207" s="6"/>
      <c r="J207" s="6"/>
      <c r="K207" s="6"/>
      <c r="L207" s="6"/>
      <c r="M207" s="6"/>
      <c r="N207" s="6"/>
      <c r="O207" s="6"/>
      <c r="P207" s="6"/>
      <c r="Q207" s="6"/>
      <c r="R207" s="6"/>
      <c r="S207" s="6"/>
      <c r="T207" s="6"/>
      <c r="U207" s="6"/>
      <c r="V207" s="6"/>
    </row>
    <row r="208" spans="1:22" x14ac:dyDescent="0.3">
      <c r="A208" s="6"/>
      <c r="B208" s="6"/>
      <c r="C208" s="6"/>
      <c r="D208" s="6"/>
      <c r="E208" s="6"/>
      <c r="F208" s="6"/>
      <c r="G208" s="6"/>
      <c r="H208" s="6"/>
      <c r="I208" s="6"/>
      <c r="J208" s="6"/>
      <c r="K208" s="6"/>
      <c r="L208" s="6"/>
      <c r="M208" s="6"/>
      <c r="N208" s="6"/>
      <c r="O208" s="6"/>
      <c r="P208" s="6"/>
      <c r="Q208" s="6"/>
      <c r="R208" s="6"/>
      <c r="S208" s="6"/>
      <c r="T208" s="6"/>
      <c r="U208" s="6"/>
      <c r="V208" s="6"/>
    </row>
    <row r="209" spans="1:22" x14ac:dyDescent="0.3">
      <c r="A209" s="6"/>
      <c r="B209" s="6"/>
      <c r="C209" s="6"/>
      <c r="D209" s="6"/>
      <c r="E209" s="6"/>
      <c r="F209" s="6"/>
      <c r="G209" s="6"/>
      <c r="H209" s="6"/>
      <c r="I209" s="6"/>
      <c r="J209" s="6"/>
      <c r="K209" s="6"/>
      <c r="L209" s="6"/>
      <c r="M209" s="6"/>
      <c r="N209" s="6"/>
      <c r="O209" s="6"/>
      <c r="P209" s="6"/>
      <c r="Q209" s="6"/>
      <c r="R209" s="6"/>
      <c r="S209" s="6"/>
      <c r="T209" s="6"/>
      <c r="U209" s="6"/>
      <c r="V209" s="6"/>
    </row>
    <row r="210" spans="1:22" x14ac:dyDescent="0.3">
      <c r="A210" s="6"/>
      <c r="B210" s="6"/>
      <c r="C210" s="6"/>
      <c r="D210" s="6"/>
      <c r="E210" s="6"/>
      <c r="F210" s="6"/>
      <c r="G210" s="6"/>
      <c r="H210" s="6"/>
      <c r="I210" s="6"/>
      <c r="J210" s="6"/>
      <c r="K210" s="6"/>
      <c r="L210" s="6"/>
      <c r="M210" s="6"/>
      <c r="N210" s="6"/>
      <c r="O210" s="6"/>
      <c r="P210" s="6"/>
      <c r="Q210" s="6"/>
      <c r="R210" s="6"/>
      <c r="S210" s="6"/>
      <c r="T210" s="6"/>
      <c r="U210" s="6"/>
      <c r="V210" s="6"/>
    </row>
    <row r="211" spans="1:22" x14ac:dyDescent="0.3">
      <c r="A211" s="6"/>
      <c r="B211" s="6"/>
      <c r="C211" s="6"/>
      <c r="D211" s="6"/>
      <c r="E211" s="6"/>
      <c r="F211" s="6"/>
      <c r="G211" s="6"/>
      <c r="H211" s="6"/>
      <c r="I211" s="6"/>
      <c r="J211" s="6"/>
      <c r="K211" s="6"/>
      <c r="L211" s="6"/>
      <c r="M211" s="6"/>
      <c r="N211" s="6"/>
      <c r="O211" s="6"/>
      <c r="P211" s="6"/>
      <c r="Q211" s="6"/>
      <c r="R211" s="6"/>
      <c r="S211" s="6"/>
      <c r="T211" s="6"/>
      <c r="U211" s="6"/>
      <c r="V211" s="6"/>
    </row>
    <row r="212" spans="1:22" x14ac:dyDescent="0.3">
      <c r="A212" s="6"/>
      <c r="B212" s="6"/>
      <c r="C212" s="6"/>
      <c r="D212" s="6"/>
      <c r="E212" s="6"/>
      <c r="F212" s="6"/>
      <c r="G212" s="6"/>
      <c r="H212" s="6"/>
      <c r="I212" s="6"/>
      <c r="J212" s="6"/>
      <c r="K212" s="6"/>
      <c r="L212" s="6"/>
      <c r="M212" s="6"/>
      <c r="N212" s="6"/>
      <c r="O212" s="6"/>
      <c r="P212" s="6"/>
      <c r="Q212" s="6"/>
      <c r="R212" s="6"/>
      <c r="S212" s="6"/>
      <c r="T212" s="6"/>
      <c r="U212" s="6"/>
      <c r="V212" s="6"/>
    </row>
    <row r="213" spans="1:22" x14ac:dyDescent="0.3">
      <c r="A213" s="6"/>
      <c r="B213" s="6"/>
      <c r="C213" s="6"/>
      <c r="D213" s="6"/>
      <c r="E213" s="6"/>
      <c r="F213" s="6"/>
      <c r="G213" s="6"/>
      <c r="H213" s="6"/>
      <c r="I213" s="6"/>
      <c r="J213" s="6"/>
      <c r="K213" s="6"/>
      <c r="L213" s="6"/>
      <c r="M213" s="6"/>
      <c r="N213" s="6"/>
      <c r="O213" s="6"/>
      <c r="P213" s="6"/>
      <c r="Q213" s="6"/>
      <c r="R213" s="6"/>
      <c r="S213" s="6"/>
      <c r="T213" s="6"/>
      <c r="U213" s="6"/>
      <c r="V213" s="6"/>
    </row>
    <row r="214" spans="1:22" x14ac:dyDescent="0.3">
      <c r="A214" s="6"/>
      <c r="B214" s="6"/>
      <c r="C214" s="6"/>
      <c r="D214" s="6"/>
      <c r="E214" s="6"/>
      <c r="F214" s="6"/>
      <c r="G214" s="6"/>
      <c r="H214" s="6"/>
      <c r="I214" s="6"/>
      <c r="J214" s="6"/>
      <c r="K214" s="6"/>
      <c r="L214" s="6"/>
      <c r="M214" s="6"/>
      <c r="N214" s="6"/>
      <c r="O214" s="6"/>
      <c r="P214" s="6"/>
      <c r="Q214" s="6"/>
      <c r="R214" s="6"/>
      <c r="S214" s="6"/>
      <c r="T214" s="6"/>
      <c r="U214" s="6"/>
      <c r="V214" s="6"/>
    </row>
    <row r="215" spans="1:22" x14ac:dyDescent="0.3">
      <c r="A215" s="6"/>
      <c r="B215" s="6"/>
      <c r="C215" s="6"/>
      <c r="D215" s="6"/>
      <c r="E215" s="6"/>
      <c r="F215" s="6"/>
      <c r="G215" s="6"/>
      <c r="H215" s="6"/>
      <c r="I215" s="6"/>
      <c r="J215" s="6"/>
      <c r="K215" s="6"/>
      <c r="L215" s="6"/>
      <c r="M215" s="6"/>
      <c r="N215" s="6"/>
      <c r="O215" s="6"/>
      <c r="P215" s="6"/>
      <c r="Q215" s="6"/>
      <c r="R215" s="6"/>
      <c r="S215" s="6"/>
      <c r="T215" s="6"/>
      <c r="U215" s="6"/>
      <c r="V215" s="6"/>
    </row>
    <row r="216" spans="1:22" x14ac:dyDescent="0.3">
      <c r="A216" s="6"/>
      <c r="B216" s="6"/>
      <c r="C216" s="6"/>
      <c r="D216" s="6"/>
      <c r="E216" s="6"/>
      <c r="F216" s="6"/>
      <c r="G216" s="6"/>
      <c r="H216" s="6"/>
      <c r="I216" s="6"/>
      <c r="J216" s="6"/>
      <c r="K216" s="6"/>
      <c r="L216" s="6"/>
      <c r="M216" s="6"/>
      <c r="N216" s="6"/>
      <c r="O216" s="6"/>
      <c r="P216" s="6"/>
      <c r="Q216" s="6"/>
      <c r="R216" s="6"/>
      <c r="S216" s="6"/>
      <c r="T216" s="6"/>
      <c r="U216" s="6"/>
      <c r="V216" s="6"/>
    </row>
    <row r="217" spans="1:22" x14ac:dyDescent="0.3">
      <c r="A217" s="6"/>
      <c r="B217" s="6"/>
      <c r="C217" s="6"/>
      <c r="D217" s="6"/>
      <c r="E217" s="6"/>
      <c r="F217" s="6"/>
      <c r="G217" s="6"/>
      <c r="H217" s="6"/>
      <c r="I217" s="6"/>
      <c r="J217" s="6"/>
      <c r="K217" s="6"/>
      <c r="L217" s="6"/>
      <c r="M217" s="6"/>
      <c r="N217" s="6"/>
      <c r="O217" s="6"/>
      <c r="P217" s="6"/>
      <c r="Q217" s="6"/>
      <c r="R217" s="6"/>
      <c r="S217" s="6"/>
      <c r="T217" s="6"/>
      <c r="U217" s="6"/>
      <c r="V217" s="6"/>
    </row>
    <row r="218" spans="1:22" x14ac:dyDescent="0.3">
      <c r="A218" s="6"/>
      <c r="B218" s="6"/>
      <c r="C218" s="6"/>
      <c r="D218" s="6"/>
      <c r="E218" s="6"/>
      <c r="F218" s="6"/>
      <c r="G218" s="6"/>
      <c r="H218" s="6"/>
      <c r="I218" s="6"/>
      <c r="J218" s="6"/>
      <c r="K218" s="6"/>
      <c r="L218" s="6"/>
      <c r="M218" s="6"/>
      <c r="N218" s="6"/>
      <c r="O218" s="6"/>
      <c r="P218" s="6"/>
      <c r="Q218" s="6"/>
      <c r="R218" s="6"/>
      <c r="S218" s="6"/>
      <c r="T218" s="6"/>
      <c r="U218" s="6"/>
      <c r="V218" s="6"/>
    </row>
    <row r="219" spans="1:22" x14ac:dyDescent="0.3">
      <c r="A219" s="6"/>
      <c r="B219" s="6"/>
      <c r="C219" s="6"/>
      <c r="D219" s="6"/>
      <c r="E219" s="6"/>
      <c r="F219" s="6"/>
      <c r="G219" s="6"/>
      <c r="H219" s="6"/>
      <c r="I219" s="6"/>
      <c r="J219" s="6"/>
      <c r="K219" s="6"/>
      <c r="L219" s="6"/>
      <c r="M219" s="6"/>
      <c r="N219" s="6"/>
      <c r="O219" s="6"/>
      <c r="P219" s="6"/>
      <c r="Q219" s="6"/>
      <c r="R219" s="6"/>
      <c r="S219" s="6"/>
      <c r="T219" s="6"/>
      <c r="U219" s="6"/>
      <c r="V219" s="6"/>
    </row>
    <row r="220" spans="1:22" x14ac:dyDescent="0.3">
      <c r="A220" s="6"/>
      <c r="B220" s="6"/>
      <c r="C220" s="6"/>
      <c r="D220" s="6"/>
      <c r="E220" s="6"/>
      <c r="F220" s="6"/>
      <c r="G220" s="6"/>
      <c r="H220" s="6"/>
      <c r="I220" s="6"/>
      <c r="J220" s="6"/>
      <c r="K220" s="6"/>
      <c r="L220" s="6"/>
      <c r="M220" s="6"/>
      <c r="N220" s="6"/>
      <c r="O220" s="6"/>
      <c r="P220" s="6"/>
      <c r="Q220" s="6"/>
      <c r="R220" s="6"/>
      <c r="S220" s="6"/>
      <c r="T220" s="6"/>
      <c r="U220" s="6"/>
      <c r="V220" s="6"/>
    </row>
    <row r="221" spans="1:22" x14ac:dyDescent="0.3">
      <c r="A221" s="6"/>
      <c r="B221" s="6"/>
      <c r="C221" s="6"/>
      <c r="D221" s="6"/>
      <c r="E221" s="6"/>
      <c r="F221" s="6"/>
      <c r="G221" s="6"/>
      <c r="H221" s="6"/>
      <c r="I221" s="6"/>
      <c r="J221" s="6"/>
      <c r="K221" s="6"/>
      <c r="L221" s="6"/>
      <c r="M221" s="6"/>
      <c r="N221" s="6"/>
      <c r="O221" s="6"/>
      <c r="P221" s="6"/>
      <c r="Q221" s="6"/>
      <c r="R221" s="6"/>
      <c r="S221" s="6"/>
      <c r="T221" s="6"/>
      <c r="U221" s="6"/>
      <c r="V221" s="6"/>
    </row>
    <row r="222" spans="1:22" x14ac:dyDescent="0.3">
      <c r="A222" s="6"/>
      <c r="B222" s="6"/>
      <c r="C222" s="6"/>
      <c r="D222" s="6"/>
      <c r="E222" s="6"/>
      <c r="F222" s="6"/>
      <c r="G222" s="6"/>
      <c r="H222" s="6"/>
      <c r="I222" s="6"/>
      <c r="J222" s="6"/>
      <c r="K222" s="6"/>
      <c r="L222" s="6"/>
      <c r="M222" s="6"/>
      <c r="N222" s="6"/>
      <c r="O222" s="6"/>
      <c r="P222" s="6"/>
      <c r="Q222" s="6"/>
      <c r="R222" s="6"/>
      <c r="S222" s="6"/>
      <c r="T222" s="6"/>
      <c r="U222" s="6"/>
      <c r="V222" s="6"/>
    </row>
    <row r="223" spans="1:22" x14ac:dyDescent="0.3">
      <c r="A223" s="6"/>
      <c r="B223" s="6"/>
      <c r="C223" s="6"/>
      <c r="D223" s="6"/>
      <c r="E223" s="6"/>
      <c r="F223" s="6"/>
      <c r="G223" s="6"/>
      <c r="H223" s="6"/>
      <c r="I223" s="6"/>
      <c r="J223" s="6"/>
      <c r="K223" s="6"/>
      <c r="L223" s="6"/>
      <c r="M223" s="6"/>
      <c r="N223" s="6"/>
      <c r="O223" s="6"/>
      <c r="P223" s="6"/>
      <c r="Q223" s="6"/>
      <c r="R223" s="6"/>
      <c r="S223" s="6"/>
      <c r="T223" s="6"/>
      <c r="U223" s="6"/>
      <c r="V223" s="6"/>
    </row>
    <row r="224" spans="1:22" x14ac:dyDescent="0.3">
      <c r="A224" s="6"/>
      <c r="B224" s="6"/>
      <c r="C224" s="6"/>
      <c r="D224" s="6"/>
      <c r="E224" s="6"/>
      <c r="F224" s="6"/>
      <c r="G224" s="6"/>
      <c r="H224" s="6"/>
      <c r="I224" s="6"/>
      <c r="J224" s="6"/>
      <c r="K224" s="6"/>
      <c r="L224" s="6"/>
      <c r="M224" s="6"/>
      <c r="N224" s="6"/>
      <c r="O224" s="6"/>
      <c r="P224" s="6"/>
      <c r="Q224" s="6"/>
      <c r="R224" s="6"/>
      <c r="S224" s="6"/>
      <c r="T224" s="6"/>
      <c r="U224" s="6"/>
      <c r="V224" s="6"/>
    </row>
    <row r="225" spans="1:22" x14ac:dyDescent="0.3">
      <c r="A225" s="6"/>
      <c r="B225" s="6"/>
      <c r="C225" s="6"/>
      <c r="D225" s="6"/>
      <c r="E225" s="6"/>
      <c r="F225" s="6"/>
      <c r="G225" s="6"/>
      <c r="H225" s="6"/>
      <c r="I225" s="6"/>
      <c r="J225" s="6"/>
      <c r="K225" s="6"/>
      <c r="L225" s="6"/>
      <c r="M225" s="6"/>
      <c r="N225" s="6"/>
      <c r="O225" s="6"/>
      <c r="P225" s="6"/>
      <c r="Q225" s="6"/>
      <c r="R225" s="6"/>
      <c r="S225" s="6"/>
      <c r="T225" s="6"/>
      <c r="U225" s="6"/>
      <c r="V225" s="6"/>
    </row>
    <row r="226" spans="1:22" x14ac:dyDescent="0.3">
      <c r="A226" s="6"/>
      <c r="B226" s="6"/>
      <c r="C226" s="6"/>
      <c r="D226" s="6"/>
      <c r="E226" s="6"/>
      <c r="F226" s="6"/>
      <c r="G226" s="6"/>
      <c r="H226" s="6"/>
      <c r="I226" s="6"/>
      <c r="J226" s="6"/>
      <c r="K226" s="6"/>
      <c r="L226" s="6"/>
      <c r="M226" s="6"/>
      <c r="N226" s="6"/>
      <c r="O226" s="6"/>
      <c r="P226" s="6"/>
      <c r="Q226" s="6"/>
      <c r="R226" s="6"/>
      <c r="S226" s="6"/>
      <c r="T226" s="6"/>
      <c r="U226" s="6"/>
      <c r="V226" s="6"/>
    </row>
    <row r="227" spans="1:22" x14ac:dyDescent="0.3">
      <c r="A227" s="6"/>
      <c r="B227" s="6"/>
      <c r="C227" s="6"/>
      <c r="D227" s="6"/>
      <c r="E227" s="6"/>
      <c r="F227" s="6"/>
      <c r="G227" s="6"/>
      <c r="H227" s="6"/>
      <c r="I227" s="6"/>
      <c r="J227" s="6"/>
      <c r="K227" s="6"/>
      <c r="L227" s="6"/>
      <c r="M227" s="6"/>
      <c r="N227" s="6"/>
      <c r="O227" s="6"/>
      <c r="P227" s="6"/>
      <c r="Q227" s="6"/>
      <c r="R227" s="6"/>
      <c r="S227" s="6"/>
      <c r="T227" s="6"/>
      <c r="U227" s="6"/>
      <c r="V227" s="6"/>
    </row>
    <row r="228" spans="1:22" x14ac:dyDescent="0.3">
      <c r="A228" s="6"/>
      <c r="B228" s="6"/>
      <c r="C228" s="6"/>
      <c r="D228" s="6"/>
      <c r="E228" s="6"/>
      <c r="F228" s="6"/>
      <c r="G228" s="6"/>
      <c r="H228" s="6"/>
      <c r="I228" s="6"/>
      <c r="J228" s="6"/>
      <c r="K228" s="6"/>
      <c r="L228" s="6"/>
      <c r="M228" s="6"/>
      <c r="N228" s="6"/>
      <c r="O228" s="6"/>
      <c r="P228" s="6"/>
      <c r="Q228" s="6"/>
      <c r="R228" s="6"/>
      <c r="S228" s="6"/>
      <c r="T228" s="6"/>
      <c r="U228" s="6"/>
      <c r="V228" s="6"/>
    </row>
    <row r="229" spans="1:22" x14ac:dyDescent="0.3">
      <c r="A229" s="6"/>
      <c r="B229" s="6"/>
      <c r="C229" s="6"/>
      <c r="D229" s="6"/>
      <c r="E229" s="6"/>
      <c r="F229" s="6"/>
      <c r="G229" s="6"/>
      <c r="H229" s="6"/>
      <c r="I229" s="6"/>
      <c r="J229" s="6"/>
      <c r="K229" s="6"/>
      <c r="L229" s="6"/>
      <c r="M229" s="6"/>
      <c r="N229" s="6"/>
      <c r="O229" s="6"/>
      <c r="P229" s="6"/>
      <c r="Q229" s="6"/>
      <c r="R229" s="6"/>
      <c r="S229" s="6"/>
      <c r="T229" s="6"/>
      <c r="U229" s="6"/>
      <c r="V229" s="6"/>
    </row>
    <row r="230" spans="1:22" x14ac:dyDescent="0.3">
      <c r="A230" s="6"/>
      <c r="B230" s="6"/>
      <c r="C230" s="6"/>
      <c r="D230" s="6"/>
      <c r="E230" s="6"/>
      <c r="F230" s="6"/>
      <c r="G230" s="6"/>
      <c r="H230" s="6"/>
      <c r="I230" s="6"/>
      <c r="J230" s="6"/>
      <c r="K230" s="6"/>
      <c r="L230" s="6"/>
      <c r="M230" s="6"/>
      <c r="N230" s="6"/>
      <c r="O230" s="6"/>
      <c r="P230" s="6"/>
      <c r="Q230" s="6"/>
      <c r="R230" s="6"/>
      <c r="S230" s="6"/>
      <c r="T230" s="6"/>
      <c r="U230" s="6"/>
      <c r="V230" s="6"/>
    </row>
    <row r="231" spans="1:22" x14ac:dyDescent="0.3">
      <c r="A231" s="6"/>
      <c r="B231" s="6"/>
      <c r="C231" s="6"/>
      <c r="D231" s="6"/>
      <c r="E231" s="6"/>
      <c r="F231" s="6"/>
      <c r="G231" s="6"/>
      <c r="H231" s="6"/>
      <c r="I231" s="6"/>
      <c r="J231" s="6"/>
      <c r="K231" s="6"/>
      <c r="L231" s="6"/>
      <c r="M231" s="6"/>
      <c r="N231" s="6"/>
      <c r="O231" s="6"/>
      <c r="P231" s="6"/>
      <c r="Q231" s="6"/>
      <c r="R231" s="6"/>
      <c r="S231" s="6"/>
      <c r="T231" s="6"/>
      <c r="U231" s="6"/>
      <c r="V231" s="6"/>
    </row>
    <row r="232" spans="1:22" x14ac:dyDescent="0.3">
      <c r="A232" s="6"/>
      <c r="B232" s="6"/>
      <c r="C232" s="6"/>
      <c r="D232" s="6"/>
      <c r="E232" s="6"/>
      <c r="F232" s="6"/>
      <c r="G232" s="6"/>
      <c r="H232" s="6"/>
      <c r="I232" s="6"/>
      <c r="J232" s="6"/>
      <c r="K232" s="6"/>
      <c r="L232" s="6"/>
      <c r="M232" s="6"/>
      <c r="N232" s="6"/>
      <c r="O232" s="6"/>
      <c r="P232" s="6"/>
      <c r="Q232" s="6"/>
      <c r="R232" s="6"/>
      <c r="S232" s="6"/>
      <c r="T232" s="6"/>
      <c r="U232" s="6"/>
      <c r="V232" s="6"/>
    </row>
    <row r="233" spans="1:22" x14ac:dyDescent="0.3">
      <c r="A233" s="6"/>
      <c r="B233" s="6"/>
      <c r="C233" s="6"/>
      <c r="D233" s="6"/>
      <c r="E233" s="6"/>
      <c r="F233" s="6"/>
      <c r="G233" s="6"/>
      <c r="H233" s="6"/>
      <c r="I233" s="6"/>
      <c r="J233" s="6"/>
      <c r="K233" s="6"/>
      <c r="L233" s="6"/>
      <c r="M233" s="6"/>
      <c r="N233" s="6"/>
      <c r="O233" s="6"/>
      <c r="P233" s="6"/>
      <c r="Q233" s="6"/>
      <c r="R233" s="6"/>
      <c r="S233" s="6"/>
      <c r="T233" s="6"/>
      <c r="U233" s="6"/>
      <c r="V233" s="6"/>
    </row>
    <row r="234" spans="1:22" x14ac:dyDescent="0.3">
      <c r="A234" s="6"/>
      <c r="B234" s="6"/>
      <c r="C234" s="6"/>
      <c r="D234" s="6"/>
      <c r="E234" s="6"/>
      <c r="F234" s="6"/>
      <c r="G234" s="6"/>
      <c r="H234" s="6"/>
      <c r="I234" s="6"/>
      <c r="J234" s="6"/>
      <c r="K234" s="6"/>
      <c r="L234" s="6"/>
      <c r="M234" s="6"/>
      <c r="N234" s="6"/>
      <c r="O234" s="6"/>
      <c r="P234" s="6"/>
      <c r="Q234" s="6"/>
      <c r="R234" s="6"/>
      <c r="S234" s="6"/>
      <c r="T234" s="6"/>
      <c r="U234" s="6"/>
      <c r="V234" s="6"/>
    </row>
    <row r="235" spans="1:22" x14ac:dyDescent="0.3">
      <c r="A235" s="6"/>
      <c r="B235" s="6"/>
      <c r="C235" s="6"/>
      <c r="D235" s="6"/>
      <c r="E235" s="6"/>
      <c r="F235" s="6"/>
      <c r="G235" s="6"/>
      <c r="H235" s="6"/>
      <c r="I235" s="6"/>
      <c r="J235" s="6"/>
      <c r="K235" s="6"/>
      <c r="L235" s="6"/>
      <c r="M235" s="6"/>
      <c r="N235" s="6"/>
      <c r="O235" s="6"/>
      <c r="P235" s="6"/>
      <c r="Q235" s="6"/>
      <c r="R235" s="6"/>
      <c r="S235" s="6"/>
      <c r="T235" s="6"/>
      <c r="U235" s="6"/>
      <c r="V235" s="6"/>
    </row>
    <row r="236" spans="1:22" x14ac:dyDescent="0.3">
      <c r="A236" s="6"/>
      <c r="B236" s="6"/>
      <c r="C236" s="6"/>
      <c r="D236" s="6"/>
      <c r="E236" s="6"/>
      <c r="F236" s="6"/>
      <c r="G236" s="6"/>
      <c r="H236" s="6"/>
      <c r="I236" s="6"/>
      <c r="J236" s="6"/>
      <c r="K236" s="6"/>
      <c r="L236" s="6"/>
      <c r="M236" s="6"/>
      <c r="N236" s="6"/>
      <c r="O236" s="6"/>
      <c r="P236" s="6"/>
      <c r="Q236" s="6"/>
      <c r="R236" s="6"/>
      <c r="S236" s="6"/>
      <c r="T236" s="6"/>
      <c r="U236" s="6"/>
      <c r="V236" s="6"/>
    </row>
    <row r="237" spans="1:22" x14ac:dyDescent="0.3">
      <c r="A237" s="6"/>
      <c r="B237" s="6"/>
      <c r="C237" s="6"/>
      <c r="D237" s="6"/>
      <c r="E237" s="6"/>
      <c r="F237" s="6"/>
      <c r="G237" s="6"/>
      <c r="H237" s="6"/>
      <c r="I237" s="6"/>
      <c r="J237" s="6"/>
      <c r="K237" s="6"/>
      <c r="L237" s="6"/>
      <c r="M237" s="6"/>
      <c r="N237" s="6"/>
      <c r="O237" s="6"/>
      <c r="P237" s="6"/>
      <c r="Q237" s="6"/>
      <c r="R237" s="6"/>
      <c r="S237" s="6"/>
      <c r="T237" s="6"/>
      <c r="U237" s="6"/>
      <c r="V237" s="6"/>
    </row>
    <row r="238" spans="1:22" x14ac:dyDescent="0.3">
      <c r="A238" s="6"/>
      <c r="B238" s="6"/>
      <c r="C238" s="6"/>
      <c r="D238" s="6"/>
      <c r="E238" s="6"/>
      <c r="F238" s="6"/>
      <c r="G238" s="6"/>
      <c r="H238" s="6"/>
      <c r="I238" s="6"/>
      <c r="J238" s="6"/>
      <c r="K238" s="6"/>
      <c r="L238" s="6"/>
      <c r="M238" s="6"/>
      <c r="N238" s="6"/>
      <c r="O238" s="6"/>
      <c r="P238" s="6"/>
      <c r="Q238" s="6"/>
      <c r="R238" s="6"/>
      <c r="S238" s="6"/>
      <c r="T238" s="6"/>
      <c r="U238" s="6"/>
      <c r="V238" s="6"/>
    </row>
    <row r="239" spans="1:22" x14ac:dyDescent="0.3">
      <c r="A239" s="6"/>
      <c r="B239" s="6"/>
      <c r="C239" s="6"/>
      <c r="D239" s="6"/>
      <c r="E239" s="6"/>
      <c r="F239" s="6"/>
      <c r="G239" s="6"/>
      <c r="H239" s="6"/>
      <c r="I239" s="6"/>
      <c r="J239" s="6"/>
      <c r="K239" s="6"/>
      <c r="L239" s="6"/>
      <c r="M239" s="6"/>
      <c r="N239" s="6"/>
      <c r="O239" s="6"/>
      <c r="P239" s="6"/>
      <c r="Q239" s="6"/>
      <c r="R239" s="6"/>
      <c r="S239" s="6"/>
      <c r="T239" s="6"/>
      <c r="U239" s="6"/>
      <c r="V239" s="6"/>
    </row>
    <row r="240" spans="1:22" x14ac:dyDescent="0.3">
      <c r="A240" s="6"/>
      <c r="B240" s="6"/>
      <c r="C240" s="6"/>
      <c r="D240" s="6"/>
      <c r="E240" s="6"/>
      <c r="F240" s="6"/>
      <c r="G240" s="6"/>
      <c r="H240" s="6"/>
      <c r="I240" s="6"/>
      <c r="J240" s="6"/>
      <c r="K240" s="6"/>
      <c r="L240" s="6"/>
      <c r="M240" s="6"/>
      <c r="N240" s="6"/>
      <c r="O240" s="6"/>
      <c r="P240" s="6"/>
      <c r="Q240" s="6"/>
      <c r="R240" s="6"/>
      <c r="S240" s="6"/>
      <c r="T240" s="6"/>
      <c r="U240" s="6"/>
      <c r="V240" s="6"/>
    </row>
    <row r="241" spans="1:22" x14ac:dyDescent="0.3">
      <c r="A241" s="6"/>
      <c r="B241" s="6"/>
      <c r="C241" s="6"/>
      <c r="D241" s="6"/>
      <c r="E241" s="6"/>
      <c r="F241" s="6"/>
      <c r="G241" s="6"/>
      <c r="H241" s="6"/>
      <c r="I241" s="6"/>
      <c r="J241" s="6"/>
      <c r="K241" s="6"/>
      <c r="L241" s="6"/>
      <c r="M241" s="6"/>
      <c r="N241" s="6"/>
      <c r="O241" s="6"/>
      <c r="P241" s="6"/>
      <c r="Q241" s="6"/>
      <c r="R241" s="6"/>
      <c r="S241" s="6"/>
      <c r="T241" s="6"/>
      <c r="U241" s="6"/>
      <c r="V241" s="6"/>
    </row>
    <row r="242" spans="1:22" x14ac:dyDescent="0.3">
      <c r="A242" s="6"/>
      <c r="B242" s="6"/>
      <c r="C242" s="6"/>
      <c r="D242" s="6"/>
      <c r="E242" s="6"/>
      <c r="F242" s="6"/>
      <c r="G242" s="6"/>
      <c r="H242" s="6"/>
      <c r="I242" s="6"/>
      <c r="J242" s="6"/>
      <c r="K242" s="6"/>
      <c r="L242" s="6"/>
      <c r="M242" s="6"/>
      <c r="N242" s="6"/>
      <c r="O242" s="6"/>
      <c r="P242" s="6"/>
      <c r="Q242" s="6"/>
      <c r="R242" s="6"/>
      <c r="S242" s="6"/>
      <c r="T242" s="6"/>
      <c r="U242" s="6"/>
      <c r="V242" s="6"/>
    </row>
    <row r="243" spans="1:22" x14ac:dyDescent="0.3">
      <c r="A243" s="6"/>
      <c r="B243" s="6"/>
      <c r="C243" s="6"/>
      <c r="D243" s="6"/>
      <c r="E243" s="6"/>
      <c r="F243" s="6"/>
      <c r="G243" s="6"/>
      <c r="H243" s="6"/>
      <c r="I243" s="6"/>
      <c r="J243" s="6"/>
      <c r="K243" s="6"/>
      <c r="L243" s="6"/>
      <c r="M243" s="6"/>
      <c r="N243" s="6"/>
      <c r="O243" s="6"/>
      <c r="P243" s="6"/>
      <c r="Q243" s="6"/>
      <c r="R243" s="6"/>
      <c r="S243" s="6"/>
      <c r="T243" s="6"/>
      <c r="U243" s="6"/>
      <c r="V243" s="6"/>
    </row>
    <row r="244" spans="1:22" x14ac:dyDescent="0.3">
      <c r="A244" s="6"/>
      <c r="B244" s="6"/>
      <c r="C244" s="6"/>
      <c r="D244" s="6"/>
      <c r="E244" s="6"/>
      <c r="F244" s="6"/>
      <c r="G244" s="6"/>
      <c r="H244" s="6"/>
      <c r="I244" s="6"/>
      <c r="J244" s="6"/>
      <c r="K244" s="6"/>
      <c r="L244" s="6"/>
      <c r="M244" s="6"/>
      <c r="N244" s="6"/>
      <c r="O244" s="6"/>
      <c r="P244" s="6"/>
      <c r="Q244" s="6"/>
      <c r="R244" s="6"/>
      <c r="S244" s="6"/>
      <c r="T244" s="6"/>
      <c r="U244" s="6"/>
      <c r="V244" s="6"/>
    </row>
    <row r="245" spans="1:22" x14ac:dyDescent="0.3">
      <c r="A245" s="6"/>
      <c r="B245" s="6"/>
      <c r="C245" s="6"/>
      <c r="D245" s="6"/>
      <c r="E245" s="6"/>
      <c r="F245" s="6"/>
      <c r="G245" s="6"/>
      <c r="H245" s="6"/>
      <c r="I245" s="6"/>
      <c r="J245" s="6"/>
      <c r="K245" s="6"/>
      <c r="L245" s="6"/>
      <c r="M245" s="6"/>
      <c r="N245" s="6"/>
      <c r="O245" s="6"/>
      <c r="P245" s="6"/>
      <c r="Q245" s="6"/>
      <c r="R245" s="6"/>
      <c r="S245" s="6"/>
      <c r="T245" s="6"/>
      <c r="U245" s="6"/>
      <c r="V245" s="6"/>
    </row>
    <row r="246" spans="1:22" x14ac:dyDescent="0.3">
      <c r="A246" s="6"/>
      <c r="B246" s="6"/>
      <c r="C246" s="6"/>
      <c r="D246" s="6"/>
      <c r="E246" s="6"/>
      <c r="F246" s="6"/>
      <c r="G246" s="6"/>
      <c r="H246" s="6"/>
      <c r="I246" s="6"/>
      <c r="J246" s="6"/>
      <c r="K246" s="6"/>
      <c r="L246" s="6"/>
      <c r="M246" s="6"/>
      <c r="N246" s="6"/>
      <c r="O246" s="6"/>
      <c r="P246" s="6"/>
      <c r="Q246" s="6"/>
      <c r="R246" s="6"/>
      <c r="S246" s="6"/>
      <c r="T246" s="6"/>
      <c r="U246" s="6"/>
      <c r="V246" s="6"/>
    </row>
    <row r="247" spans="1:22" x14ac:dyDescent="0.3">
      <c r="A247" s="6"/>
      <c r="B247" s="6"/>
      <c r="C247" s="6"/>
      <c r="D247" s="6"/>
      <c r="E247" s="6"/>
      <c r="F247" s="6"/>
      <c r="G247" s="6"/>
      <c r="H247" s="6"/>
      <c r="I247" s="6"/>
      <c r="J247" s="6"/>
      <c r="K247" s="6"/>
      <c r="L247" s="6"/>
      <c r="M247" s="6"/>
      <c r="N247" s="6"/>
      <c r="O247" s="6"/>
      <c r="P247" s="6"/>
      <c r="Q247" s="6"/>
      <c r="R247" s="6"/>
      <c r="S247" s="6"/>
      <c r="T247" s="6"/>
      <c r="U247" s="6"/>
      <c r="V247" s="6"/>
    </row>
    <row r="248" spans="1:22" x14ac:dyDescent="0.3">
      <c r="A248" s="6"/>
      <c r="B248" s="6"/>
      <c r="C248" s="6"/>
      <c r="D248" s="6"/>
      <c r="E248" s="6"/>
      <c r="F248" s="6"/>
      <c r="G248" s="6"/>
      <c r="H248" s="6"/>
      <c r="I248" s="6"/>
      <c r="J248" s="6"/>
      <c r="K248" s="6"/>
      <c r="L248" s="6"/>
      <c r="M248" s="6"/>
      <c r="N248" s="6"/>
      <c r="O248" s="6"/>
      <c r="P248" s="6"/>
      <c r="Q248" s="6"/>
      <c r="R248" s="6"/>
      <c r="S248" s="6"/>
      <c r="T248" s="6"/>
      <c r="U248" s="6"/>
      <c r="V248" s="6"/>
    </row>
    <row r="249" spans="1:22" x14ac:dyDescent="0.3">
      <c r="A249" s="6"/>
      <c r="B249" s="6"/>
      <c r="C249" s="6"/>
      <c r="D249" s="6"/>
      <c r="E249" s="6"/>
      <c r="F249" s="6"/>
      <c r="G249" s="6"/>
      <c r="H249" s="6"/>
      <c r="I249" s="6"/>
      <c r="J249" s="6"/>
      <c r="K249" s="6"/>
      <c r="L249" s="6"/>
      <c r="M249" s="6"/>
      <c r="N249" s="6"/>
      <c r="O249" s="6"/>
      <c r="P249" s="6"/>
      <c r="Q249" s="6"/>
      <c r="R249" s="6"/>
      <c r="S249" s="6"/>
      <c r="T249" s="6"/>
      <c r="U249" s="6"/>
      <c r="V249" s="6"/>
    </row>
    <row r="250" spans="1:22" x14ac:dyDescent="0.3">
      <c r="A250" s="6"/>
      <c r="B250" s="6"/>
      <c r="C250" s="6"/>
      <c r="D250" s="6"/>
      <c r="E250" s="6"/>
      <c r="F250" s="6"/>
      <c r="G250" s="6"/>
      <c r="H250" s="6"/>
      <c r="I250" s="6"/>
      <c r="J250" s="6"/>
      <c r="K250" s="6"/>
      <c r="L250" s="6"/>
      <c r="M250" s="6"/>
      <c r="N250" s="6"/>
      <c r="O250" s="6"/>
      <c r="P250" s="6"/>
      <c r="Q250" s="6"/>
      <c r="R250" s="6"/>
      <c r="S250" s="6"/>
      <c r="T250" s="6"/>
      <c r="U250" s="6"/>
      <c r="V250" s="6"/>
    </row>
    <row r="251" spans="1:22" x14ac:dyDescent="0.3">
      <c r="A251" s="6"/>
      <c r="B251" s="6"/>
      <c r="C251" s="6"/>
      <c r="D251" s="6"/>
      <c r="E251" s="6"/>
      <c r="F251" s="6"/>
      <c r="G251" s="6"/>
      <c r="H251" s="6"/>
      <c r="I251" s="6"/>
      <c r="J251" s="6"/>
      <c r="K251" s="6"/>
      <c r="L251" s="6"/>
      <c r="M251" s="6"/>
      <c r="N251" s="6"/>
      <c r="O251" s="6"/>
      <c r="P251" s="6"/>
      <c r="Q251" s="6"/>
      <c r="R251" s="6"/>
      <c r="S251" s="6"/>
      <c r="T251" s="6"/>
      <c r="U251" s="6"/>
      <c r="V251" s="6"/>
    </row>
    <row r="252" spans="1:22" x14ac:dyDescent="0.3">
      <c r="A252" s="6"/>
      <c r="B252" s="6"/>
      <c r="C252" s="6"/>
      <c r="D252" s="6"/>
      <c r="E252" s="6"/>
      <c r="F252" s="6"/>
      <c r="G252" s="6"/>
      <c r="H252" s="6"/>
      <c r="I252" s="6"/>
      <c r="J252" s="6"/>
      <c r="K252" s="6"/>
      <c r="L252" s="6"/>
      <c r="M252" s="6"/>
      <c r="N252" s="6"/>
      <c r="O252" s="6"/>
      <c r="P252" s="6"/>
      <c r="Q252" s="6"/>
      <c r="R252" s="6"/>
      <c r="S252" s="6"/>
      <c r="T252" s="6"/>
      <c r="U252" s="6"/>
      <c r="V252" s="6"/>
    </row>
    <row r="253" spans="1:22" x14ac:dyDescent="0.3">
      <c r="A253" s="6"/>
      <c r="B253" s="6"/>
      <c r="C253" s="6"/>
      <c r="D253" s="6"/>
      <c r="E253" s="6"/>
      <c r="F253" s="6"/>
      <c r="G253" s="6"/>
      <c r="H253" s="6"/>
      <c r="I253" s="6"/>
      <c r="J253" s="6"/>
      <c r="K253" s="6"/>
      <c r="L253" s="6"/>
      <c r="M253" s="6"/>
      <c r="N253" s="6"/>
      <c r="O253" s="6"/>
      <c r="P253" s="6"/>
      <c r="Q253" s="6"/>
      <c r="R253" s="6"/>
      <c r="S253" s="6"/>
      <c r="T253" s="6"/>
      <c r="U253" s="6"/>
      <c r="V253" s="6"/>
    </row>
    <row r="254" spans="1:22" x14ac:dyDescent="0.3">
      <c r="A254" s="6"/>
      <c r="B254" s="6"/>
      <c r="C254" s="6"/>
      <c r="D254" s="6"/>
      <c r="E254" s="6"/>
      <c r="F254" s="6"/>
      <c r="G254" s="6"/>
      <c r="H254" s="6"/>
      <c r="I254" s="6"/>
      <c r="J254" s="6"/>
      <c r="K254" s="6"/>
      <c r="L254" s="6"/>
      <c r="M254" s="6"/>
      <c r="N254" s="6"/>
      <c r="O254" s="6"/>
      <c r="P254" s="6"/>
      <c r="Q254" s="6"/>
      <c r="R254" s="6"/>
      <c r="S254" s="6"/>
      <c r="T254" s="6"/>
      <c r="U254" s="6"/>
      <c r="V254" s="6"/>
    </row>
    <row r="255" spans="1:22" x14ac:dyDescent="0.3">
      <c r="A255" s="6"/>
      <c r="B255" s="6"/>
      <c r="C255" s="6"/>
      <c r="D255" s="6"/>
      <c r="E255" s="6"/>
      <c r="F255" s="6"/>
      <c r="G255" s="6"/>
      <c r="H255" s="6"/>
      <c r="I255" s="6"/>
      <c r="J255" s="6"/>
      <c r="K255" s="6"/>
      <c r="L255" s="6"/>
      <c r="M255" s="6"/>
      <c r="N255" s="6"/>
      <c r="O255" s="6"/>
      <c r="P255" s="6"/>
      <c r="Q255" s="6"/>
      <c r="R255" s="6"/>
      <c r="S255" s="6"/>
      <c r="T255" s="6"/>
      <c r="U255" s="6"/>
      <c r="V255" s="6"/>
    </row>
    <row r="256" spans="1:22" x14ac:dyDescent="0.3">
      <c r="A256" s="6"/>
      <c r="B256" s="6"/>
      <c r="C256" s="6"/>
      <c r="D256" s="6"/>
      <c r="E256" s="6"/>
      <c r="F256" s="6"/>
      <c r="G256" s="6"/>
      <c r="H256" s="6"/>
      <c r="I256" s="6"/>
      <c r="J256" s="6"/>
      <c r="K256" s="6"/>
      <c r="L256" s="6"/>
      <c r="M256" s="6"/>
      <c r="N256" s="6"/>
      <c r="O256" s="6"/>
      <c r="P256" s="6"/>
      <c r="Q256" s="6"/>
      <c r="R256" s="6"/>
      <c r="S256" s="6"/>
      <c r="T256" s="6"/>
      <c r="U256" s="6"/>
      <c r="V256" s="6"/>
    </row>
    <row r="257" spans="1:22" x14ac:dyDescent="0.3">
      <c r="A257" s="6"/>
      <c r="B257" s="6"/>
      <c r="C257" s="6"/>
      <c r="D257" s="6"/>
      <c r="E257" s="6"/>
      <c r="F257" s="6"/>
      <c r="G257" s="6"/>
      <c r="H257" s="6"/>
      <c r="I257" s="6"/>
      <c r="J257" s="6"/>
      <c r="K257" s="6"/>
      <c r="L257" s="6"/>
      <c r="M257" s="6"/>
      <c r="N257" s="6"/>
      <c r="O257" s="6"/>
      <c r="P257" s="6"/>
      <c r="Q257" s="6"/>
      <c r="R257" s="6"/>
      <c r="S257" s="6"/>
      <c r="T257" s="6"/>
      <c r="U257" s="6"/>
      <c r="V257" s="6"/>
    </row>
    <row r="258" spans="1:22" x14ac:dyDescent="0.3">
      <c r="A258" s="6"/>
      <c r="B258" s="6"/>
      <c r="C258" s="6"/>
      <c r="D258" s="6"/>
      <c r="E258" s="6"/>
      <c r="F258" s="6"/>
      <c r="G258" s="6"/>
      <c r="H258" s="6"/>
      <c r="I258" s="6"/>
      <c r="J258" s="6"/>
      <c r="K258" s="6"/>
      <c r="L258" s="6"/>
      <c r="M258" s="6"/>
      <c r="N258" s="6"/>
      <c r="O258" s="6"/>
      <c r="P258" s="6"/>
      <c r="Q258" s="6"/>
      <c r="R258" s="6"/>
      <c r="S258" s="6"/>
      <c r="T258" s="6"/>
      <c r="U258" s="6"/>
      <c r="V258" s="6"/>
    </row>
    <row r="259" spans="1:22" x14ac:dyDescent="0.3">
      <c r="A259" s="6"/>
      <c r="B259" s="6"/>
      <c r="C259" s="6"/>
      <c r="D259" s="6"/>
      <c r="E259" s="6"/>
      <c r="F259" s="6"/>
      <c r="G259" s="6"/>
      <c r="H259" s="6"/>
      <c r="I259" s="6"/>
      <c r="J259" s="6"/>
      <c r="K259" s="6"/>
      <c r="L259" s="6"/>
      <c r="M259" s="6"/>
      <c r="N259" s="6"/>
      <c r="O259" s="6"/>
      <c r="P259" s="6"/>
      <c r="Q259" s="6"/>
      <c r="R259" s="6"/>
      <c r="S259" s="6"/>
      <c r="T259" s="6"/>
      <c r="U259" s="6"/>
      <c r="V259" s="6"/>
    </row>
    <row r="260" spans="1:22" x14ac:dyDescent="0.3">
      <c r="A260" s="6"/>
      <c r="B260" s="6"/>
      <c r="C260" s="6"/>
      <c r="D260" s="6"/>
      <c r="E260" s="6"/>
      <c r="F260" s="6"/>
      <c r="G260" s="6"/>
      <c r="H260" s="6"/>
      <c r="I260" s="6"/>
      <c r="J260" s="6"/>
      <c r="K260" s="6"/>
      <c r="L260" s="6"/>
      <c r="M260" s="6"/>
      <c r="N260" s="6"/>
      <c r="O260" s="6"/>
      <c r="P260" s="6"/>
      <c r="Q260" s="6"/>
      <c r="R260" s="6"/>
      <c r="S260" s="6"/>
      <c r="T260" s="6"/>
      <c r="U260" s="6"/>
      <c r="V260" s="6"/>
    </row>
    <row r="261" spans="1:22" x14ac:dyDescent="0.3">
      <c r="A261" s="6"/>
      <c r="B261" s="6"/>
      <c r="C261" s="6"/>
      <c r="D261" s="6"/>
      <c r="E261" s="6"/>
      <c r="F261" s="6"/>
      <c r="G261" s="6"/>
      <c r="H261" s="6"/>
      <c r="I261" s="6"/>
      <c r="J261" s="6"/>
      <c r="K261" s="6"/>
      <c r="L261" s="6"/>
      <c r="M261" s="6"/>
      <c r="N261" s="6"/>
      <c r="O261" s="6"/>
      <c r="P261" s="6"/>
      <c r="Q261" s="6"/>
      <c r="R261" s="6"/>
      <c r="S261" s="6"/>
      <c r="T261" s="6"/>
      <c r="U261" s="6"/>
      <c r="V261" s="6"/>
    </row>
    <row r="262" spans="1:22" x14ac:dyDescent="0.3">
      <c r="A262" s="6"/>
      <c r="B262" s="6"/>
      <c r="C262" s="6"/>
      <c r="D262" s="6"/>
      <c r="E262" s="6"/>
      <c r="F262" s="6"/>
      <c r="G262" s="6"/>
      <c r="H262" s="6"/>
      <c r="I262" s="6"/>
      <c r="J262" s="6"/>
      <c r="K262" s="6"/>
      <c r="L262" s="6"/>
      <c r="M262" s="6"/>
      <c r="N262" s="6"/>
      <c r="O262" s="6"/>
      <c r="P262" s="6"/>
      <c r="Q262" s="6"/>
      <c r="R262" s="6"/>
      <c r="S262" s="6"/>
      <c r="T262" s="6"/>
      <c r="U262" s="6"/>
      <c r="V262" s="6"/>
    </row>
    <row r="263" spans="1:22" x14ac:dyDescent="0.3">
      <c r="A263" s="6"/>
      <c r="B263" s="6"/>
      <c r="C263" s="6"/>
      <c r="D263" s="6"/>
      <c r="E263" s="6"/>
      <c r="F263" s="6"/>
      <c r="G263" s="6"/>
      <c r="H263" s="6"/>
      <c r="I263" s="6"/>
      <c r="J263" s="6"/>
      <c r="K263" s="6"/>
      <c r="L263" s="6"/>
      <c r="M263" s="6"/>
      <c r="N263" s="6"/>
      <c r="O263" s="6"/>
      <c r="P263" s="6"/>
      <c r="Q263" s="6"/>
      <c r="R263" s="6"/>
      <c r="S263" s="6"/>
      <c r="T263" s="6"/>
      <c r="U263" s="6"/>
      <c r="V263" s="6"/>
    </row>
    <row r="264" spans="1:22" x14ac:dyDescent="0.3">
      <c r="A264" s="6"/>
      <c r="B264" s="6"/>
      <c r="C264" s="6"/>
      <c r="D264" s="6"/>
      <c r="E264" s="6"/>
      <c r="F264" s="6"/>
      <c r="G264" s="6"/>
      <c r="H264" s="6"/>
      <c r="I264" s="6"/>
      <c r="J264" s="6"/>
      <c r="K264" s="6"/>
      <c r="L264" s="6"/>
      <c r="M264" s="6"/>
      <c r="N264" s="6"/>
      <c r="O264" s="6"/>
      <c r="P264" s="6"/>
      <c r="Q264" s="6"/>
      <c r="R264" s="6"/>
      <c r="S264" s="6"/>
      <c r="T264" s="6"/>
      <c r="U264" s="6"/>
      <c r="V264" s="6"/>
    </row>
    <row r="265" spans="1:22" x14ac:dyDescent="0.3">
      <c r="A265" s="6"/>
      <c r="B265" s="6"/>
      <c r="C265" s="6"/>
      <c r="D265" s="6"/>
      <c r="E265" s="6"/>
      <c r="F265" s="6"/>
      <c r="G265" s="6"/>
      <c r="H265" s="6"/>
      <c r="I265" s="6"/>
      <c r="J265" s="6"/>
      <c r="K265" s="6"/>
      <c r="L265" s="6"/>
      <c r="M265" s="6"/>
      <c r="N265" s="6"/>
      <c r="O265" s="6"/>
      <c r="P265" s="6"/>
      <c r="Q265" s="6"/>
      <c r="R265" s="6"/>
      <c r="S265" s="6"/>
      <c r="T265" s="6"/>
      <c r="U265" s="6"/>
      <c r="V265" s="6"/>
    </row>
    <row r="266" spans="1:22" x14ac:dyDescent="0.3">
      <c r="A266" s="6"/>
      <c r="B266" s="6"/>
      <c r="C266" s="6"/>
      <c r="D266" s="6"/>
      <c r="E266" s="6"/>
      <c r="F266" s="6"/>
      <c r="G266" s="6"/>
      <c r="H266" s="6"/>
      <c r="I266" s="6"/>
      <c r="J266" s="6"/>
      <c r="K266" s="6"/>
      <c r="L266" s="6"/>
      <c r="M266" s="6"/>
      <c r="N266" s="6"/>
      <c r="O266" s="6"/>
      <c r="P266" s="6"/>
      <c r="Q266" s="6"/>
      <c r="R266" s="6"/>
      <c r="S266" s="6"/>
      <c r="T266" s="6"/>
      <c r="U266" s="6"/>
      <c r="V266" s="6"/>
    </row>
    <row r="267" spans="1:22" x14ac:dyDescent="0.3">
      <c r="A267" s="6"/>
      <c r="B267" s="6"/>
      <c r="C267" s="6"/>
      <c r="D267" s="6"/>
      <c r="E267" s="6"/>
      <c r="F267" s="6"/>
      <c r="G267" s="6"/>
      <c r="H267" s="6"/>
      <c r="I267" s="6"/>
      <c r="J267" s="6"/>
      <c r="K267" s="6"/>
      <c r="L267" s="6"/>
      <c r="M267" s="6"/>
      <c r="N267" s="6"/>
      <c r="O267" s="6"/>
      <c r="P267" s="6"/>
      <c r="Q267" s="6"/>
      <c r="R267" s="6"/>
      <c r="S267" s="6"/>
      <c r="T267" s="6"/>
      <c r="U267" s="6"/>
      <c r="V267" s="6"/>
    </row>
    <row r="268" spans="1:22" x14ac:dyDescent="0.3">
      <c r="A268" s="6"/>
      <c r="B268" s="6"/>
      <c r="C268" s="6"/>
      <c r="D268" s="6"/>
      <c r="E268" s="6"/>
      <c r="F268" s="6"/>
      <c r="G268" s="6"/>
      <c r="H268" s="6"/>
      <c r="I268" s="6"/>
      <c r="J268" s="6"/>
      <c r="K268" s="6"/>
      <c r="L268" s="6"/>
      <c r="M268" s="6"/>
      <c r="N268" s="6"/>
      <c r="O268" s="6"/>
      <c r="P268" s="6"/>
      <c r="Q268" s="6"/>
      <c r="R268" s="6"/>
      <c r="S268" s="6"/>
      <c r="T268" s="6"/>
      <c r="U268" s="6"/>
      <c r="V268" s="6"/>
    </row>
    <row r="269" spans="1:22" x14ac:dyDescent="0.3">
      <c r="A269" s="6"/>
      <c r="B269" s="6"/>
      <c r="C269" s="6"/>
      <c r="D269" s="6"/>
      <c r="E269" s="6"/>
      <c r="F269" s="6"/>
      <c r="G269" s="6"/>
      <c r="H269" s="6"/>
      <c r="I269" s="6"/>
      <c r="J269" s="6"/>
      <c r="K269" s="6"/>
      <c r="L269" s="6"/>
      <c r="M269" s="6"/>
      <c r="N269" s="6"/>
      <c r="O269" s="6"/>
      <c r="P269" s="6"/>
      <c r="Q269" s="6"/>
      <c r="R269" s="6"/>
      <c r="S269" s="6"/>
      <c r="T269" s="6"/>
      <c r="U269" s="6"/>
      <c r="V269" s="6"/>
    </row>
    <row r="270" spans="1:22" x14ac:dyDescent="0.3">
      <c r="A270" s="6"/>
      <c r="B270" s="6"/>
      <c r="C270" s="6"/>
      <c r="D270" s="6"/>
      <c r="E270" s="6"/>
      <c r="F270" s="6"/>
      <c r="G270" s="6"/>
      <c r="H270" s="6"/>
      <c r="I270" s="6"/>
      <c r="J270" s="6"/>
      <c r="K270" s="6"/>
      <c r="L270" s="6"/>
      <c r="M270" s="6"/>
      <c r="N270" s="6"/>
      <c r="O270" s="6"/>
      <c r="P270" s="6"/>
      <c r="Q270" s="6"/>
      <c r="R270" s="6"/>
      <c r="S270" s="6"/>
      <c r="T270" s="6"/>
      <c r="U270" s="6"/>
      <c r="V270" s="6"/>
    </row>
    <row r="271" spans="1:22" x14ac:dyDescent="0.3">
      <c r="A271" s="6"/>
      <c r="B271" s="6"/>
      <c r="C271" s="6"/>
      <c r="D271" s="6"/>
      <c r="E271" s="6"/>
      <c r="F271" s="6"/>
      <c r="G271" s="6"/>
      <c r="H271" s="6"/>
      <c r="I271" s="6"/>
      <c r="J271" s="6"/>
      <c r="K271" s="6"/>
      <c r="L271" s="6"/>
      <c r="M271" s="6"/>
      <c r="N271" s="6"/>
      <c r="O271" s="6"/>
      <c r="P271" s="6"/>
      <c r="Q271" s="6"/>
      <c r="R271" s="6"/>
      <c r="S271" s="6"/>
      <c r="T271" s="6"/>
      <c r="U271" s="6"/>
      <c r="V271" s="6"/>
    </row>
    <row r="272" spans="1:22" x14ac:dyDescent="0.3">
      <c r="A272" s="6"/>
      <c r="B272" s="6"/>
      <c r="C272" s="6"/>
      <c r="D272" s="6"/>
      <c r="E272" s="6"/>
      <c r="F272" s="6"/>
      <c r="G272" s="6"/>
      <c r="H272" s="6"/>
      <c r="I272" s="6"/>
      <c r="J272" s="6"/>
      <c r="K272" s="6"/>
      <c r="L272" s="6"/>
      <c r="M272" s="6"/>
      <c r="N272" s="6"/>
      <c r="O272" s="6"/>
      <c r="P272" s="6"/>
      <c r="Q272" s="6"/>
      <c r="R272" s="6"/>
      <c r="S272" s="6"/>
      <c r="T272" s="6"/>
      <c r="U272" s="6"/>
      <c r="V272" s="6"/>
    </row>
    <row r="273" spans="1:22" x14ac:dyDescent="0.3">
      <c r="A273" s="6"/>
      <c r="B273" s="6"/>
      <c r="C273" s="6"/>
      <c r="D273" s="6"/>
      <c r="E273" s="6"/>
      <c r="F273" s="6"/>
      <c r="G273" s="6"/>
      <c r="H273" s="6"/>
      <c r="I273" s="6"/>
      <c r="J273" s="6"/>
      <c r="K273" s="6"/>
      <c r="L273" s="6"/>
      <c r="M273" s="6"/>
      <c r="N273" s="6"/>
      <c r="O273" s="6"/>
      <c r="P273" s="6"/>
      <c r="Q273" s="6"/>
      <c r="R273" s="6"/>
      <c r="S273" s="6"/>
      <c r="T273" s="6"/>
      <c r="U273" s="6"/>
      <c r="V273" s="6"/>
    </row>
    <row r="274" spans="1:22" x14ac:dyDescent="0.3">
      <c r="A274" s="6"/>
      <c r="B274" s="6"/>
      <c r="C274" s="6"/>
      <c r="D274" s="6"/>
      <c r="E274" s="6"/>
      <c r="F274" s="6"/>
      <c r="G274" s="6"/>
      <c r="H274" s="6"/>
      <c r="I274" s="6"/>
      <c r="J274" s="6"/>
      <c r="K274" s="6"/>
      <c r="L274" s="6"/>
      <c r="M274" s="6"/>
      <c r="N274" s="6"/>
      <c r="O274" s="6"/>
      <c r="P274" s="6"/>
      <c r="Q274" s="6"/>
      <c r="R274" s="6"/>
      <c r="S274" s="6"/>
      <c r="T274" s="6"/>
      <c r="U274" s="6"/>
      <c r="V274" s="6"/>
    </row>
    <row r="275" spans="1:22" x14ac:dyDescent="0.3">
      <c r="A275" s="6"/>
      <c r="B275" s="6"/>
      <c r="C275" s="6"/>
      <c r="D275" s="6"/>
      <c r="E275" s="6"/>
      <c r="F275" s="6"/>
      <c r="G275" s="6"/>
      <c r="H275" s="6"/>
      <c r="I275" s="6"/>
      <c r="J275" s="6"/>
      <c r="K275" s="6"/>
      <c r="L275" s="6"/>
      <c r="M275" s="6"/>
      <c r="N275" s="6"/>
      <c r="O275" s="6"/>
      <c r="P275" s="6"/>
      <c r="Q275" s="6"/>
      <c r="R275" s="6"/>
      <c r="S275" s="6"/>
      <c r="T275" s="6"/>
      <c r="U275" s="6"/>
      <c r="V275" s="6"/>
    </row>
    <row r="276" spans="1:22" x14ac:dyDescent="0.3">
      <c r="A276" s="6"/>
      <c r="B276" s="6"/>
      <c r="C276" s="6"/>
      <c r="D276" s="6"/>
      <c r="E276" s="6"/>
      <c r="F276" s="6"/>
      <c r="G276" s="6"/>
      <c r="H276" s="6"/>
      <c r="I276" s="6"/>
      <c r="J276" s="6"/>
      <c r="K276" s="6"/>
      <c r="L276" s="6"/>
      <c r="M276" s="6"/>
      <c r="N276" s="6"/>
      <c r="O276" s="6"/>
      <c r="P276" s="6"/>
      <c r="Q276" s="6"/>
      <c r="R276" s="6"/>
      <c r="S276" s="6"/>
      <c r="T276" s="6"/>
      <c r="U276" s="6"/>
      <c r="V276" s="6"/>
    </row>
    <row r="277" spans="1:22" x14ac:dyDescent="0.3">
      <c r="A277" s="6"/>
      <c r="B277" s="6"/>
      <c r="C277" s="6"/>
      <c r="D277" s="6"/>
      <c r="E277" s="6"/>
      <c r="F277" s="6"/>
      <c r="G277" s="6"/>
      <c r="H277" s="6"/>
      <c r="I277" s="6"/>
      <c r="J277" s="6"/>
      <c r="K277" s="6"/>
      <c r="L277" s="6"/>
      <c r="M277" s="6"/>
      <c r="N277" s="6"/>
      <c r="O277" s="6"/>
      <c r="P277" s="6"/>
      <c r="Q277" s="6"/>
      <c r="R277" s="6"/>
      <c r="S277" s="6"/>
      <c r="T277" s="6"/>
      <c r="U277" s="6"/>
      <c r="V277" s="6"/>
    </row>
    <row r="278" spans="1:22" x14ac:dyDescent="0.3">
      <c r="A278" s="6"/>
      <c r="B278" s="6"/>
      <c r="C278" s="6"/>
      <c r="D278" s="6"/>
      <c r="E278" s="6"/>
      <c r="F278" s="6"/>
      <c r="G278" s="6"/>
      <c r="H278" s="6"/>
      <c r="I278" s="6"/>
      <c r="J278" s="6"/>
      <c r="K278" s="6"/>
      <c r="L278" s="6"/>
      <c r="M278" s="6"/>
      <c r="N278" s="6"/>
      <c r="O278" s="6"/>
      <c r="P278" s="6"/>
      <c r="Q278" s="6"/>
      <c r="R278" s="6"/>
      <c r="S278" s="6"/>
      <c r="T278" s="6"/>
      <c r="U278" s="6"/>
      <c r="V278" s="6"/>
    </row>
    <row r="279" spans="1:22" x14ac:dyDescent="0.3">
      <c r="A279" s="6"/>
      <c r="B279" s="6"/>
      <c r="C279" s="6"/>
      <c r="D279" s="6"/>
      <c r="E279" s="6"/>
      <c r="F279" s="6"/>
      <c r="G279" s="6"/>
      <c r="H279" s="6"/>
      <c r="I279" s="6"/>
      <c r="J279" s="6"/>
      <c r="K279" s="6"/>
      <c r="L279" s="6"/>
      <c r="M279" s="6"/>
      <c r="N279" s="6"/>
      <c r="O279" s="6"/>
      <c r="P279" s="6"/>
      <c r="Q279" s="6"/>
      <c r="R279" s="6"/>
      <c r="S279" s="6"/>
      <c r="T279" s="6"/>
      <c r="U279" s="6"/>
      <c r="V279" s="6"/>
    </row>
    <row r="280" spans="1:22" x14ac:dyDescent="0.3">
      <c r="A280" s="6"/>
      <c r="B280" s="6"/>
      <c r="C280" s="6"/>
      <c r="D280" s="6"/>
      <c r="E280" s="6"/>
      <c r="F280" s="6"/>
      <c r="G280" s="6"/>
      <c r="H280" s="6"/>
      <c r="I280" s="6"/>
      <c r="J280" s="6"/>
      <c r="K280" s="6"/>
      <c r="L280" s="6"/>
      <c r="M280" s="6"/>
      <c r="N280" s="6"/>
      <c r="O280" s="6"/>
      <c r="P280" s="6"/>
      <c r="Q280" s="6"/>
      <c r="R280" s="6"/>
      <c r="S280" s="6"/>
      <c r="T280" s="6"/>
      <c r="U280" s="6"/>
      <c r="V280" s="6"/>
    </row>
    <row r="281" spans="1:22" x14ac:dyDescent="0.3">
      <c r="A281" s="6"/>
      <c r="B281" s="6"/>
      <c r="C281" s="6"/>
      <c r="D281" s="6"/>
      <c r="E281" s="6"/>
      <c r="F281" s="6"/>
      <c r="G281" s="6"/>
      <c r="H281" s="6"/>
      <c r="I281" s="6"/>
      <c r="J281" s="6"/>
      <c r="K281" s="6"/>
      <c r="L281" s="6"/>
      <c r="M281" s="6"/>
      <c r="N281" s="6"/>
      <c r="O281" s="6"/>
      <c r="P281" s="6"/>
      <c r="Q281" s="6"/>
      <c r="R281" s="6"/>
      <c r="S281" s="6"/>
      <c r="T281" s="6"/>
      <c r="U281" s="6"/>
      <c r="V281" s="6"/>
    </row>
    <row r="282" spans="1:22" x14ac:dyDescent="0.3">
      <c r="A282" s="6"/>
      <c r="B282" s="6"/>
      <c r="C282" s="6"/>
      <c r="D282" s="6"/>
      <c r="E282" s="6"/>
      <c r="F282" s="6"/>
      <c r="G282" s="6"/>
      <c r="H282" s="6"/>
      <c r="I282" s="6"/>
      <c r="J282" s="6"/>
      <c r="K282" s="6"/>
      <c r="L282" s="6"/>
      <c r="M282" s="6"/>
      <c r="N282" s="6"/>
      <c r="O282" s="6"/>
      <c r="P282" s="6"/>
      <c r="Q282" s="6"/>
      <c r="R282" s="6"/>
      <c r="S282" s="6"/>
      <c r="T282" s="6"/>
      <c r="U282" s="6"/>
      <c r="V282" s="6"/>
    </row>
    <row r="283" spans="1:22" x14ac:dyDescent="0.3">
      <c r="A283" s="6"/>
      <c r="B283" s="6"/>
      <c r="C283" s="6"/>
      <c r="D283" s="6"/>
      <c r="E283" s="6"/>
      <c r="F283" s="6"/>
      <c r="G283" s="6"/>
      <c r="H283" s="6"/>
      <c r="I283" s="6"/>
      <c r="J283" s="6"/>
      <c r="K283" s="6"/>
      <c r="L283" s="6"/>
      <c r="M283" s="6"/>
      <c r="N283" s="6"/>
      <c r="O283" s="6"/>
      <c r="P283" s="6"/>
      <c r="Q283" s="6"/>
      <c r="R283" s="6"/>
      <c r="S283" s="6"/>
      <c r="T283" s="6"/>
      <c r="U283" s="6"/>
      <c r="V283" s="6"/>
    </row>
    <row r="284" spans="1:22" x14ac:dyDescent="0.3">
      <c r="A284" s="6"/>
      <c r="B284" s="6"/>
      <c r="C284" s="6"/>
      <c r="D284" s="6"/>
      <c r="E284" s="6"/>
      <c r="F284" s="6"/>
      <c r="G284" s="6"/>
      <c r="H284" s="6"/>
      <c r="I284" s="6"/>
      <c r="J284" s="6"/>
      <c r="K284" s="6"/>
      <c r="L284" s="6"/>
      <c r="M284" s="6"/>
      <c r="N284" s="6"/>
      <c r="O284" s="6"/>
      <c r="P284" s="6"/>
      <c r="Q284" s="6"/>
      <c r="R284" s="6"/>
      <c r="S284" s="6"/>
      <c r="T284" s="6"/>
      <c r="U284" s="6"/>
      <c r="V284" s="6"/>
    </row>
    <row r="285" spans="1:22" x14ac:dyDescent="0.3">
      <c r="A285" s="6"/>
      <c r="B285" s="6"/>
      <c r="C285" s="6"/>
      <c r="D285" s="6"/>
      <c r="E285" s="6"/>
      <c r="F285" s="6"/>
      <c r="G285" s="6"/>
      <c r="H285" s="6"/>
      <c r="I285" s="6"/>
      <c r="J285" s="6"/>
      <c r="K285" s="6"/>
      <c r="L285" s="6"/>
      <c r="M285" s="6"/>
      <c r="N285" s="6"/>
      <c r="O285" s="6"/>
      <c r="P285" s="6"/>
      <c r="Q285" s="6"/>
      <c r="R285" s="6"/>
      <c r="S285" s="6"/>
      <c r="T285" s="6"/>
      <c r="U285" s="6"/>
      <c r="V285" s="6"/>
    </row>
    <row r="286" spans="1:22" x14ac:dyDescent="0.3">
      <c r="A286" s="6"/>
      <c r="B286" s="6"/>
      <c r="C286" s="6"/>
      <c r="D286" s="6"/>
      <c r="E286" s="6"/>
      <c r="F286" s="6"/>
      <c r="G286" s="6"/>
      <c r="H286" s="6"/>
      <c r="I286" s="6"/>
      <c r="J286" s="6"/>
      <c r="K286" s="6"/>
      <c r="L286" s="6"/>
      <c r="M286" s="6"/>
      <c r="N286" s="6"/>
      <c r="O286" s="6"/>
      <c r="P286" s="6"/>
      <c r="Q286" s="6"/>
      <c r="R286" s="6"/>
      <c r="S286" s="6"/>
      <c r="T286" s="6"/>
      <c r="U286" s="6"/>
      <c r="V286" s="6"/>
    </row>
    <row r="287" spans="1:22" x14ac:dyDescent="0.3">
      <c r="A287" s="6"/>
      <c r="B287" s="6"/>
      <c r="C287" s="6"/>
      <c r="D287" s="6"/>
      <c r="E287" s="6"/>
      <c r="F287" s="6"/>
      <c r="G287" s="6"/>
      <c r="H287" s="6"/>
      <c r="I287" s="6"/>
      <c r="J287" s="6"/>
      <c r="K287" s="6"/>
      <c r="L287" s="6"/>
      <c r="M287" s="6"/>
      <c r="N287" s="6"/>
      <c r="O287" s="6"/>
      <c r="P287" s="6"/>
      <c r="Q287" s="6"/>
      <c r="R287" s="6"/>
      <c r="S287" s="6"/>
      <c r="T287" s="6"/>
      <c r="U287" s="6"/>
      <c r="V287" s="6"/>
    </row>
    <row r="288" spans="1:22" x14ac:dyDescent="0.3">
      <c r="A288" s="6"/>
      <c r="B288" s="6"/>
      <c r="C288" s="6"/>
      <c r="D288" s="6"/>
      <c r="E288" s="6"/>
      <c r="F288" s="6"/>
      <c r="G288" s="6"/>
      <c r="H288" s="6"/>
      <c r="I288" s="6"/>
      <c r="J288" s="6"/>
      <c r="K288" s="6"/>
      <c r="L288" s="6"/>
      <c r="M288" s="6"/>
      <c r="N288" s="6"/>
      <c r="O288" s="6"/>
      <c r="P288" s="6"/>
      <c r="Q288" s="6"/>
      <c r="R288" s="6"/>
      <c r="S288" s="6"/>
      <c r="T288" s="6"/>
      <c r="U288" s="6"/>
      <c r="V288" s="6"/>
    </row>
    <row r="289" spans="1:22" x14ac:dyDescent="0.3">
      <c r="A289" s="6"/>
      <c r="B289" s="6"/>
      <c r="C289" s="6"/>
      <c r="D289" s="6"/>
      <c r="E289" s="6"/>
      <c r="F289" s="6"/>
      <c r="G289" s="6"/>
      <c r="H289" s="6"/>
      <c r="I289" s="6"/>
      <c r="J289" s="6"/>
      <c r="K289" s="6"/>
      <c r="L289" s="6"/>
      <c r="M289" s="6"/>
      <c r="N289" s="6"/>
      <c r="O289" s="6"/>
      <c r="P289" s="6"/>
      <c r="Q289" s="6"/>
      <c r="R289" s="6"/>
      <c r="S289" s="6"/>
      <c r="T289" s="6"/>
      <c r="U289" s="6"/>
      <c r="V289" s="6"/>
    </row>
    <row r="290" spans="1:22" x14ac:dyDescent="0.3">
      <c r="A290" s="6"/>
      <c r="B290" s="6"/>
      <c r="C290" s="6"/>
      <c r="D290" s="6"/>
      <c r="E290" s="6"/>
      <c r="F290" s="6"/>
      <c r="G290" s="6"/>
      <c r="H290" s="6"/>
      <c r="I290" s="6"/>
      <c r="J290" s="6"/>
      <c r="K290" s="6"/>
      <c r="L290" s="6"/>
      <c r="M290" s="6"/>
      <c r="N290" s="6"/>
      <c r="O290" s="6"/>
      <c r="P290" s="6"/>
      <c r="Q290" s="6"/>
      <c r="R290" s="6"/>
      <c r="S290" s="6"/>
      <c r="T290" s="6"/>
      <c r="U290" s="6"/>
      <c r="V290" s="6"/>
    </row>
    <row r="291" spans="1:22" x14ac:dyDescent="0.3">
      <c r="A291" s="6"/>
      <c r="B291" s="6"/>
      <c r="C291" s="6"/>
      <c r="D291" s="6"/>
      <c r="E291" s="6"/>
      <c r="F291" s="6"/>
      <c r="G291" s="6"/>
      <c r="H291" s="6"/>
      <c r="I291" s="6"/>
      <c r="J291" s="6"/>
      <c r="K291" s="6"/>
      <c r="L291" s="6"/>
      <c r="M291" s="6"/>
      <c r="N291" s="6"/>
      <c r="O291" s="6"/>
      <c r="P291" s="6"/>
      <c r="Q291" s="6"/>
      <c r="R291" s="6"/>
      <c r="S291" s="6"/>
      <c r="T291" s="6"/>
      <c r="U291" s="6"/>
      <c r="V291" s="6"/>
    </row>
    <row r="292" spans="1:22" x14ac:dyDescent="0.3">
      <c r="A292" s="6"/>
      <c r="B292" s="6"/>
      <c r="C292" s="6"/>
      <c r="D292" s="6"/>
      <c r="E292" s="6"/>
      <c r="F292" s="6"/>
      <c r="G292" s="6"/>
      <c r="H292" s="6"/>
      <c r="I292" s="6"/>
      <c r="J292" s="6"/>
      <c r="K292" s="6"/>
      <c r="L292" s="6"/>
      <c r="M292" s="6"/>
      <c r="N292" s="6"/>
      <c r="O292" s="6"/>
      <c r="P292" s="6"/>
      <c r="Q292" s="6"/>
      <c r="R292" s="6"/>
      <c r="S292" s="6"/>
      <c r="T292" s="6"/>
      <c r="U292" s="6"/>
      <c r="V292" s="6"/>
    </row>
    <row r="293" spans="1:22" x14ac:dyDescent="0.3">
      <c r="A293" s="6"/>
      <c r="B293" s="6"/>
      <c r="C293" s="6"/>
      <c r="D293" s="6"/>
      <c r="E293" s="6"/>
      <c r="F293" s="6"/>
      <c r="G293" s="6"/>
      <c r="H293" s="6"/>
      <c r="I293" s="6"/>
      <c r="J293" s="6"/>
      <c r="K293" s="6"/>
      <c r="L293" s="6"/>
      <c r="M293" s="6"/>
      <c r="N293" s="6"/>
      <c r="O293" s="6"/>
      <c r="P293" s="6"/>
      <c r="Q293" s="6"/>
      <c r="R293" s="6"/>
      <c r="S293" s="6"/>
      <c r="T293" s="6"/>
      <c r="U293" s="6"/>
      <c r="V293" s="6"/>
    </row>
    <row r="294" spans="1:22" x14ac:dyDescent="0.3">
      <c r="A294" s="6"/>
      <c r="B294" s="6"/>
      <c r="C294" s="6"/>
      <c r="D294" s="6"/>
      <c r="E294" s="6"/>
      <c r="F294" s="6"/>
      <c r="G294" s="6"/>
      <c r="H294" s="6"/>
      <c r="I294" s="6"/>
      <c r="J294" s="6"/>
      <c r="K294" s="6"/>
      <c r="L294" s="6"/>
      <c r="M294" s="6"/>
      <c r="N294" s="6"/>
      <c r="O294" s="6"/>
      <c r="P294" s="6"/>
      <c r="Q294" s="6"/>
      <c r="R294" s="6"/>
      <c r="S294" s="6"/>
      <c r="T294" s="6"/>
      <c r="U294" s="6"/>
      <c r="V294" s="6"/>
    </row>
    <row r="295" spans="1:22" x14ac:dyDescent="0.3">
      <c r="A295" s="6"/>
      <c r="B295" s="6"/>
      <c r="C295" s="6"/>
      <c r="D295" s="6"/>
      <c r="E295" s="6"/>
      <c r="F295" s="6"/>
      <c r="G295" s="6"/>
      <c r="H295" s="6"/>
      <c r="I295" s="6"/>
      <c r="J295" s="6"/>
      <c r="K295" s="6"/>
      <c r="L295" s="6"/>
      <c r="M295" s="6"/>
      <c r="N295" s="6"/>
      <c r="O295" s="6"/>
      <c r="P295" s="6"/>
      <c r="Q295" s="6"/>
      <c r="R295" s="6"/>
      <c r="S295" s="6"/>
      <c r="T295" s="6"/>
      <c r="U295" s="6"/>
      <c r="V295" s="6"/>
    </row>
    <row r="296" spans="1:22" x14ac:dyDescent="0.3">
      <c r="A296" s="6"/>
      <c r="B296" s="6"/>
      <c r="C296" s="6"/>
      <c r="D296" s="6"/>
      <c r="E296" s="6"/>
      <c r="F296" s="6"/>
      <c r="G296" s="6"/>
      <c r="H296" s="6"/>
      <c r="I296" s="6"/>
      <c r="J296" s="6"/>
      <c r="K296" s="6"/>
      <c r="L296" s="6"/>
      <c r="M296" s="6"/>
      <c r="N296" s="6"/>
      <c r="O296" s="6"/>
      <c r="P296" s="6"/>
      <c r="Q296" s="6"/>
      <c r="R296" s="6"/>
      <c r="S296" s="6"/>
      <c r="T296" s="6"/>
      <c r="U296" s="6"/>
      <c r="V296" s="6"/>
    </row>
    <row r="297" spans="1:22" x14ac:dyDescent="0.3">
      <c r="A297" s="6"/>
      <c r="B297" s="6"/>
      <c r="C297" s="6"/>
      <c r="D297" s="6"/>
      <c r="E297" s="6"/>
      <c r="F297" s="6"/>
      <c r="G297" s="6"/>
      <c r="H297" s="6"/>
      <c r="I297" s="6"/>
      <c r="J297" s="6"/>
      <c r="K297" s="6"/>
      <c r="L297" s="6"/>
      <c r="M297" s="6"/>
      <c r="N297" s="6"/>
      <c r="O297" s="6"/>
      <c r="P297" s="6"/>
      <c r="Q297" s="6"/>
      <c r="R297" s="6"/>
      <c r="S297" s="6"/>
      <c r="T297" s="6"/>
      <c r="U297" s="6"/>
      <c r="V297" s="6"/>
    </row>
    <row r="298" spans="1:22" x14ac:dyDescent="0.3">
      <c r="A298" s="6"/>
      <c r="B298" s="6"/>
      <c r="C298" s="6"/>
      <c r="D298" s="6"/>
      <c r="E298" s="6"/>
      <c r="F298" s="6"/>
      <c r="G298" s="6"/>
      <c r="H298" s="6"/>
      <c r="I298" s="6"/>
      <c r="J298" s="6"/>
      <c r="K298" s="6"/>
      <c r="L298" s="6"/>
      <c r="M298" s="6"/>
      <c r="N298" s="6"/>
      <c r="O298" s="6"/>
      <c r="P298" s="6"/>
      <c r="Q298" s="6"/>
      <c r="R298" s="6"/>
      <c r="S298" s="6"/>
      <c r="T298" s="6"/>
      <c r="U298" s="6"/>
      <c r="V298" s="6"/>
    </row>
    <row r="299" spans="1:22" x14ac:dyDescent="0.3">
      <c r="A299" s="6"/>
      <c r="B299" s="6"/>
      <c r="C299" s="6"/>
      <c r="D299" s="6"/>
      <c r="E299" s="6"/>
      <c r="F299" s="6"/>
      <c r="G299" s="6"/>
      <c r="H299" s="6"/>
      <c r="I299" s="6"/>
      <c r="J299" s="6"/>
      <c r="K299" s="6"/>
      <c r="L299" s="6"/>
      <c r="M299" s="6"/>
      <c r="N299" s="6"/>
      <c r="O299" s="6"/>
      <c r="P299" s="6"/>
      <c r="Q299" s="6"/>
      <c r="R299" s="6"/>
      <c r="S299" s="6"/>
      <c r="T299" s="6"/>
      <c r="U299" s="6"/>
      <c r="V299" s="6"/>
    </row>
    <row r="300" spans="1:22" x14ac:dyDescent="0.3">
      <c r="A300" s="6"/>
      <c r="B300" s="6"/>
      <c r="C300" s="6"/>
      <c r="D300" s="6"/>
      <c r="E300" s="6"/>
      <c r="F300" s="6"/>
      <c r="G300" s="6"/>
      <c r="H300" s="6"/>
      <c r="I300" s="6"/>
      <c r="J300" s="6"/>
      <c r="K300" s="6"/>
      <c r="L300" s="6"/>
      <c r="M300" s="6"/>
      <c r="N300" s="6"/>
      <c r="O300" s="6"/>
      <c r="P300" s="6"/>
      <c r="Q300" s="6"/>
      <c r="R300" s="6"/>
      <c r="S300" s="6"/>
      <c r="T300" s="6"/>
      <c r="U300" s="6"/>
      <c r="V300" s="6"/>
    </row>
    <row r="301" spans="1:22" x14ac:dyDescent="0.3">
      <c r="A301" s="6"/>
      <c r="B301" s="6"/>
      <c r="C301" s="6"/>
      <c r="D301" s="6"/>
      <c r="E301" s="6"/>
      <c r="F301" s="6"/>
      <c r="G301" s="6"/>
      <c r="H301" s="6"/>
      <c r="I301" s="6"/>
      <c r="J301" s="6"/>
      <c r="K301" s="6"/>
      <c r="L301" s="6"/>
      <c r="M301" s="6"/>
      <c r="N301" s="6"/>
      <c r="O301" s="6"/>
      <c r="P301" s="6"/>
      <c r="Q301" s="6"/>
      <c r="R301" s="6"/>
      <c r="S301" s="6"/>
      <c r="T301" s="6"/>
      <c r="U301" s="6"/>
      <c r="V301" s="6"/>
    </row>
    <row r="302" spans="1:22" x14ac:dyDescent="0.3">
      <c r="A302" s="6"/>
      <c r="B302" s="6"/>
      <c r="C302" s="6"/>
      <c r="D302" s="6"/>
      <c r="E302" s="6"/>
      <c r="F302" s="6"/>
      <c r="G302" s="6"/>
      <c r="H302" s="6"/>
      <c r="I302" s="6"/>
      <c r="J302" s="6"/>
      <c r="K302" s="6"/>
      <c r="L302" s="6"/>
      <c r="M302" s="6"/>
      <c r="N302" s="6"/>
      <c r="O302" s="6"/>
      <c r="P302" s="6"/>
      <c r="Q302" s="6"/>
      <c r="R302" s="6"/>
      <c r="S302" s="6"/>
      <c r="T302" s="6"/>
      <c r="U302" s="6"/>
      <c r="V302" s="6"/>
    </row>
    <row r="303" spans="1:22" x14ac:dyDescent="0.3">
      <c r="A303" s="6"/>
      <c r="B303" s="6"/>
      <c r="C303" s="6"/>
      <c r="D303" s="6"/>
      <c r="E303" s="6"/>
      <c r="F303" s="6"/>
      <c r="G303" s="6"/>
      <c r="H303" s="6"/>
      <c r="I303" s="6"/>
      <c r="J303" s="6"/>
      <c r="K303" s="6"/>
      <c r="L303" s="6"/>
      <c r="M303" s="6"/>
      <c r="N303" s="6"/>
      <c r="O303" s="6"/>
      <c r="P303" s="6"/>
      <c r="Q303" s="6"/>
      <c r="R303" s="6"/>
      <c r="S303" s="6"/>
      <c r="T303" s="6"/>
      <c r="U303" s="6"/>
      <c r="V303" s="6"/>
    </row>
    <row r="304" spans="1:22" x14ac:dyDescent="0.3">
      <c r="A304" s="6"/>
      <c r="B304" s="6"/>
      <c r="C304" s="6"/>
      <c r="D304" s="6"/>
      <c r="E304" s="6"/>
      <c r="F304" s="6"/>
      <c r="G304" s="6"/>
      <c r="H304" s="6"/>
      <c r="I304" s="6"/>
      <c r="J304" s="6"/>
      <c r="K304" s="6"/>
      <c r="L304" s="6"/>
      <c r="M304" s="6"/>
      <c r="N304" s="6"/>
      <c r="O304" s="6"/>
      <c r="P304" s="6"/>
      <c r="Q304" s="6"/>
      <c r="R304" s="6"/>
      <c r="S304" s="6"/>
      <c r="T304" s="6"/>
      <c r="U304" s="6"/>
      <c r="V304" s="6"/>
    </row>
    <row r="305" spans="1:22" x14ac:dyDescent="0.3">
      <c r="A305" s="6"/>
      <c r="B305" s="6"/>
      <c r="C305" s="6"/>
      <c r="D305" s="6"/>
      <c r="E305" s="6"/>
      <c r="F305" s="6"/>
      <c r="G305" s="6"/>
      <c r="H305" s="6"/>
      <c r="I305" s="6"/>
      <c r="J305" s="6"/>
      <c r="K305" s="6"/>
      <c r="L305" s="6"/>
      <c r="M305" s="6"/>
      <c r="N305" s="6"/>
      <c r="O305" s="6"/>
      <c r="P305" s="6"/>
      <c r="Q305" s="6"/>
      <c r="R305" s="6"/>
      <c r="S305" s="6"/>
      <c r="T305" s="6"/>
      <c r="U305" s="6"/>
      <c r="V305" s="6"/>
    </row>
    <row r="306" spans="1:22" x14ac:dyDescent="0.3">
      <c r="A306" s="6"/>
      <c r="B306" s="6"/>
      <c r="C306" s="6"/>
      <c r="D306" s="6"/>
      <c r="E306" s="6"/>
      <c r="F306" s="6"/>
      <c r="G306" s="6"/>
      <c r="H306" s="6"/>
      <c r="I306" s="6"/>
      <c r="J306" s="6"/>
      <c r="K306" s="6"/>
      <c r="L306" s="6"/>
      <c r="M306" s="6"/>
      <c r="N306" s="6"/>
      <c r="O306" s="6"/>
      <c r="P306" s="6"/>
      <c r="Q306" s="6"/>
      <c r="R306" s="6"/>
      <c r="S306" s="6"/>
      <c r="T306" s="6"/>
      <c r="U306" s="6"/>
      <c r="V306" s="6"/>
    </row>
    <row r="307" spans="1:22" x14ac:dyDescent="0.3">
      <c r="A307" s="6"/>
      <c r="B307" s="6"/>
      <c r="C307" s="6"/>
      <c r="D307" s="6"/>
      <c r="E307" s="6"/>
      <c r="F307" s="6"/>
      <c r="G307" s="6"/>
      <c r="H307" s="6"/>
      <c r="I307" s="6"/>
      <c r="J307" s="6"/>
      <c r="K307" s="6"/>
      <c r="L307" s="6"/>
      <c r="M307" s="6"/>
      <c r="N307" s="6"/>
      <c r="O307" s="6"/>
      <c r="P307" s="6"/>
      <c r="Q307" s="6"/>
      <c r="R307" s="6"/>
      <c r="S307" s="6"/>
      <c r="T307" s="6"/>
      <c r="U307" s="6"/>
      <c r="V307" s="6"/>
    </row>
    <row r="308" spans="1:22" x14ac:dyDescent="0.3">
      <c r="A308" s="6"/>
      <c r="B308" s="6"/>
      <c r="C308" s="6"/>
      <c r="D308" s="6"/>
      <c r="E308" s="6"/>
      <c r="F308" s="6"/>
      <c r="G308" s="6"/>
      <c r="H308" s="6"/>
      <c r="I308" s="6"/>
      <c r="J308" s="6"/>
      <c r="K308" s="6"/>
      <c r="L308" s="6"/>
      <c r="M308" s="6"/>
      <c r="N308" s="6"/>
      <c r="O308" s="6"/>
      <c r="P308" s="6"/>
      <c r="Q308" s="6"/>
      <c r="R308" s="6"/>
      <c r="S308" s="6"/>
      <c r="T308" s="6"/>
      <c r="U308" s="6"/>
      <c r="V308" s="6"/>
    </row>
    <row r="309" spans="1:22" x14ac:dyDescent="0.3">
      <c r="A309" s="6"/>
      <c r="B309" s="6"/>
      <c r="C309" s="6"/>
      <c r="D309" s="6"/>
      <c r="E309" s="6"/>
      <c r="F309" s="6"/>
      <c r="G309" s="6"/>
      <c r="H309" s="6"/>
      <c r="I309" s="6"/>
      <c r="J309" s="6"/>
      <c r="K309" s="6"/>
      <c r="L309" s="6"/>
      <c r="M309" s="6"/>
      <c r="N309" s="6"/>
      <c r="O309" s="6"/>
      <c r="P309" s="6"/>
      <c r="Q309" s="6"/>
      <c r="R309" s="6"/>
      <c r="S309" s="6"/>
      <c r="T309" s="6"/>
      <c r="U309" s="6"/>
      <c r="V309" s="6"/>
    </row>
    <row r="310" spans="1:22" x14ac:dyDescent="0.3">
      <c r="A310" s="6"/>
      <c r="B310" s="6"/>
      <c r="C310" s="6"/>
      <c r="D310" s="6"/>
      <c r="E310" s="6"/>
      <c r="F310" s="6"/>
      <c r="G310" s="6"/>
      <c r="H310" s="6"/>
      <c r="I310" s="6"/>
      <c r="J310" s="6"/>
      <c r="K310" s="6"/>
      <c r="L310" s="6"/>
      <c r="M310" s="6"/>
      <c r="N310" s="6"/>
      <c r="O310" s="6"/>
      <c r="P310" s="6"/>
      <c r="Q310" s="6"/>
      <c r="R310" s="6"/>
      <c r="S310" s="6"/>
      <c r="T310" s="6"/>
      <c r="U310" s="6"/>
      <c r="V310" s="6"/>
    </row>
    <row r="311" spans="1:22" x14ac:dyDescent="0.3">
      <c r="A311" s="6"/>
      <c r="B311" s="6"/>
      <c r="C311" s="6"/>
      <c r="D311" s="6"/>
      <c r="E311" s="6"/>
      <c r="F311" s="6"/>
      <c r="G311" s="6"/>
      <c r="H311" s="6"/>
      <c r="I311" s="6"/>
      <c r="J311" s="6"/>
      <c r="K311" s="6"/>
      <c r="L311" s="6"/>
      <c r="M311" s="6"/>
      <c r="N311" s="6"/>
      <c r="O311" s="6"/>
      <c r="P311" s="6"/>
      <c r="Q311" s="6"/>
      <c r="R311" s="6"/>
      <c r="S311" s="6"/>
      <c r="T311" s="6"/>
      <c r="U311" s="6"/>
      <c r="V311" s="6"/>
    </row>
    <row r="312" spans="1:22" x14ac:dyDescent="0.3">
      <c r="A312" s="6"/>
      <c r="B312" s="6"/>
      <c r="C312" s="6"/>
      <c r="D312" s="6"/>
      <c r="E312" s="6"/>
      <c r="F312" s="6"/>
      <c r="G312" s="6"/>
      <c r="H312" s="6"/>
      <c r="I312" s="6"/>
      <c r="J312" s="6"/>
      <c r="K312" s="6"/>
      <c r="L312" s="6"/>
      <c r="M312" s="6"/>
      <c r="N312" s="6"/>
      <c r="O312" s="6"/>
      <c r="P312" s="6"/>
      <c r="Q312" s="6"/>
      <c r="R312" s="6"/>
      <c r="S312" s="6"/>
      <c r="T312" s="6"/>
      <c r="U312" s="6"/>
      <c r="V312" s="6"/>
    </row>
    <row r="313" spans="1:22" x14ac:dyDescent="0.3">
      <c r="A313" s="6"/>
      <c r="B313" s="6"/>
      <c r="C313" s="6"/>
      <c r="D313" s="6"/>
      <c r="E313" s="6"/>
      <c r="F313" s="6"/>
      <c r="G313" s="6"/>
      <c r="H313" s="6"/>
      <c r="I313" s="6"/>
      <c r="J313" s="6"/>
      <c r="K313" s="6"/>
      <c r="L313" s="6"/>
      <c r="M313" s="6"/>
      <c r="N313" s="6"/>
      <c r="O313" s="6"/>
      <c r="P313" s="6"/>
      <c r="Q313" s="6"/>
      <c r="R313" s="6"/>
      <c r="S313" s="6"/>
      <c r="T313" s="6"/>
      <c r="U313" s="6"/>
      <c r="V313" s="6"/>
    </row>
    <row r="314" spans="1:22" x14ac:dyDescent="0.3">
      <c r="A314" s="6"/>
      <c r="B314" s="6"/>
      <c r="C314" s="6"/>
      <c r="D314" s="6"/>
      <c r="E314" s="6"/>
      <c r="F314" s="6"/>
      <c r="G314" s="6"/>
      <c r="H314" s="6"/>
      <c r="I314" s="6"/>
      <c r="J314" s="6"/>
      <c r="K314" s="6"/>
      <c r="L314" s="6"/>
      <c r="M314" s="6"/>
      <c r="N314" s="6"/>
      <c r="O314" s="6"/>
      <c r="P314" s="6"/>
      <c r="Q314" s="6"/>
      <c r="R314" s="6"/>
      <c r="S314" s="6"/>
      <c r="T314" s="6"/>
      <c r="U314" s="6"/>
      <c r="V314" s="6"/>
    </row>
    <row r="315" spans="1:22" x14ac:dyDescent="0.3">
      <c r="A315" s="6"/>
      <c r="B315" s="6"/>
      <c r="C315" s="6"/>
      <c r="D315" s="6"/>
      <c r="E315" s="6"/>
      <c r="F315" s="6"/>
      <c r="G315" s="6"/>
      <c r="H315" s="6"/>
      <c r="I315" s="6"/>
      <c r="J315" s="6"/>
      <c r="K315" s="6"/>
      <c r="L315" s="6"/>
      <c r="M315" s="6"/>
      <c r="N315" s="6"/>
      <c r="O315" s="6"/>
      <c r="P315" s="6"/>
      <c r="Q315" s="6"/>
      <c r="R315" s="6"/>
      <c r="S315" s="6"/>
      <c r="T315" s="6"/>
      <c r="U315" s="6"/>
      <c r="V315" s="6"/>
    </row>
    <row r="316" spans="1:22" x14ac:dyDescent="0.3">
      <c r="A316" s="6"/>
      <c r="B316" s="6"/>
      <c r="C316" s="6"/>
      <c r="D316" s="6"/>
      <c r="E316" s="6"/>
      <c r="F316" s="6"/>
      <c r="G316" s="6"/>
      <c r="H316" s="6"/>
      <c r="I316" s="6"/>
      <c r="J316" s="6"/>
      <c r="K316" s="6"/>
      <c r="L316" s="6"/>
      <c r="M316" s="6"/>
      <c r="N316" s="6"/>
      <c r="O316" s="6"/>
      <c r="P316" s="6"/>
      <c r="Q316" s="6"/>
      <c r="R316" s="6"/>
      <c r="S316" s="6"/>
      <c r="T316" s="6"/>
      <c r="U316" s="6"/>
      <c r="V316" s="6"/>
    </row>
    <row r="317" spans="1:22" x14ac:dyDescent="0.3">
      <c r="A317" s="6"/>
      <c r="B317" s="6"/>
      <c r="C317" s="6"/>
      <c r="D317" s="6"/>
      <c r="E317" s="6"/>
      <c r="F317" s="6"/>
      <c r="G317" s="6"/>
      <c r="H317" s="6"/>
      <c r="I317" s="6"/>
      <c r="J317" s="6"/>
      <c r="K317" s="6"/>
      <c r="L317" s="6"/>
      <c r="M317" s="6"/>
      <c r="N317" s="6"/>
      <c r="O317" s="6"/>
      <c r="P317" s="6"/>
      <c r="Q317" s="6"/>
      <c r="R317" s="6"/>
      <c r="S317" s="6"/>
      <c r="T317" s="6"/>
      <c r="U317" s="6"/>
      <c r="V317" s="6"/>
    </row>
    <row r="318" spans="1:22" x14ac:dyDescent="0.3">
      <c r="A318" s="6"/>
      <c r="B318" s="6"/>
      <c r="C318" s="6"/>
      <c r="D318" s="6"/>
      <c r="E318" s="6"/>
      <c r="F318" s="6"/>
      <c r="G318" s="6"/>
      <c r="H318" s="6"/>
      <c r="I318" s="6"/>
      <c r="J318" s="6"/>
      <c r="K318" s="6"/>
      <c r="L318" s="6"/>
      <c r="M318" s="6"/>
      <c r="N318" s="6"/>
      <c r="O318" s="6"/>
      <c r="P318" s="6"/>
      <c r="Q318" s="6"/>
      <c r="R318" s="6"/>
      <c r="S318" s="6"/>
      <c r="T318" s="6"/>
      <c r="U318" s="6"/>
      <c r="V318" s="6"/>
    </row>
    <row r="319" spans="1:22" x14ac:dyDescent="0.3">
      <c r="A319" s="6"/>
      <c r="B319" s="6"/>
      <c r="C319" s="6"/>
      <c r="D319" s="6"/>
      <c r="E319" s="6"/>
      <c r="F319" s="6"/>
      <c r="G319" s="6"/>
      <c r="H319" s="6"/>
      <c r="I319" s="6"/>
      <c r="J319" s="6"/>
      <c r="K319" s="6"/>
      <c r="L319" s="6"/>
      <c r="M319" s="6"/>
      <c r="N319" s="6"/>
      <c r="O319" s="6"/>
      <c r="P319" s="6"/>
      <c r="Q319" s="6"/>
      <c r="R319" s="6"/>
      <c r="S319" s="6"/>
      <c r="T319" s="6"/>
      <c r="U319" s="6"/>
      <c r="V319" s="6"/>
    </row>
    <row r="320" spans="1:22" x14ac:dyDescent="0.3">
      <c r="A320" s="6"/>
      <c r="B320" s="6"/>
      <c r="C320" s="6"/>
      <c r="D320" s="6"/>
      <c r="E320" s="6"/>
      <c r="F320" s="6"/>
      <c r="G320" s="6"/>
      <c r="H320" s="6"/>
      <c r="I320" s="6"/>
      <c r="J320" s="6"/>
      <c r="K320" s="6"/>
      <c r="L320" s="6"/>
      <c r="M320" s="6"/>
      <c r="N320" s="6"/>
      <c r="O320" s="6"/>
      <c r="P320" s="6"/>
      <c r="Q320" s="6"/>
      <c r="R320" s="6"/>
      <c r="S320" s="6"/>
      <c r="T320" s="6"/>
      <c r="U320" s="6"/>
      <c r="V320" s="6"/>
    </row>
    <row r="321" spans="1:22" x14ac:dyDescent="0.3">
      <c r="A321" s="6"/>
      <c r="B321" s="6"/>
      <c r="C321" s="6"/>
      <c r="D321" s="6"/>
      <c r="E321" s="6"/>
      <c r="F321" s="6"/>
      <c r="G321" s="6"/>
      <c r="H321" s="6"/>
      <c r="I321" s="6"/>
      <c r="J321" s="6"/>
      <c r="K321" s="6"/>
      <c r="L321" s="6"/>
      <c r="M321" s="6"/>
      <c r="N321" s="6"/>
      <c r="O321" s="6"/>
      <c r="P321" s="6"/>
      <c r="Q321" s="6"/>
      <c r="R321" s="6"/>
      <c r="S321" s="6"/>
      <c r="T321" s="6"/>
      <c r="U321" s="6"/>
      <c r="V321" s="6"/>
    </row>
    <row r="322" spans="1:22" x14ac:dyDescent="0.3">
      <c r="A322" s="6"/>
      <c r="B322" s="6"/>
      <c r="C322" s="6"/>
      <c r="D322" s="6"/>
      <c r="E322" s="6"/>
      <c r="F322" s="6"/>
      <c r="G322" s="6"/>
      <c r="H322" s="6"/>
      <c r="I322" s="6"/>
      <c r="J322" s="6"/>
      <c r="K322" s="6"/>
      <c r="L322" s="6"/>
      <c r="M322" s="6"/>
      <c r="N322" s="6"/>
      <c r="O322" s="6"/>
      <c r="P322" s="6"/>
      <c r="Q322" s="6"/>
      <c r="R322" s="6"/>
      <c r="S322" s="6"/>
      <c r="T322" s="6"/>
      <c r="U322" s="6"/>
      <c r="V322" s="6"/>
    </row>
    <row r="323" spans="1:22" x14ac:dyDescent="0.3">
      <c r="A323" s="6"/>
      <c r="B323" s="6"/>
      <c r="C323" s="6"/>
      <c r="D323" s="6"/>
      <c r="E323" s="6"/>
      <c r="F323" s="6"/>
      <c r="G323" s="6"/>
      <c r="H323" s="6"/>
      <c r="I323" s="6"/>
      <c r="J323" s="6"/>
      <c r="K323" s="6"/>
      <c r="L323" s="6"/>
      <c r="M323" s="6"/>
      <c r="N323" s="6"/>
      <c r="O323" s="6"/>
      <c r="P323" s="6"/>
      <c r="Q323" s="6"/>
      <c r="R323" s="6"/>
      <c r="S323" s="6"/>
      <c r="T323" s="6"/>
      <c r="U323" s="6"/>
      <c r="V323" s="6"/>
    </row>
    <row r="324" spans="1:22" x14ac:dyDescent="0.3">
      <c r="A324" s="6"/>
      <c r="B324" s="6"/>
      <c r="C324" s="6"/>
      <c r="D324" s="6"/>
      <c r="E324" s="6"/>
      <c r="F324" s="6"/>
      <c r="G324" s="6"/>
      <c r="H324" s="6"/>
      <c r="I324" s="6"/>
      <c r="J324" s="6"/>
      <c r="K324" s="6"/>
      <c r="L324" s="6"/>
      <c r="M324" s="6"/>
      <c r="N324" s="6"/>
      <c r="O324" s="6"/>
      <c r="P324" s="6"/>
      <c r="Q324" s="6"/>
      <c r="R324" s="6"/>
      <c r="S324" s="6"/>
      <c r="T324" s="6"/>
      <c r="U324" s="6"/>
      <c r="V324" s="6"/>
    </row>
    <row r="325" spans="1:22" x14ac:dyDescent="0.3">
      <c r="A325" s="6"/>
      <c r="B325" s="6"/>
      <c r="C325" s="6"/>
      <c r="D325" s="6"/>
      <c r="E325" s="6"/>
      <c r="F325" s="6"/>
      <c r="G325" s="6"/>
      <c r="H325" s="6"/>
      <c r="I325" s="6"/>
      <c r="J325" s="6"/>
      <c r="K325" s="6"/>
      <c r="L325" s="6"/>
      <c r="M325" s="6"/>
      <c r="N325" s="6"/>
      <c r="O325" s="6"/>
      <c r="P325" s="6"/>
      <c r="Q325" s="6"/>
      <c r="R325" s="6"/>
      <c r="S325" s="6"/>
      <c r="T325" s="6"/>
      <c r="U325" s="6"/>
      <c r="V325" s="6"/>
    </row>
    <row r="326" spans="1:22" x14ac:dyDescent="0.3">
      <c r="A326" s="6"/>
      <c r="B326" s="6"/>
      <c r="C326" s="6"/>
      <c r="D326" s="6"/>
      <c r="E326" s="6"/>
      <c r="F326" s="6"/>
      <c r="G326" s="6"/>
      <c r="H326" s="6"/>
      <c r="I326" s="6"/>
      <c r="J326" s="6"/>
      <c r="K326" s="6"/>
      <c r="L326" s="6"/>
      <c r="M326" s="6"/>
      <c r="N326" s="6"/>
      <c r="O326" s="6"/>
      <c r="P326" s="6"/>
      <c r="Q326" s="6"/>
      <c r="R326" s="6"/>
      <c r="S326" s="6"/>
      <c r="T326" s="6"/>
      <c r="U326" s="6"/>
      <c r="V326" s="6"/>
    </row>
    <row r="327" spans="1:22" x14ac:dyDescent="0.3">
      <c r="A327" s="6"/>
      <c r="B327" s="6"/>
      <c r="C327" s="6"/>
      <c r="D327" s="6"/>
      <c r="E327" s="6"/>
      <c r="F327" s="6"/>
      <c r="G327" s="6"/>
      <c r="H327" s="6"/>
      <c r="I327" s="6"/>
      <c r="J327" s="6"/>
      <c r="K327" s="6"/>
      <c r="L327" s="6"/>
      <c r="M327" s="6"/>
      <c r="N327" s="6"/>
      <c r="O327" s="6"/>
      <c r="P327" s="6"/>
      <c r="Q327" s="6"/>
      <c r="R327" s="6"/>
      <c r="S327" s="6"/>
      <c r="T327" s="6"/>
      <c r="U327" s="6"/>
      <c r="V327" s="6"/>
    </row>
    <row r="328" spans="1:22" x14ac:dyDescent="0.3">
      <c r="A328" s="6"/>
      <c r="B328" s="6"/>
      <c r="C328" s="6"/>
      <c r="D328" s="6"/>
      <c r="E328" s="6"/>
      <c r="F328" s="6"/>
      <c r="G328" s="6"/>
      <c r="H328" s="6"/>
      <c r="I328" s="6"/>
      <c r="J328" s="6"/>
      <c r="K328" s="6"/>
      <c r="L328" s="6"/>
      <c r="M328" s="6"/>
      <c r="N328" s="6"/>
      <c r="O328" s="6"/>
      <c r="P328" s="6"/>
      <c r="Q328" s="6"/>
      <c r="R328" s="6"/>
      <c r="S328" s="6"/>
      <c r="T328" s="6"/>
      <c r="U328" s="6"/>
      <c r="V328" s="6"/>
    </row>
    <row r="329" spans="1:22" x14ac:dyDescent="0.3">
      <c r="A329" s="6"/>
      <c r="B329" s="6"/>
      <c r="C329" s="6"/>
      <c r="D329" s="6"/>
      <c r="E329" s="6"/>
      <c r="F329" s="6"/>
      <c r="G329" s="6"/>
      <c r="H329" s="6"/>
      <c r="I329" s="6"/>
      <c r="J329" s="6"/>
      <c r="K329" s="6"/>
      <c r="L329" s="6"/>
      <c r="M329" s="6"/>
      <c r="N329" s="6"/>
      <c r="O329" s="6"/>
      <c r="P329" s="6"/>
      <c r="Q329" s="6"/>
      <c r="R329" s="6"/>
      <c r="S329" s="6"/>
      <c r="T329" s="6"/>
      <c r="U329" s="6"/>
      <c r="V329" s="6"/>
    </row>
    <row r="330" spans="1:22" x14ac:dyDescent="0.3">
      <c r="A330" s="6"/>
      <c r="B330" s="6"/>
      <c r="C330" s="6"/>
      <c r="D330" s="6"/>
      <c r="E330" s="6"/>
      <c r="F330" s="6"/>
      <c r="G330" s="6"/>
      <c r="H330" s="6"/>
      <c r="I330" s="6"/>
      <c r="J330" s="6"/>
      <c r="K330" s="6"/>
      <c r="L330" s="6"/>
      <c r="M330" s="6"/>
      <c r="N330" s="6"/>
      <c r="O330" s="6"/>
      <c r="P330" s="6"/>
      <c r="Q330" s="6"/>
      <c r="R330" s="6"/>
      <c r="S330" s="6"/>
      <c r="T330" s="6"/>
      <c r="U330" s="6"/>
      <c r="V330" s="6"/>
    </row>
    <row r="331" spans="1:22" x14ac:dyDescent="0.3">
      <c r="A331" s="6"/>
      <c r="B331" s="6"/>
      <c r="C331" s="6"/>
      <c r="D331" s="6"/>
      <c r="E331" s="6"/>
      <c r="F331" s="6"/>
      <c r="G331" s="6"/>
      <c r="H331" s="6"/>
      <c r="I331" s="6"/>
      <c r="J331" s="6"/>
      <c r="K331" s="6"/>
      <c r="L331" s="6"/>
      <c r="M331" s="6"/>
      <c r="N331" s="6"/>
      <c r="O331" s="6"/>
      <c r="P331" s="6"/>
      <c r="Q331" s="6"/>
      <c r="R331" s="6"/>
      <c r="S331" s="6"/>
      <c r="T331" s="6"/>
      <c r="U331" s="6"/>
      <c r="V331" s="6"/>
    </row>
    <row r="332" spans="1:22" x14ac:dyDescent="0.3">
      <c r="A332" s="6"/>
      <c r="B332" s="6"/>
      <c r="C332" s="6"/>
      <c r="D332" s="6"/>
      <c r="E332" s="6"/>
      <c r="F332" s="6"/>
      <c r="G332" s="6"/>
      <c r="H332" s="6"/>
      <c r="I332" s="6"/>
      <c r="J332" s="6"/>
      <c r="K332" s="6"/>
      <c r="L332" s="6"/>
      <c r="M332" s="6"/>
      <c r="N332" s="6"/>
      <c r="O332" s="6"/>
      <c r="P332" s="6"/>
      <c r="Q332" s="6"/>
      <c r="R332" s="6"/>
      <c r="S332" s="6"/>
      <c r="T332" s="6"/>
      <c r="U332" s="6"/>
      <c r="V332" s="6"/>
    </row>
    <row r="333" spans="1:22" x14ac:dyDescent="0.3">
      <c r="A333" s="6"/>
      <c r="B333" s="6"/>
      <c r="C333" s="6"/>
      <c r="D333" s="6"/>
      <c r="E333" s="6"/>
      <c r="F333" s="6"/>
      <c r="G333" s="6"/>
      <c r="H333" s="6"/>
      <c r="I333" s="6"/>
      <c r="J333" s="6"/>
      <c r="K333" s="6"/>
      <c r="L333" s="6"/>
      <c r="M333" s="6"/>
      <c r="N333" s="6"/>
      <c r="O333" s="6"/>
      <c r="P333" s="6"/>
      <c r="Q333" s="6"/>
      <c r="R333" s="6"/>
      <c r="S333" s="6"/>
      <c r="T333" s="6"/>
      <c r="U333" s="6"/>
      <c r="V333" s="6"/>
    </row>
    <row r="334" spans="1:22" x14ac:dyDescent="0.3">
      <c r="A334" s="6"/>
      <c r="B334" s="6"/>
      <c r="C334" s="6"/>
      <c r="D334" s="6"/>
      <c r="E334" s="6"/>
      <c r="F334" s="6"/>
      <c r="G334" s="6"/>
      <c r="H334" s="6"/>
      <c r="I334" s="6"/>
      <c r="J334" s="6"/>
      <c r="K334" s="6"/>
      <c r="L334" s="6"/>
      <c r="M334" s="6"/>
      <c r="N334" s="6"/>
      <c r="O334" s="6"/>
      <c r="P334" s="6"/>
      <c r="Q334" s="6"/>
      <c r="R334" s="6"/>
      <c r="S334" s="6"/>
      <c r="T334" s="6"/>
      <c r="U334" s="6"/>
      <c r="V334" s="6"/>
    </row>
    <row r="335" spans="1:22" x14ac:dyDescent="0.3">
      <c r="A335" s="6"/>
      <c r="B335" s="6"/>
      <c r="C335" s="6"/>
      <c r="D335" s="6"/>
      <c r="E335" s="6"/>
      <c r="F335" s="6"/>
      <c r="G335" s="6"/>
      <c r="H335" s="6"/>
      <c r="I335" s="6"/>
      <c r="J335" s="6"/>
      <c r="K335" s="6"/>
      <c r="L335" s="6"/>
      <c r="M335" s="6"/>
      <c r="N335" s="6"/>
      <c r="O335" s="6"/>
      <c r="P335" s="6"/>
      <c r="Q335" s="6"/>
      <c r="R335" s="6"/>
      <c r="S335" s="6"/>
      <c r="T335" s="6"/>
      <c r="U335" s="6"/>
      <c r="V335" s="6"/>
    </row>
    <row r="336" spans="1:22" x14ac:dyDescent="0.3">
      <c r="A336" s="6"/>
      <c r="B336" s="6"/>
      <c r="C336" s="6"/>
      <c r="D336" s="6"/>
      <c r="E336" s="6"/>
      <c r="F336" s="6"/>
      <c r="G336" s="6"/>
      <c r="H336" s="6"/>
      <c r="I336" s="6"/>
      <c r="J336" s="6"/>
      <c r="K336" s="6"/>
      <c r="L336" s="6"/>
      <c r="M336" s="6"/>
      <c r="N336" s="6"/>
      <c r="O336" s="6"/>
      <c r="P336" s="6"/>
      <c r="Q336" s="6"/>
      <c r="R336" s="6"/>
      <c r="S336" s="6"/>
      <c r="T336" s="6"/>
      <c r="U336" s="6"/>
      <c r="V336" s="6"/>
    </row>
    <row r="337" spans="1:22" x14ac:dyDescent="0.3">
      <c r="A337" s="6"/>
      <c r="B337" s="6"/>
      <c r="C337" s="6"/>
      <c r="D337" s="6"/>
      <c r="E337" s="6"/>
      <c r="F337" s="6"/>
      <c r="G337" s="6"/>
      <c r="H337" s="6"/>
      <c r="I337" s="6"/>
      <c r="J337" s="6"/>
      <c r="K337" s="6"/>
      <c r="L337" s="6"/>
      <c r="M337" s="6"/>
      <c r="N337" s="6"/>
      <c r="O337" s="6"/>
      <c r="P337" s="6"/>
      <c r="Q337" s="6"/>
      <c r="R337" s="6"/>
      <c r="S337" s="6"/>
      <c r="T337" s="6"/>
      <c r="U337" s="6"/>
      <c r="V337" s="6"/>
    </row>
    <row r="338" spans="1:22" x14ac:dyDescent="0.3">
      <c r="A338" s="6"/>
      <c r="B338" s="6"/>
      <c r="C338" s="6"/>
      <c r="D338" s="6"/>
      <c r="E338" s="6"/>
      <c r="F338" s="6"/>
      <c r="G338" s="6"/>
      <c r="H338" s="6"/>
      <c r="I338" s="6"/>
      <c r="J338" s="6"/>
      <c r="K338" s="6"/>
      <c r="L338" s="6"/>
      <c r="M338" s="6"/>
      <c r="N338" s="6"/>
      <c r="O338" s="6"/>
      <c r="P338" s="6"/>
      <c r="Q338" s="6"/>
      <c r="R338" s="6"/>
      <c r="S338" s="6"/>
      <c r="T338" s="6"/>
      <c r="U338" s="6"/>
      <c r="V338" s="6"/>
    </row>
    <row r="339" spans="1:22" x14ac:dyDescent="0.3">
      <c r="A339" s="6"/>
      <c r="B339" s="6"/>
      <c r="C339" s="6"/>
      <c r="D339" s="6"/>
      <c r="E339" s="6"/>
      <c r="F339" s="6"/>
      <c r="G339" s="6"/>
      <c r="H339" s="6"/>
      <c r="I339" s="6"/>
      <c r="J339" s="6"/>
      <c r="K339" s="6"/>
      <c r="L339" s="6"/>
      <c r="M339" s="6"/>
      <c r="N339" s="6"/>
      <c r="O339" s="6"/>
      <c r="P339" s="6"/>
      <c r="Q339" s="6"/>
      <c r="R339" s="6"/>
      <c r="S339" s="6"/>
      <c r="T339" s="6"/>
      <c r="U339" s="6"/>
      <c r="V339" s="6"/>
    </row>
    <row r="340" spans="1:22" x14ac:dyDescent="0.3">
      <c r="A340" s="6"/>
      <c r="B340" s="6"/>
      <c r="C340" s="6"/>
      <c r="D340" s="6"/>
      <c r="E340" s="6"/>
      <c r="F340" s="6"/>
      <c r="G340" s="6"/>
      <c r="H340" s="6"/>
      <c r="I340" s="6"/>
      <c r="J340" s="6"/>
      <c r="K340" s="6"/>
      <c r="L340" s="6"/>
      <c r="M340" s="6"/>
      <c r="N340" s="6"/>
      <c r="O340" s="6"/>
      <c r="P340" s="6"/>
      <c r="Q340" s="6"/>
      <c r="R340" s="6"/>
      <c r="S340" s="6"/>
      <c r="T340" s="6"/>
      <c r="U340" s="6"/>
      <c r="V340" s="6"/>
    </row>
    <row r="341" spans="1:22" x14ac:dyDescent="0.3">
      <c r="A341" s="6"/>
      <c r="B341" s="6"/>
      <c r="C341" s="6"/>
      <c r="D341" s="6"/>
      <c r="E341" s="6"/>
      <c r="F341" s="6"/>
      <c r="G341" s="6"/>
      <c r="H341" s="6"/>
      <c r="I341" s="6"/>
      <c r="J341" s="6"/>
      <c r="K341" s="6"/>
      <c r="L341" s="6"/>
      <c r="M341" s="6"/>
      <c r="N341" s="6"/>
      <c r="O341" s="6"/>
      <c r="P341" s="6"/>
      <c r="Q341" s="6"/>
      <c r="R341" s="6"/>
      <c r="S341" s="6"/>
      <c r="T341" s="6"/>
      <c r="U341" s="6"/>
      <c r="V341" s="6"/>
    </row>
    <row r="342" spans="1:22" x14ac:dyDescent="0.3">
      <c r="A342" s="6"/>
      <c r="B342" s="6"/>
      <c r="C342" s="6"/>
      <c r="D342" s="6"/>
      <c r="E342" s="6"/>
      <c r="F342" s="6"/>
      <c r="G342" s="6"/>
      <c r="H342" s="6"/>
      <c r="I342" s="6"/>
      <c r="J342" s="6"/>
      <c r="K342" s="6"/>
      <c r="L342" s="6"/>
      <c r="M342" s="6"/>
      <c r="N342" s="6"/>
      <c r="O342" s="6"/>
      <c r="P342" s="6"/>
      <c r="Q342" s="6"/>
      <c r="R342" s="6"/>
      <c r="S342" s="6"/>
      <c r="T342" s="6"/>
      <c r="U342" s="6"/>
      <c r="V342" s="6"/>
    </row>
    <row r="343" spans="1:22" x14ac:dyDescent="0.3">
      <c r="A343" s="6"/>
      <c r="B343" s="6"/>
      <c r="C343" s="6"/>
      <c r="D343" s="6"/>
      <c r="E343" s="6"/>
      <c r="F343" s="6"/>
      <c r="G343" s="6"/>
      <c r="H343" s="6"/>
      <c r="I343" s="6"/>
      <c r="J343" s="6"/>
      <c r="K343" s="6"/>
      <c r="L343" s="6"/>
      <c r="M343" s="6"/>
      <c r="N343" s="6"/>
      <c r="O343" s="6"/>
      <c r="P343" s="6"/>
      <c r="Q343" s="6"/>
      <c r="R343" s="6"/>
      <c r="S343" s="6"/>
      <c r="T343" s="6"/>
      <c r="U343" s="6"/>
      <c r="V343" s="6"/>
    </row>
    <row r="344" spans="1:22" x14ac:dyDescent="0.3">
      <c r="A344" s="6"/>
      <c r="B344" s="6"/>
      <c r="C344" s="6"/>
      <c r="D344" s="6"/>
      <c r="E344" s="6"/>
      <c r="F344" s="6"/>
      <c r="G344" s="6"/>
      <c r="H344" s="6"/>
      <c r="I344" s="6"/>
      <c r="J344" s="6"/>
      <c r="K344" s="6"/>
      <c r="L344" s="6"/>
      <c r="M344" s="6"/>
      <c r="N344" s="6"/>
      <c r="O344" s="6"/>
      <c r="P344" s="6"/>
      <c r="Q344" s="6"/>
      <c r="R344" s="6"/>
      <c r="S344" s="6"/>
      <c r="T344" s="6"/>
      <c r="U344" s="6"/>
      <c r="V344" s="6"/>
    </row>
    <row r="345" spans="1:22" x14ac:dyDescent="0.3">
      <c r="A345" s="6"/>
      <c r="B345" s="6"/>
      <c r="C345" s="6"/>
      <c r="D345" s="6"/>
      <c r="E345" s="6"/>
      <c r="F345" s="6"/>
      <c r="G345" s="6"/>
      <c r="H345" s="6"/>
      <c r="I345" s="6"/>
      <c r="J345" s="6"/>
      <c r="K345" s="6"/>
      <c r="L345" s="6"/>
      <c r="M345" s="6"/>
      <c r="N345" s="6"/>
      <c r="O345" s="6"/>
      <c r="P345" s="6"/>
      <c r="Q345" s="6"/>
      <c r="R345" s="6"/>
      <c r="S345" s="6"/>
      <c r="T345" s="6"/>
      <c r="U345" s="6"/>
      <c r="V345" s="6"/>
    </row>
    <row r="346" spans="1:22" x14ac:dyDescent="0.3">
      <c r="A346" s="6"/>
      <c r="B346" s="6"/>
      <c r="C346" s="6"/>
      <c r="D346" s="6"/>
      <c r="E346" s="6"/>
      <c r="F346" s="6"/>
      <c r="G346" s="6"/>
      <c r="H346" s="6"/>
      <c r="I346" s="6"/>
      <c r="J346" s="6"/>
      <c r="K346" s="6"/>
      <c r="L346" s="6"/>
      <c r="M346" s="6"/>
      <c r="N346" s="6"/>
      <c r="O346" s="6"/>
      <c r="P346" s="6"/>
      <c r="Q346" s="6"/>
      <c r="R346" s="6"/>
      <c r="S346" s="6"/>
      <c r="T346" s="6"/>
      <c r="U346" s="6"/>
      <c r="V346" s="6"/>
    </row>
    <row r="347" spans="1:22" x14ac:dyDescent="0.3">
      <c r="A347" s="6"/>
      <c r="B347" s="6"/>
      <c r="C347" s="6"/>
      <c r="D347" s="6"/>
      <c r="E347" s="6"/>
      <c r="F347" s="6"/>
      <c r="G347" s="6"/>
      <c r="H347" s="6"/>
      <c r="I347" s="6"/>
      <c r="J347" s="6"/>
      <c r="K347" s="6"/>
      <c r="L347" s="6"/>
      <c r="M347" s="6"/>
      <c r="N347" s="6"/>
      <c r="O347" s="6"/>
      <c r="P347" s="6"/>
      <c r="Q347" s="6"/>
      <c r="R347" s="6"/>
      <c r="S347" s="6"/>
      <c r="T347" s="6"/>
      <c r="U347" s="6"/>
      <c r="V347" s="6"/>
    </row>
    <row r="348" spans="1:22" x14ac:dyDescent="0.3">
      <c r="A348" s="6"/>
      <c r="B348" s="6"/>
      <c r="C348" s="6"/>
      <c r="D348" s="6"/>
      <c r="E348" s="6"/>
      <c r="F348" s="6"/>
      <c r="G348" s="6"/>
      <c r="H348" s="6"/>
      <c r="I348" s="6"/>
      <c r="J348" s="6"/>
      <c r="K348" s="6"/>
      <c r="L348" s="6"/>
      <c r="M348" s="6"/>
      <c r="N348" s="6"/>
      <c r="O348" s="6"/>
      <c r="P348" s="6"/>
      <c r="Q348" s="6"/>
      <c r="R348" s="6"/>
      <c r="S348" s="6"/>
      <c r="T348" s="6"/>
      <c r="U348" s="6"/>
      <c r="V348" s="6"/>
    </row>
    <row r="349" spans="1:22" x14ac:dyDescent="0.3">
      <c r="A349" s="6"/>
      <c r="B349" s="6"/>
      <c r="C349" s="6"/>
      <c r="D349" s="6"/>
      <c r="E349" s="6"/>
      <c r="F349" s="6"/>
      <c r="G349" s="6"/>
      <c r="H349" s="6"/>
      <c r="I349" s="6"/>
      <c r="J349" s="6"/>
      <c r="K349" s="6"/>
      <c r="L349" s="6"/>
      <c r="M349" s="6"/>
      <c r="N349" s="6"/>
      <c r="O349" s="6"/>
      <c r="P349" s="6"/>
      <c r="Q349" s="6"/>
      <c r="R349" s="6"/>
      <c r="S349" s="6"/>
      <c r="T349" s="6"/>
      <c r="U349" s="6"/>
      <c r="V349" s="6"/>
    </row>
    <row r="350" spans="1:22" x14ac:dyDescent="0.3">
      <c r="A350" s="6"/>
      <c r="B350" s="6"/>
      <c r="C350" s="6"/>
      <c r="D350" s="6"/>
      <c r="E350" s="6"/>
      <c r="F350" s="6"/>
      <c r="G350" s="6"/>
      <c r="H350" s="6"/>
      <c r="I350" s="6"/>
      <c r="J350" s="6"/>
      <c r="K350" s="6"/>
      <c r="L350" s="6"/>
      <c r="M350" s="6"/>
      <c r="N350" s="6"/>
      <c r="O350" s="6"/>
      <c r="P350" s="6"/>
      <c r="Q350" s="6"/>
      <c r="R350" s="6"/>
      <c r="S350" s="6"/>
      <c r="T350" s="6"/>
      <c r="U350" s="6"/>
      <c r="V350" s="6"/>
    </row>
    <row r="351" spans="1:22" x14ac:dyDescent="0.3">
      <c r="A351" s="6"/>
      <c r="B351" s="6"/>
      <c r="C351" s="6"/>
      <c r="D351" s="6"/>
      <c r="E351" s="6"/>
      <c r="F351" s="6"/>
      <c r="G351" s="6"/>
      <c r="H351" s="6"/>
      <c r="I351" s="6"/>
      <c r="J351" s="6"/>
      <c r="K351" s="6"/>
      <c r="L351" s="6"/>
      <c r="M351" s="6"/>
      <c r="N351" s="6"/>
      <c r="O351" s="6"/>
      <c r="P351" s="6"/>
      <c r="Q351" s="6"/>
      <c r="R351" s="6"/>
      <c r="S351" s="6"/>
      <c r="T351" s="6"/>
      <c r="U351" s="6"/>
      <c r="V351" s="6"/>
    </row>
    <row r="352" spans="1:22" x14ac:dyDescent="0.3">
      <c r="A352" s="6"/>
      <c r="B352" s="6"/>
      <c r="C352" s="6"/>
      <c r="D352" s="6"/>
      <c r="E352" s="6"/>
      <c r="F352" s="6"/>
      <c r="G352" s="6"/>
      <c r="H352" s="6"/>
      <c r="I352" s="6"/>
      <c r="J352" s="6"/>
      <c r="K352" s="6"/>
      <c r="L352" s="6"/>
      <c r="M352" s="6"/>
      <c r="N352" s="6"/>
      <c r="O352" s="6"/>
      <c r="P352" s="6"/>
      <c r="Q352" s="6"/>
      <c r="R352" s="6"/>
      <c r="S352" s="6"/>
      <c r="T352" s="6"/>
      <c r="U352" s="6"/>
      <c r="V352" s="6"/>
    </row>
    <row r="353" spans="1:22" x14ac:dyDescent="0.3">
      <c r="A353" s="6"/>
      <c r="B353" s="6"/>
      <c r="C353" s="6"/>
      <c r="D353" s="6"/>
      <c r="E353" s="6"/>
      <c r="F353" s="6"/>
      <c r="G353" s="6"/>
      <c r="H353" s="6"/>
      <c r="I353" s="6"/>
      <c r="J353" s="6"/>
      <c r="K353" s="6"/>
      <c r="L353" s="6"/>
      <c r="M353" s="6"/>
      <c r="N353" s="6"/>
      <c r="O353" s="6"/>
      <c r="P353" s="6"/>
      <c r="Q353" s="6"/>
      <c r="R353" s="6"/>
      <c r="S353" s="6"/>
      <c r="T353" s="6"/>
      <c r="U353" s="6"/>
      <c r="V353" s="6"/>
    </row>
    <row r="354" spans="1:22" x14ac:dyDescent="0.3">
      <c r="A354" s="6"/>
      <c r="B354" s="6"/>
      <c r="C354" s="6"/>
      <c r="D354" s="6"/>
      <c r="E354" s="6"/>
      <c r="F354" s="6"/>
      <c r="G354" s="6"/>
      <c r="H354" s="6"/>
      <c r="I354" s="6"/>
      <c r="J354" s="6"/>
      <c r="K354" s="6"/>
      <c r="L354" s="6"/>
      <c r="M354" s="6"/>
      <c r="N354" s="6"/>
      <c r="O354" s="6"/>
      <c r="P354" s="6"/>
      <c r="Q354" s="6"/>
      <c r="R354" s="6"/>
      <c r="S354" s="6"/>
      <c r="T354" s="6"/>
      <c r="U354" s="6"/>
      <c r="V354" s="6"/>
    </row>
    <row r="355" spans="1:22" x14ac:dyDescent="0.3">
      <c r="A355" s="6"/>
      <c r="B355" s="6"/>
      <c r="C355" s="6"/>
      <c r="D355" s="6"/>
      <c r="E355" s="6"/>
      <c r="F355" s="6"/>
      <c r="G355" s="6"/>
      <c r="H355" s="6"/>
      <c r="I355" s="6"/>
      <c r="J355" s="6"/>
      <c r="K355" s="6"/>
      <c r="L355" s="6"/>
      <c r="M355" s="6"/>
      <c r="N355" s="6"/>
      <c r="O355" s="6"/>
      <c r="P355" s="6"/>
      <c r="Q355" s="6"/>
      <c r="R355" s="6"/>
      <c r="S355" s="6"/>
      <c r="T355" s="6"/>
      <c r="U355" s="6"/>
      <c r="V355" s="6"/>
    </row>
    <row r="356" spans="1:22" x14ac:dyDescent="0.3">
      <c r="A356" s="6"/>
      <c r="B356" s="6"/>
      <c r="C356" s="6"/>
      <c r="D356" s="6"/>
      <c r="E356" s="6"/>
      <c r="F356" s="6"/>
      <c r="G356" s="6"/>
      <c r="H356" s="6"/>
      <c r="I356" s="6"/>
      <c r="J356" s="6"/>
      <c r="K356" s="6"/>
      <c r="L356" s="6"/>
      <c r="M356" s="6"/>
      <c r="N356" s="6"/>
      <c r="O356" s="6"/>
      <c r="P356" s="6"/>
      <c r="Q356" s="6"/>
      <c r="R356" s="6"/>
      <c r="S356" s="6"/>
      <c r="T356" s="6"/>
      <c r="U356" s="6"/>
      <c r="V356" s="6"/>
    </row>
    <row r="357" spans="1:22" x14ac:dyDescent="0.3">
      <c r="A357" s="6"/>
      <c r="B357" s="6"/>
      <c r="C357" s="6"/>
      <c r="D357" s="6"/>
      <c r="E357" s="6"/>
      <c r="F357" s="6"/>
      <c r="G357" s="6"/>
      <c r="H357" s="6"/>
      <c r="I357" s="6"/>
      <c r="J357" s="6"/>
      <c r="K357" s="6"/>
      <c r="L357" s="6"/>
      <c r="M357" s="6"/>
      <c r="N357" s="6"/>
      <c r="O357" s="6"/>
      <c r="P357" s="6"/>
      <c r="Q357" s="6"/>
      <c r="R357" s="6"/>
      <c r="S357" s="6"/>
      <c r="T357" s="6"/>
      <c r="U357" s="6"/>
      <c r="V357" s="6"/>
    </row>
    <row r="358" spans="1:22" x14ac:dyDescent="0.3">
      <c r="A358" s="6"/>
      <c r="B358" s="6"/>
      <c r="C358" s="6"/>
      <c r="D358" s="6"/>
      <c r="E358" s="6"/>
      <c r="F358" s="6"/>
      <c r="G358" s="6"/>
      <c r="H358" s="6"/>
      <c r="I358" s="6"/>
      <c r="J358" s="6"/>
      <c r="K358" s="6"/>
      <c r="L358" s="6"/>
      <c r="M358" s="6"/>
      <c r="N358" s="6"/>
      <c r="O358" s="6"/>
      <c r="P358" s="6"/>
      <c r="Q358" s="6"/>
      <c r="R358" s="6"/>
      <c r="S358" s="6"/>
      <c r="T358" s="6"/>
      <c r="U358" s="6"/>
      <c r="V358" s="6"/>
    </row>
    <row r="359" spans="1:22" x14ac:dyDescent="0.3">
      <c r="A359" s="6"/>
      <c r="B359" s="6"/>
      <c r="C359" s="6"/>
      <c r="D359" s="6"/>
      <c r="E359" s="6"/>
      <c r="F359" s="6"/>
      <c r="G359" s="6"/>
      <c r="H359" s="6"/>
      <c r="I359" s="6"/>
      <c r="J359" s="6"/>
      <c r="K359" s="6"/>
      <c r="L359" s="6"/>
      <c r="M359" s="6"/>
      <c r="N359" s="6"/>
      <c r="O359" s="6"/>
      <c r="P359" s="6"/>
      <c r="Q359" s="6"/>
      <c r="R359" s="6"/>
      <c r="S359" s="6"/>
      <c r="T359" s="6"/>
      <c r="U359" s="6"/>
      <c r="V359" s="6"/>
    </row>
    <row r="360" spans="1:22" x14ac:dyDescent="0.3">
      <c r="A360" s="6"/>
      <c r="B360" s="6"/>
      <c r="C360" s="6"/>
      <c r="D360" s="6"/>
      <c r="E360" s="6"/>
      <c r="F360" s="6"/>
      <c r="G360" s="6"/>
      <c r="H360" s="6"/>
      <c r="I360" s="6"/>
      <c r="J360" s="6"/>
      <c r="K360" s="6"/>
      <c r="L360" s="6"/>
      <c r="M360" s="6"/>
      <c r="N360" s="6"/>
      <c r="O360" s="6"/>
      <c r="P360" s="6"/>
      <c r="Q360" s="6"/>
      <c r="R360" s="6"/>
      <c r="S360" s="6"/>
      <c r="T360" s="6"/>
      <c r="U360" s="6"/>
      <c r="V360" s="6"/>
    </row>
    <row r="361" spans="1:22" x14ac:dyDescent="0.3">
      <c r="A361" s="6"/>
      <c r="B361" s="6"/>
      <c r="C361" s="6"/>
      <c r="D361" s="6"/>
      <c r="E361" s="6"/>
      <c r="F361" s="6"/>
      <c r="G361" s="6"/>
      <c r="H361" s="6"/>
      <c r="I361" s="6"/>
      <c r="J361" s="6"/>
      <c r="K361" s="6"/>
      <c r="L361" s="6"/>
      <c r="M361" s="6"/>
      <c r="N361" s="6"/>
      <c r="O361" s="6"/>
      <c r="P361" s="6"/>
      <c r="Q361" s="6"/>
      <c r="R361" s="6"/>
      <c r="S361" s="6"/>
      <c r="T361" s="6"/>
      <c r="U361" s="6"/>
      <c r="V361" s="6"/>
    </row>
    <row r="362" spans="1:22" x14ac:dyDescent="0.3">
      <c r="A362" s="6"/>
      <c r="B362" s="6"/>
      <c r="C362" s="6"/>
      <c r="D362" s="6"/>
      <c r="E362" s="6"/>
      <c r="F362" s="6"/>
      <c r="G362" s="6"/>
      <c r="H362" s="6"/>
      <c r="I362" s="6"/>
      <c r="J362" s="6"/>
      <c r="K362" s="6"/>
      <c r="L362" s="6"/>
      <c r="M362" s="6"/>
      <c r="N362" s="6"/>
      <c r="O362" s="6"/>
      <c r="P362" s="6"/>
      <c r="Q362" s="6"/>
      <c r="R362" s="6"/>
      <c r="S362" s="6"/>
      <c r="T362" s="6"/>
      <c r="U362" s="6"/>
      <c r="V362" s="6"/>
    </row>
    <row r="363" spans="1:22" x14ac:dyDescent="0.3">
      <c r="A363" s="6"/>
      <c r="B363" s="6"/>
      <c r="C363" s="6"/>
      <c r="D363" s="6"/>
      <c r="E363" s="6"/>
      <c r="F363" s="6"/>
      <c r="G363" s="6"/>
      <c r="H363" s="6"/>
      <c r="I363" s="6"/>
      <c r="J363" s="6"/>
      <c r="K363" s="6"/>
      <c r="L363" s="6"/>
      <c r="M363" s="6"/>
      <c r="N363" s="6"/>
      <c r="O363" s="6"/>
      <c r="P363" s="6"/>
      <c r="Q363" s="6"/>
      <c r="R363" s="6"/>
      <c r="S363" s="6"/>
      <c r="T363" s="6"/>
      <c r="U363" s="6"/>
      <c r="V363" s="6"/>
    </row>
    <row r="364" spans="1:22" x14ac:dyDescent="0.3">
      <c r="A364" s="6"/>
      <c r="B364" s="6"/>
      <c r="C364" s="6"/>
      <c r="D364" s="6"/>
      <c r="E364" s="6"/>
      <c r="F364" s="6"/>
      <c r="G364" s="6"/>
      <c r="H364" s="6"/>
      <c r="I364" s="6"/>
      <c r="J364" s="6"/>
      <c r="K364" s="6"/>
      <c r="L364" s="6"/>
      <c r="M364" s="6"/>
      <c r="N364" s="6"/>
      <c r="O364" s="6"/>
      <c r="P364" s="6"/>
      <c r="Q364" s="6"/>
      <c r="R364" s="6"/>
      <c r="S364" s="6"/>
      <c r="T364" s="6"/>
      <c r="U364" s="6"/>
      <c r="V364" s="6"/>
    </row>
    <row r="365" spans="1:22" x14ac:dyDescent="0.3">
      <c r="A365" s="6"/>
      <c r="B365" s="6"/>
      <c r="C365" s="6"/>
      <c r="D365" s="6"/>
      <c r="E365" s="6"/>
      <c r="F365" s="6"/>
      <c r="G365" s="6"/>
      <c r="H365" s="6"/>
      <c r="I365" s="6"/>
      <c r="J365" s="6"/>
      <c r="K365" s="6"/>
      <c r="L365" s="6"/>
      <c r="M365" s="6"/>
      <c r="N365" s="6"/>
      <c r="O365" s="6"/>
      <c r="P365" s="6"/>
      <c r="Q365" s="6"/>
      <c r="R365" s="6"/>
      <c r="S365" s="6"/>
      <c r="T365" s="6"/>
      <c r="U365" s="6"/>
      <c r="V365" s="6"/>
    </row>
    <row r="366" spans="1:22" x14ac:dyDescent="0.3">
      <c r="A366" s="6"/>
      <c r="B366" s="6"/>
      <c r="C366" s="6"/>
      <c r="D366" s="6"/>
      <c r="E366" s="6"/>
      <c r="F366" s="6"/>
      <c r="G366" s="6"/>
      <c r="H366" s="6"/>
      <c r="I366" s="6"/>
      <c r="J366" s="6"/>
      <c r="K366" s="6"/>
      <c r="L366" s="6"/>
      <c r="M366" s="6"/>
      <c r="N366" s="6"/>
      <c r="O366" s="6"/>
      <c r="P366" s="6"/>
      <c r="Q366" s="6"/>
      <c r="R366" s="6"/>
      <c r="S366" s="6"/>
      <c r="T366" s="6"/>
      <c r="U366" s="6"/>
      <c r="V366" s="6"/>
    </row>
    <row r="367" spans="1:22" x14ac:dyDescent="0.3">
      <c r="A367" s="6"/>
      <c r="B367" s="6"/>
      <c r="C367" s="6"/>
      <c r="D367" s="6"/>
      <c r="E367" s="6"/>
      <c r="F367" s="6"/>
      <c r="G367" s="6"/>
      <c r="H367" s="6"/>
      <c r="I367" s="6"/>
      <c r="J367" s="6"/>
      <c r="K367" s="6"/>
      <c r="L367" s="6"/>
      <c r="M367" s="6"/>
      <c r="N367" s="6"/>
      <c r="O367" s="6"/>
      <c r="P367" s="6"/>
      <c r="Q367" s="6"/>
      <c r="R367" s="6"/>
      <c r="S367" s="6"/>
      <c r="T367" s="6"/>
      <c r="U367" s="6"/>
      <c r="V367" s="6"/>
    </row>
    <row r="368" spans="1:22" x14ac:dyDescent="0.3">
      <c r="A368" s="6"/>
      <c r="B368" s="6"/>
      <c r="C368" s="6"/>
      <c r="D368" s="6"/>
      <c r="E368" s="6"/>
      <c r="F368" s="6"/>
      <c r="G368" s="6"/>
      <c r="H368" s="6"/>
      <c r="I368" s="6"/>
      <c r="J368" s="6"/>
      <c r="K368" s="6"/>
      <c r="L368" s="6"/>
      <c r="M368" s="6"/>
      <c r="N368" s="6"/>
      <c r="O368" s="6"/>
      <c r="P368" s="6"/>
      <c r="Q368" s="6"/>
      <c r="R368" s="6"/>
      <c r="S368" s="6"/>
      <c r="T368" s="6"/>
      <c r="U368" s="6"/>
      <c r="V368" s="6"/>
    </row>
    <row r="369" spans="1:22" x14ac:dyDescent="0.3">
      <c r="A369" s="6"/>
      <c r="B369" s="6"/>
      <c r="C369" s="6"/>
      <c r="D369" s="6"/>
      <c r="E369" s="6"/>
      <c r="F369" s="6"/>
      <c r="G369" s="6"/>
      <c r="H369" s="6"/>
      <c r="I369" s="6"/>
      <c r="J369" s="6"/>
      <c r="K369" s="6"/>
      <c r="L369" s="6"/>
      <c r="M369" s="6"/>
      <c r="N369" s="6"/>
      <c r="O369" s="6"/>
      <c r="P369" s="6"/>
      <c r="Q369" s="6"/>
      <c r="R369" s="6"/>
      <c r="S369" s="6"/>
      <c r="T369" s="6"/>
      <c r="U369" s="6"/>
      <c r="V369" s="6"/>
    </row>
    <row r="370" spans="1:22" x14ac:dyDescent="0.3">
      <c r="A370" s="6"/>
      <c r="B370" s="6"/>
      <c r="C370" s="6"/>
      <c r="D370" s="6"/>
      <c r="E370" s="6"/>
      <c r="F370" s="6"/>
      <c r="G370" s="6"/>
      <c r="H370" s="6"/>
      <c r="I370" s="6"/>
      <c r="J370" s="6"/>
      <c r="K370" s="6"/>
      <c r="L370" s="6"/>
      <c r="M370" s="6"/>
      <c r="N370" s="6"/>
      <c r="O370" s="6"/>
      <c r="P370" s="6"/>
      <c r="Q370" s="6"/>
      <c r="R370" s="6"/>
      <c r="S370" s="6"/>
      <c r="T370" s="6"/>
      <c r="U370" s="6"/>
      <c r="V370" s="6"/>
    </row>
    <row r="371" spans="1:22" x14ac:dyDescent="0.3">
      <c r="A371" s="6"/>
      <c r="B371" s="6"/>
      <c r="C371" s="6"/>
      <c r="D371" s="6"/>
      <c r="E371" s="6"/>
      <c r="F371" s="6"/>
      <c r="G371" s="6"/>
      <c r="H371" s="6"/>
      <c r="I371" s="6"/>
      <c r="J371" s="6"/>
      <c r="K371" s="6"/>
      <c r="L371" s="6"/>
      <c r="M371" s="6"/>
      <c r="N371" s="6"/>
      <c r="O371" s="6"/>
      <c r="P371" s="6"/>
      <c r="Q371" s="6"/>
      <c r="R371" s="6"/>
      <c r="S371" s="6"/>
      <c r="T371" s="6"/>
      <c r="U371" s="6"/>
      <c r="V371" s="6"/>
    </row>
    <row r="372" spans="1:22" x14ac:dyDescent="0.3">
      <c r="A372" s="6"/>
      <c r="B372" s="6"/>
      <c r="C372" s="6"/>
      <c r="D372" s="6"/>
      <c r="E372" s="6"/>
      <c r="F372" s="6"/>
      <c r="G372" s="6"/>
      <c r="H372" s="6"/>
      <c r="I372" s="6"/>
      <c r="J372" s="6"/>
      <c r="K372" s="6"/>
      <c r="L372" s="6"/>
      <c r="M372" s="6"/>
      <c r="N372" s="6"/>
      <c r="O372" s="6"/>
      <c r="P372" s="6"/>
      <c r="Q372" s="6"/>
      <c r="R372" s="6"/>
      <c r="S372" s="6"/>
      <c r="T372" s="6"/>
      <c r="U372" s="6"/>
      <c r="V372" s="6"/>
    </row>
    <row r="373" spans="1:22" x14ac:dyDescent="0.3">
      <c r="A373" s="6"/>
      <c r="B373" s="6"/>
      <c r="C373" s="6"/>
      <c r="D373" s="6"/>
      <c r="E373" s="6"/>
      <c r="F373" s="6"/>
      <c r="G373" s="6"/>
      <c r="H373" s="6"/>
      <c r="I373" s="6"/>
      <c r="J373" s="6"/>
      <c r="K373" s="6"/>
      <c r="L373" s="6"/>
      <c r="M373" s="6"/>
      <c r="N373" s="6"/>
      <c r="O373" s="6"/>
      <c r="P373" s="6"/>
      <c r="Q373" s="6"/>
      <c r="R373" s="6"/>
      <c r="S373" s="6"/>
      <c r="T373" s="6"/>
      <c r="U373" s="6"/>
      <c r="V373" s="6"/>
    </row>
    <row r="374" spans="1:22" x14ac:dyDescent="0.3">
      <c r="A374" s="6"/>
      <c r="B374" s="6"/>
      <c r="C374" s="6"/>
      <c r="D374" s="6"/>
      <c r="E374" s="6"/>
      <c r="F374" s="6"/>
      <c r="G374" s="6"/>
      <c r="H374" s="6"/>
      <c r="I374" s="6"/>
      <c r="J374" s="6"/>
      <c r="K374" s="6"/>
      <c r="L374" s="6"/>
      <c r="M374" s="6"/>
      <c r="N374" s="6"/>
      <c r="O374" s="6"/>
      <c r="P374" s="6"/>
      <c r="Q374" s="6"/>
      <c r="R374" s="6"/>
      <c r="S374" s="6"/>
      <c r="T374" s="6"/>
      <c r="U374" s="6"/>
      <c r="V374" s="6"/>
    </row>
    <row r="375" spans="1:22" x14ac:dyDescent="0.3">
      <c r="A375" s="6"/>
      <c r="B375" s="6"/>
      <c r="C375" s="6"/>
      <c r="D375" s="6"/>
      <c r="E375" s="6"/>
      <c r="F375" s="6"/>
      <c r="G375" s="6"/>
      <c r="H375" s="6"/>
      <c r="I375" s="6"/>
      <c r="J375" s="6"/>
      <c r="K375" s="6"/>
      <c r="L375" s="6"/>
      <c r="M375" s="6"/>
      <c r="N375" s="6"/>
      <c r="O375" s="6"/>
      <c r="P375" s="6"/>
      <c r="Q375" s="6"/>
      <c r="R375" s="6"/>
      <c r="S375" s="6"/>
      <c r="T375" s="6"/>
      <c r="U375" s="6"/>
      <c r="V375" s="6"/>
    </row>
    <row r="376" spans="1:22" x14ac:dyDescent="0.3">
      <c r="A376" s="6"/>
      <c r="B376" s="6"/>
      <c r="C376" s="6"/>
      <c r="D376" s="6"/>
      <c r="E376" s="6"/>
      <c r="F376" s="6"/>
      <c r="G376" s="6"/>
      <c r="H376" s="6"/>
      <c r="I376" s="6"/>
      <c r="J376" s="6"/>
      <c r="K376" s="6"/>
      <c r="L376" s="6"/>
      <c r="M376" s="6"/>
      <c r="N376" s="6"/>
      <c r="O376" s="6"/>
      <c r="P376" s="6"/>
      <c r="Q376" s="6"/>
      <c r="R376" s="6"/>
      <c r="S376" s="6"/>
      <c r="T376" s="6"/>
      <c r="U376" s="6"/>
      <c r="V376" s="6"/>
    </row>
    <row r="377" spans="1:22" x14ac:dyDescent="0.3">
      <c r="A377" s="6"/>
      <c r="B377" s="6"/>
      <c r="C377" s="6"/>
      <c r="D377" s="6"/>
      <c r="E377" s="6"/>
      <c r="F377" s="6"/>
      <c r="G377" s="6"/>
      <c r="H377" s="6"/>
      <c r="I377" s="6"/>
      <c r="J377" s="6"/>
      <c r="K377" s="6"/>
      <c r="L377" s="6"/>
      <c r="M377" s="6"/>
      <c r="N377" s="6"/>
      <c r="O377" s="6"/>
      <c r="P377" s="6"/>
      <c r="Q377" s="6"/>
      <c r="R377" s="6"/>
      <c r="S377" s="6"/>
      <c r="T377" s="6"/>
      <c r="U377" s="6"/>
      <c r="V377" s="6"/>
    </row>
    <row r="378" spans="1:22" x14ac:dyDescent="0.3">
      <c r="A378" s="6"/>
      <c r="B378" s="6"/>
      <c r="C378" s="6"/>
      <c r="D378" s="6"/>
      <c r="E378" s="6"/>
      <c r="F378" s="6"/>
      <c r="G378" s="6"/>
      <c r="H378" s="6"/>
      <c r="I378" s="6"/>
      <c r="J378" s="6"/>
      <c r="K378" s="6"/>
      <c r="L378" s="6"/>
      <c r="M378" s="6"/>
      <c r="N378" s="6"/>
      <c r="O378" s="6"/>
      <c r="P378" s="6"/>
      <c r="Q378" s="6"/>
      <c r="R378" s="6"/>
      <c r="S378" s="6"/>
      <c r="T378" s="6"/>
      <c r="U378" s="6"/>
      <c r="V378" s="6"/>
    </row>
    <row r="379" spans="1:22" x14ac:dyDescent="0.3">
      <c r="A379" s="6"/>
      <c r="B379" s="6"/>
      <c r="C379" s="6"/>
      <c r="D379" s="6"/>
      <c r="E379" s="6"/>
      <c r="F379" s="6"/>
      <c r="G379" s="6"/>
      <c r="H379" s="6"/>
      <c r="I379" s="6"/>
      <c r="J379" s="6"/>
      <c r="K379" s="6"/>
      <c r="L379" s="6"/>
      <c r="M379" s="6"/>
      <c r="N379" s="6"/>
      <c r="O379" s="6"/>
      <c r="P379" s="6"/>
      <c r="Q379" s="6"/>
      <c r="R379" s="6"/>
      <c r="S379" s="6"/>
      <c r="T379" s="6"/>
      <c r="U379" s="6"/>
      <c r="V379" s="6"/>
    </row>
    <row r="380" spans="1:22" x14ac:dyDescent="0.3">
      <c r="A380" s="6"/>
      <c r="B380" s="6"/>
      <c r="C380" s="6"/>
      <c r="D380" s="6"/>
      <c r="E380" s="6"/>
      <c r="F380" s="6"/>
      <c r="G380" s="6"/>
      <c r="H380" s="6"/>
      <c r="I380" s="6"/>
      <c r="J380" s="6"/>
      <c r="K380" s="6"/>
      <c r="L380" s="6"/>
      <c r="M380" s="6"/>
      <c r="N380" s="6"/>
      <c r="O380" s="6"/>
      <c r="P380" s="6"/>
      <c r="Q380" s="6"/>
      <c r="R380" s="6"/>
      <c r="S380" s="6"/>
      <c r="T380" s="6"/>
      <c r="U380" s="6"/>
      <c r="V380" s="6"/>
    </row>
    <row r="381" spans="1:22" x14ac:dyDescent="0.3">
      <c r="A381" s="6"/>
      <c r="B381" s="6"/>
      <c r="C381" s="6"/>
      <c r="D381" s="6"/>
      <c r="E381" s="6"/>
      <c r="F381" s="6"/>
      <c r="G381" s="6"/>
      <c r="H381" s="6"/>
      <c r="I381" s="6"/>
      <c r="J381" s="6"/>
      <c r="K381" s="6"/>
      <c r="L381" s="6"/>
      <c r="M381" s="6"/>
      <c r="N381" s="6"/>
      <c r="O381" s="6"/>
      <c r="P381" s="6"/>
      <c r="Q381" s="6"/>
      <c r="R381" s="6"/>
      <c r="S381" s="6"/>
      <c r="T381" s="6"/>
      <c r="U381" s="6"/>
      <c r="V381" s="6"/>
    </row>
    <row r="382" spans="1:22" x14ac:dyDescent="0.3">
      <c r="A382" s="6"/>
      <c r="B382" s="6"/>
      <c r="C382" s="6"/>
      <c r="D382" s="6"/>
      <c r="E382" s="6"/>
      <c r="F382" s="6"/>
      <c r="G382" s="6"/>
      <c r="H382" s="6"/>
      <c r="I382" s="6"/>
      <c r="J382" s="6"/>
      <c r="K382" s="6"/>
      <c r="L382" s="6"/>
      <c r="M382" s="6"/>
      <c r="N382" s="6"/>
      <c r="O382" s="6"/>
      <c r="P382" s="6"/>
      <c r="Q382" s="6"/>
      <c r="R382" s="6"/>
      <c r="S382" s="6"/>
      <c r="T382" s="6"/>
      <c r="U382" s="6"/>
      <c r="V382" s="6"/>
    </row>
    <row r="383" spans="1:22" x14ac:dyDescent="0.3">
      <c r="A383" s="6"/>
      <c r="B383" s="6"/>
      <c r="C383" s="6"/>
      <c r="D383" s="6"/>
      <c r="E383" s="6"/>
      <c r="F383" s="6"/>
      <c r="G383" s="6"/>
      <c r="H383" s="6"/>
      <c r="I383" s="6"/>
      <c r="J383" s="6"/>
      <c r="K383" s="6"/>
      <c r="L383" s="6"/>
      <c r="M383" s="6"/>
      <c r="N383" s="6"/>
      <c r="O383" s="6"/>
      <c r="P383" s="6"/>
      <c r="Q383" s="6"/>
      <c r="R383" s="6"/>
      <c r="S383" s="6"/>
      <c r="T383" s="6"/>
      <c r="U383" s="6"/>
      <c r="V383" s="6"/>
    </row>
    <row r="384" spans="1:22" x14ac:dyDescent="0.3">
      <c r="A384" s="6"/>
      <c r="B384" s="6"/>
      <c r="C384" s="6"/>
      <c r="D384" s="6"/>
      <c r="E384" s="6"/>
      <c r="F384" s="6"/>
      <c r="G384" s="6"/>
      <c r="H384" s="6"/>
      <c r="I384" s="6"/>
      <c r="J384" s="6"/>
      <c r="K384" s="6"/>
      <c r="L384" s="6"/>
      <c r="M384" s="6"/>
      <c r="N384" s="6"/>
      <c r="O384" s="6"/>
      <c r="P384" s="6"/>
      <c r="Q384" s="6"/>
      <c r="R384" s="6"/>
      <c r="S384" s="6"/>
      <c r="T384" s="6"/>
      <c r="U384" s="6"/>
      <c r="V384" s="6"/>
    </row>
    <row r="385" spans="1:22" x14ac:dyDescent="0.3">
      <c r="A385" s="6"/>
      <c r="B385" s="6"/>
      <c r="C385" s="6"/>
      <c r="D385" s="6"/>
      <c r="E385" s="6"/>
      <c r="F385" s="6"/>
      <c r="G385" s="6"/>
      <c r="H385" s="6"/>
      <c r="I385" s="6"/>
      <c r="J385" s="6"/>
      <c r="K385" s="6"/>
      <c r="L385" s="6"/>
      <c r="M385" s="6"/>
      <c r="N385" s="6"/>
      <c r="O385" s="6"/>
      <c r="P385" s="6"/>
      <c r="Q385" s="6"/>
      <c r="R385" s="6"/>
      <c r="S385" s="6"/>
      <c r="T385" s="6"/>
      <c r="U385" s="6"/>
      <c r="V385" s="6"/>
    </row>
    <row r="386" spans="1:22" x14ac:dyDescent="0.3">
      <c r="A386" s="6"/>
      <c r="B386" s="6"/>
      <c r="C386" s="6"/>
      <c r="D386" s="6"/>
      <c r="E386" s="6"/>
      <c r="F386" s="6"/>
      <c r="G386" s="6"/>
      <c r="H386" s="6"/>
      <c r="I386" s="6"/>
      <c r="J386" s="6"/>
      <c r="K386" s="6"/>
      <c r="L386" s="6"/>
      <c r="M386" s="6"/>
      <c r="N386" s="6"/>
      <c r="O386" s="6"/>
      <c r="P386" s="6"/>
      <c r="Q386" s="6"/>
      <c r="R386" s="6"/>
      <c r="S386" s="6"/>
      <c r="T386" s="6"/>
      <c r="U386" s="6"/>
      <c r="V386" s="6"/>
    </row>
    <row r="387" spans="1:22" x14ac:dyDescent="0.3">
      <c r="A387" s="6"/>
      <c r="B387" s="6"/>
      <c r="C387" s="6"/>
      <c r="D387" s="6"/>
      <c r="E387" s="6"/>
      <c r="F387" s="6"/>
      <c r="G387" s="6"/>
      <c r="H387" s="6"/>
      <c r="I387" s="6"/>
      <c r="J387" s="6"/>
      <c r="K387" s="6"/>
      <c r="L387" s="6"/>
      <c r="M387" s="6"/>
      <c r="N387" s="6"/>
      <c r="O387" s="6"/>
      <c r="P387" s="6"/>
      <c r="Q387" s="6"/>
      <c r="R387" s="6"/>
      <c r="S387" s="6"/>
      <c r="T387" s="6"/>
      <c r="U387" s="6"/>
      <c r="V387" s="6"/>
    </row>
    <row r="388" spans="1:22" x14ac:dyDescent="0.3">
      <c r="A388" s="6"/>
      <c r="B388" s="6"/>
      <c r="C388" s="6"/>
      <c r="D388" s="6"/>
      <c r="E388" s="6"/>
      <c r="F388" s="6"/>
      <c r="G388" s="6"/>
      <c r="H388" s="6"/>
      <c r="I388" s="6"/>
      <c r="J388" s="6"/>
      <c r="K388" s="6"/>
      <c r="L388" s="6"/>
      <c r="M388" s="6"/>
      <c r="N388" s="6"/>
      <c r="O388" s="6"/>
      <c r="P388" s="6"/>
      <c r="Q388" s="6"/>
      <c r="R388" s="6"/>
      <c r="S388" s="6"/>
      <c r="T388" s="6"/>
      <c r="U388" s="6"/>
      <c r="V388" s="6"/>
    </row>
    <row r="389" spans="1:22" x14ac:dyDescent="0.3">
      <c r="A389" s="6"/>
      <c r="B389" s="6"/>
      <c r="C389" s="6"/>
      <c r="D389" s="6"/>
      <c r="E389" s="6"/>
      <c r="F389" s="6"/>
      <c r="G389" s="6"/>
      <c r="H389" s="6"/>
      <c r="I389" s="6"/>
      <c r="J389" s="6"/>
      <c r="K389" s="6"/>
      <c r="L389" s="6"/>
      <c r="M389" s="6"/>
      <c r="N389" s="6"/>
      <c r="O389" s="6"/>
      <c r="P389" s="6"/>
      <c r="Q389" s="6"/>
      <c r="R389" s="6"/>
      <c r="S389" s="6"/>
      <c r="T389" s="6"/>
      <c r="U389" s="6"/>
      <c r="V389" s="6"/>
    </row>
    <row r="390" spans="1:22" x14ac:dyDescent="0.3">
      <c r="A390" s="6"/>
      <c r="B390" s="6"/>
      <c r="C390" s="6"/>
      <c r="D390" s="6"/>
      <c r="E390" s="6"/>
      <c r="F390" s="6"/>
      <c r="G390" s="6"/>
      <c r="H390" s="6"/>
      <c r="I390" s="6"/>
      <c r="J390" s="6"/>
      <c r="K390" s="6"/>
      <c r="L390" s="6"/>
      <c r="M390" s="6"/>
      <c r="N390" s="6"/>
      <c r="O390" s="6"/>
      <c r="P390" s="6"/>
      <c r="Q390" s="6"/>
      <c r="R390" s="6"/>
      <c r="S390" s="6"/>
      <c r="T390" s="6"/>
      <c r="U390" s="6"/>
      <c r="V390" s="6"/>
    </row>
    <row r="391" spans="1:22" x14ac:dyDescent="0.3">
      <c r="A391" s="6"/>
      <c r="B391" s="6"/>
      <c r="C391" s="6"/>
      <c r="D391" s="6"/>
      <c r="E391" s="6"/>
      <c r="F391" s="6"/>
      <c r="G391" s="6"/>
      <c r="H391" s="6"/>
      <c r="I391" s="6"/>
      <c r="J391" s="6"/>
      <c r="K391" s="6"/>
      <c r="L391" s="6"/>
      <c r="M391" s="6"/>
      <c r="N391" s="6"/>
      <c r="O391" s="6"/>
      <c r="P391" s="6"/>
      <c r="Q391" s="6"/>
      <c r="R391" s="6"/>
      <c r="S391" s="6"/>
      <c r="T391" s="6"/>
      <c r="U391" s="6"/>
      <c r="V391" s="6"/>
    </row>
    <row r="392" spans="1:22" x14ac:dyDescent="0.3">
      <c r="A392" s="6"/>
      <c r="B392" s="6"/>
      <c r="C392" s="6"/>
      <c r="D392" s="6"/>
      <c r="E392" s="6"/>
      <c r="F392" s="6"/>
      <c r="G392" s="6"/>
      <c r="H392" s="6"/>
      <c r="I392" s="6"/>
      <c r="J392" s="6"/>
      <c r="K392" s="6"/>
      <c r="L392" s="6"/>
      <c r="M392" s="6"/>
      <c r="N392" s="6"/>
      <c r="O392" s="6"/>
      <c r="P392" s="6"/>
      <c r="Q392" s="6"/>
      <c r="R392" s="6"/>
      <c r="S392" s="6"/>
      <c r="T392" s="6"/>
      <c r="U392" s="6"/>
      <c r="V392" s="6"/>
    </row>
    <row r="393" spans="1:22" x14ac:dyDescent="0.3">
      <c r="A393" s="6"/>
      <c r="B393" s="6"/>
      <c r="C393" s="6"/>
      <c r="D393" s="6"/>
      <c r="E393" s="6"/>
      <c r="F393" s="6"/>
      <c r="G393" s="6"/>
      <c r="H393" s="6"/>
      <c r="I393" s="6"/>
      <c r="J393" s="6"/>
      <c r="K393" s="6"/>
      <c r="L393" s="6"/>
      <c r="M393" s="6"/>
      <c r="N393" s="6"/>
      <c r="O393" s="6"/>
      <c r="P393" s="6"/>
      <c r="Q393" s="6"/>
      <c r="R393" s="6"/>
      <c r="S393" s="6"/>
      <c r="T393" s="6"/>
      <c r="U393" s="6"/>
      <c r="V393" s="6"/>
    </row>
    <row r="394" spans="1:22" x14ac:dyDescent="0.3">
      <c r="A394" s="6"/>
      <c r="B394" s="6"/>
      <c r="C394" s="6"/>
      <c r="D394" s="6"/>
      <c r="E394" s="6"/>
      <c r="F394" s="6"/>
      <c r="G394" s="6"/>
      <c r="H394" s="6"/>
      <c r="I394" s="6"/>
      <c r="J394" s="6"/>
      <c r="K394" s="6"/>
      <c r="L394" s="6"/>
      <c r="M394" s="6"/>
      <c r="N394" s="6"/>
      <c r="O394" s="6"/>
      <c r="P394" s="6"/>
      <c r="Q394" s="6"/>
      <c r="R394" s="6"/>
      <c r="S394" s="6"/>
      <c r="T394" s="6"/>
      <c r="U394" s="6"/>
      <c r="V394" s="6"/>
    </row>
    <row r="395" spans="1:22" x14ac:dyDescent="0.3">
      <c r="A395" s="6"/>
      <c r="B395" s="6"/>
      <c r="C395" s="6"/>
      <c r="D395" s="6"/>
      <c r="E395" s="6"/>
      <c r="F395" s="6"/>
      <c r="G395" s="6"/>
      <c r="H395" s="6"/>
      <c r="I395" s="6"/>
      <c r="J395" s="6"/>
      <c r="K395" s="6"/>
      <c r="L395" s="6"/>
      <c r="M395" s="6"/>
      <c r="N395" s="6"/>
      <c r="O395" s="6"/>
      <c r="P395" s="6"/>
      <c r="Q395" s="6"/>
      <c r="R395" s="6"/>
      <c r="S395" s="6"/>
      <c r="T395" s="6"/>
      <c r="U395" s="6"/>
      <c r="V395" s="6"/>
    </row>
    <row r="396" spans="1:22" x14ac:dyDescent="0.3">
      <c r="A396" s="6"/>
      <c r="B396" s="6"/>
      <c r="C396" s="6"/>
      <c r="D396" s="6"/>
      <c r="E396" s="6"/>
      <c r="F396" s="6"/>
      <c r="G396" s="6"/>
      <c r="H396" s="6"/>
      <c r="I396" s="6"/>
      <c r="J396" s="6"/>
      <c r="K396" s="6"/>
      <c r="L396" s="6"/>
      <c r="M396" s="6"/>
      <c r="N396" s="6"/>
      <c r="O396" s="6"/>
      <c r="P396" s="6"/>
      <c r="Q396" s="6"/>
      <c r="R396" s="6"/>
      <c r="S396" s="6"/>
      <c r="T396" s="6"/>
      <c r="U396" s="6"/>
      <c r="V396" s="6"/>
    </row>
    <row r="397" spans="1:22" x14ac:dyDescent="0.3">
      <c r="A397" s="6"/>
      <c r="B397" s="6"/>
      <c r="C397" s="6"/>
      <c r="D397" s="6"/>
      <c r="E397" s="6"/>
      <c r="F397" s="6"/>
      <c r="G397" s="6"/>
      <c r="H397" s="6"/>
      <c r="I397" s="6"/>
      <c r="J397" s="6"/>
      <c r="K397" s="6"/>
      <c r="L397" s="6"/>
      <c r="M397" s="6"/>
      <c r="N397" s="6"/>
      <c r="O397" s="6"/>
      <c r="P397" s="6"/>
      <c r="Q397" s="6"/>
      <c r="R397" s="6"/>
      <c r="S397" s="6"/>
      <c r="T397" s="6"/>
      <c r="U397" s="6"/>
      <c r="V397" s="6"/>
    </row>
    <row r="398" spans="1:22" x14ac:dyDescent="0.3">
      <c r="A398" s="6"/>
      <c r="B398" s="6"/>
      <c r="C398" s="6"/>
      <c r="D398" s="6"/>
      <c r="E398" s="6"/>
      <c r="F398" s="6"/>
      <c r="G398" s="6"/>
      <c r="H398" s="6"/>
      <c r="I398" s="6"/>
      <c r="J398" s="6"/>
      <c r="K398" s="6"/>
      <c r="L398" s="6"/>
      <c r="M398" s="6"/>
      <c r="N398" s="6"/>
      <c r="O398" s="6"/>
      <c r="P398" s="6"/>
      <c r="Q398" s="6"/>
      <c r="R398" s="6"/>
      <c r="S398" s="6"/>
      <c r="T398" s="6"/>
      <c r="U398" s="6"/>
      <c r="V398" s="6"/>
    </row>
    <row r="399" spans="1:22" x14ac:dyDescent="0.3">
      <c r="A399" s="6"/>
      <c r="B399" s="6"/>
      <c r="C399" s="6"/>
      <c r="D399" s="6"/>
      <c r="E399" s="6"/>
      <c r="F399" s="6"/>
      <c r="G399" s="6"/>
      <c r="H399" s="6"/>
      <c r="I399" s="6"/>
      <c r="J399" s="6"/>
      <c r="K399" s="6"/>
      <c r="L399" s="6"/>
      <c r="M399" s="6"/>
      <c r="N399" s="6"/>
      <c r="O399" s="6"/>
      <c r="P399" s="6"/>
      <c r="Q399" s="6"/>
      <c r="R399" s="6"/>
      <c r="S399" s="6"/>
      <c r="T399" s="6"/>
      <c r="U399" s="6"/>
      <c r="V399" s="6"/>
    </row>
    <row r="400" spans="1:22" x14ac:dyDescent="0.3">
      <c r="A400" s="6"/>
      <c r="B400" s="6"/>
      <c r="C400" s="6"/>
      <c r="D400" s="6"/>
      <c r="E400" s="6"/>
      <c r="F400" s="6"/>
      <c r="G400" s="6"/>
      <c r="H400" s="6"/>
      <c r="I400" s="6"/>
      <c r="J400" s="6"/>
      <c r="K400" s="6"/>
      <c r="L400" s="6"/>
      <c r="M400" s="6"/>
      <c r="N400" s="6"/>
      <c r="O400" s="6"/>
      <c r="P400" s="6"/>
      <c r="Q400" s="6"/>
      <c r="R400" s="6"/>
      <c r="S400" s="6"/>
      <c r="T400" s="6"/>
      <c r="U400" s="6"/>
      <c r="V400" s="6"/>
    </row>
    <row r="401" spans="1:22" x14ac:dyDescent="0.3">
      <c r="A401" s="6"/>
      <c r="B401" s="6"/>
      <c r="C401" s="6"/>
      <c r="D401" s="6"/>
      <c r="E401" s="6"/>
      <c r="F401" s="6"/>
      <c r="G401" s="6"/>
      <c r="H401" s="6"/>
      <c r="I401" s="6"/>
      <c r="J401" s="6"/>
      <c r="K401" s="6"/>
      <c r="L401" s="6"/>
      <c r="M401" s="6"/>
      <c r="N401" s="6"/>
      <c r="O401" s="6"/>
      <c r="P401" s="6"/>
      <c r="Q401" s="6"/>
      <c r="R401" s="6"/>
      <c r="S401" s="6"/>
      <c r="T401" s="6"/>
      <c r="U401" s="6"/>
      <c r="V401" s="6"/>
    </row>
    <row r="402" spans="1:22" x14ac:dyDescent="0.3">
      <c r="A402" s="6"/>
      <c r="B402" s="6"/>
      <c r="C402" s="6"/>
      <c r="D402" s="6"/>
      <c r="E402" s="6"/>
      <c r="F402" s="6"/>
      <c r="G402" s="6"/>
      <c r="H402" s="6"/>
      <c r="I402" s="6"/>
      <c r="J402" s="6"/>
      <c r="K402" s="6"/>
      <c r="L402" s="6"/>
      <c r="M402" s="6"/>
      <c r="N402" s="6"/>
      <c r="O402" s="6"/>
      <c r="P402" s="6"/>
      <c r="Q402" s="6"/>
      <c r="R402" s="6"/>
      <c r="S402" s="6"/>
      <c r="T402" s="6"/>
      <c r="U402" s="6"/>
      <c r="V402" s="6"/>
    </row>
    <row r="403" spans="1:22" x14ac:dyDescent="0.3">
      <c r="A403" s="6"/>
      <c r="B403" s="6"/>
      <c r="C403" s="6"/>
      <c r="D403" s="6"/>
      <c r="E403" s="6"/>
      <c r="F403" s="6"/>
      <c r="G403" s="6"/>
      <c r="H403" s="6"/>
      <c r="I403" s="6"/>
      <c r="J403" s="6"/>
      <c r="K403" s="6"/>
      <c r="L403" s="6"/>
      <c r="M403" s="6"/>
      <c r="N403" s="6"/>
      <c r="O403" s="6"/>
      <c r="P403" s="6"/>
      <c r="Q403" s="6"/>
      <c r="R403" s="6"/>
      <c r="S403" s="6"/>
      <c r="T403" s="6"/>
      <c r="U403" s="6"/>
      <c r="V403" s="6"/>
    </row>
    <row r="404" spans="1:22" x14ac:dyDescent="0.3">
      <c r="A404" s="6"/>
      <c r="B404" s="6"/>
      <c r="C404" s="6"/>
      <c r="D404" s="6"/>
      <c r="E404" s="6"/>
      <c r="F404" s="6"/>
      <c r="G404" s="6"/>
      <c r="H404" s="6"/>
      <c r="I404" s="6"/>
      <c r="J404" s="6"/>
      <c r="K404" s="6"/>
      <c r="L404" s="6"/>
      <c r="M404" s="6"/>
      <c r="N404" s="6"/>
      <c r="O404" s="6"/>
      <c r="P404" s="6"/>
      <c r="Q404" s="6"/>
      <c r="R404" s="6"/>
      <c r="S404" s="6"/>
      <c r="T404" s="6"/>
      <c r="U404" s="6"/>
      <c r="V404" s="6"/>
    </row>
    <row r="405" spans="1:22" x14ac:dyDescent="0.3">
      <c r="A405" s="6"/>
      <c r="B405" s="6"/>
      <c r="C405" s="6"/>
      <c r="D405" s="6"/>
      <c r="E405" s="6"/>
      <c r="F405" s="6"/>
      <c r="G405" s="6"/>
      <c r="H405" s="6"/>
      <c r="I405" s="6"/>
      <c r="J405" s="6"/>
      <c r="K405" s="6"/>
      <c r="L405" s="6"/>
      <c r="M405" s="6"/>
      <c r="N405" s="6"/>
      <c r="O405" s="6"/>
      <c r="P405" s="6"/>
      <c r="Q405" s="6"/>
      <c r="R405" s="6"/>
      <c r="S405" s="6"/>
      <c r="T405" s="6"/>
      <c r="U405" s="6"/>
      <c r="V405" s="6"/>
    </row>
    <row r="406" spans="1:22" x14ac:dyDescent="0.3">
      <c r="A406" s="6"/>
      <c r="B406" s="6"/>
      <c r="C406" s="6"/>
      <c r="D406" s="6"/>
      <c r="E406" s="6"/>
      <c r="F406" s="6"/>
      <c r="G406" s="6"/>
      <c r="H406" s="6"/>
      <c r="I406" s="6"/>
      <c r="J406" s="6"/>
      <c r="K406" s="6"/>
      <c r="L406" s="6"/>
      <c r="M406" s="6"/>
      <c r="N406" s="6"/>
      <c r="O406" s="6"/>
      <c r="P406" s="6"/>
      <c r="Q406" s="6"/>
      <c r="R406" s="6"/>
      <c r="S406" s="6"/>
      <c r="T406" s="6"/>
      <c r="U406" s="6"/>
      <c r="V406" s="6"/>
    </row>
    <row r="407" spans="1:22" x14ac:dyDescent="0.3">
      <c r="A407" s="6"/>
      <c r="B407" s="6"/>
      <c r="C407" s="6"/>
      <c r="D407" s="6"/>
      <c r="E407" s="6"/>
      <c r="F407" s="6"/>
      <c r="G407" s="6"/>
      <c r="H407" s="6"/>
      <c r="I407" s="6"/>
      <c r="J407" s="6"/>
      <c r="K407" s="6"/>
      <c r="L407" s="6"/>
      <c r="M407" s="6"/>
      <c r="N407" s="6"/>
      <c r="O407" s="6"/>
      <c r="P407" s="6"/>
      <c r="Q407" s="6"/>
      <c r="R407" s="6"/>
      <c r="S407" s="6"/>
      <c r="T407" s="6"/>
      <c r="U407" s="6"/>
      <c r="V407" s="6"/>
    </row>
    <row r="408" spans="1:22" x14ac:dyDescent="0.3">
      <c r="A408" s="6"/>
      <c r="B408" s="6"/>
      <c r="C408" s="6"/>
      <c r="D408" s="6"/>
      <c r="E408" s="6"/>
      <c r="F408" s="6"/>
      <c r="G408" s="6"/>
      <c r="H408" s="6"/>
      <c r="I408" s="6"/>
      <c r="J408" s="6"/>
      <c r="K408" s="6"/>
      <c r="L408" s="6"/>
      <c r="M408" s="6"/>
      <c r="N408" s="6"/>
      <c r="O408" s="6"/>
      <c r="P408" s="6"/>
      <c r="Q408" s="6"/>
      <c r="R408" s="6"/>
      <c r="S408" s="6"/>
      <c r="T408" s="6"/>
      <c r="U408" s="6"/>
      <c r="V408" s="6"/>
    </row>
    <row r="409" spans="1:22" x14ac:dyDescent="0.3">
      <c r="A409" s="6"/>
      <c r="B409" s="6"/>
      <c r="C409" s="6"/>
      <c r="D409" s="6"/>
      <c r="E409" s="6"/>
      <c r="F409" s="6"/>
      <c r="G409" s="6"/>
      <c r="H409" s="6"/>
      <c r="I409" s="6"/>
      <c r="J409" s="6"/>
      <c r="K409" s="6"/>
      <c r="L409" s="6"/>
      <c r="M409" s="6"/>
      <c r="N409" s="6"/>
      <c r="O409" s="6"/>
      <c r="P409" s="6"/>
      <c r="Q409" s="6"/>
      <c r="R409" s="6"/>
      <c r="S409" s="6"/>
      <c r="T409" s="6"/>
      <c r="U409" s="6"/>
      <c r="V409" s="6"/>
    </row>
    <row r="410" spans="1:22" x14ac:dyDescent="0.3">
      <c r="A410" s="6"/>
      <c r="B410" s="6"/>
      <c r="C410" s="6"/>
      <c r="D410" s="6"/>
      <c r="E410" s="6"/>
      <c r="F410" s="6"/>
      <c r="G410" s="6"/>
      <c r="H410" s="6"/>
      <c r="I410" s="6"/>
      <c r="J410" s="6"/>
      <c r="K410" s="6"/>
      <c r="L410" s="6"/>
      <c r="M410" s="6"/>
      <c r="N410" s="6"/>
      <c r="O410" s="6"/>
      <c r="P410" s="6"/>
      <c r="Q410" s="6"/>
      <c r="R410" s="6"/>
      <c r="S410" s="6"/>
      <c r="T410" s="6"/>
      <c r="U410" s="6"/>
      <c r="V410" s="6"/>
    </row>
    <row r="411" spans="1:22" x14ac:dyDescent="0.3">
      <c r="A411" s="6"/>
      <c r="B411" s="6"/>
      <c r="C411" s="6"/>
      <c r="D411" s="6"/>
      <c r="E411" s="6"/>
      <c r="F411" s="6"/>
      <c r="G411" s="6"/>
      <c r="H411" s="6"/>
      <c r="I411" s="6"/>
      <c r="J411" s="6"/>
      <c r="K411" s="6"/>
      <c r="L411" s="6"/>
      <c r="M411" s="6"/>
      <c r="N411" s="6"/>
      <c r="O411" s="6"/>
      <c r="P411" s="6"/>
      <c r="Q411" s="6"/>
      <c r="R411" s="6"/>
      <c r="S411" s="6"/>
      <c r="T411" s="6"/>
      <c r="U411" s="6"/>
      <c r="V411" s="6"/>
    </row>
    <row r="412" spans="1:22" x14ac:dyDescent="0.3">
      <c r="A412" s="6"/>
      <c r="B412" s="6"/>
      <c r="C412" s="6"/>
      <c r="D412" s="6"/>
      <c r="E412" s="6"/>
      <c r="F412" s="6"/>
      <c r="G412" s="6"/>
      <c r="H412" s="6"/>
      <c r="I412" s="6"/>
      <c r="J412" s="6"/>
      <c r="K412" s="6"/>
      <c r="L412" s="6"/>
      <c r="M412" s="6"/>
      <c r="N412" s="6"/>
      <c r="O412" s="6"/>
      <c r="P412" s="6"/>
      <c r="Q412" s="6"/>
      <c r="R412" s="6"/>
      <c r="S412" s="6"/>
      <c r="T412" s="6"/>
      <c r="U412" s="6"/>
      <c r="V412" s="6"/>
    </row>
    <row r="413" spans="1:22" x14ac:dyDescent="0.3">
      <c r="A413" s="6"/>
      <c r="B413" s="6"/>
      <c r="C413" s="6"/>
      <c r="D413" s="6"/>
      <c r="E413" s="6"/>
      <c r="F413" s="6"/>
      <c r="G413" s="6"/>
      <c r="H413" s="6"/>
      <c r="I413" s="6"/>
      <c r="J413" s="6"/>
      <c r="K413" s="6"/>
      <c r="L413" s="6"/>
      <c r="M413" s="6"/>
      <c r="N413" s="6"/>
      <c r="O413" s="6"/>
      <c r="P413" s="6"/>
      <c r="Q413" s="6"/>
      <c r="R413" s="6"/>
      <c r="S413" s="6"/>
      <c r="T413" s="6"/>
      <c r="U413" s="6"/>
      <c r="V413" s="6"/>
    </row>
    <row r="414" spans="1:22" x14ac:dyDescent="0.3">
      <c r="A414" s="6"/>
      <c r="B414" s="6"/>
      <c r="C414" s="6"/>
      <c r="D414" s="6"/>
      <c r="E414" s="6"/>
      <c r="F414" s="6"/>
      <c r="G414" s="6"/>
      <c r="H414" s="6"/>
      <c r="I414" s="6"/>
      <c r="J414" s="6"/>
      <c r="K414" s="6"/>
      <c r="L414" s="6"/>
      <c r="M414" s="6"/>
      <c r="N414" s="6"/>
      <c r="O414" s="6"/>
      <c r="P414" s="6"/>
      <c r="Q414" s="6"/>
      <c r="R414" s="6"/>
      <c r="S414" s="6"/>
      <c r="T414" s="6"/>
      <c r="U414" s="6"/>
      <c r="V414" s="6"/>
    </row>
    <row r="415" spans="1:22" x14ac:dyDescent="0.3">
      <c r="A415" s="6"/>
      <c r="B415" s="6"/>
      <c r="C415" s="6"/>
      <c r="D415" s="6"/>
      <c r="E415" s="6"/>
      <c r="F415" s="6"/>
      <c r="G415" s="6"/>
      <c r="H415" s="6"/>
      <c r="I415" s="6"/>
      <c r="J415" s="6"/>
      <c r="K415" s="6"/>
      <c r="L415" s="6"/>
      <c r="M415" s="6"/>
      <c r="N415" s="6"/>
      <c r="O415" s="6"/>
      <c r="P415" s="6"/>
      <c r="Q415" s="6"/>
      <c r="R415" s="6"/>
      <c r="S415" s="6"/>
      <c r="T415" s="6"/>
      <c r="U415" s="6"/>
      <c r="V415" s="6"/>
    </row>
    <row r="416" spans="1:22" x14ac:dyDescent="0.3">
      <c r="A416" s="6"/>
      <c r="B416" s="6"/>
      <c r="C416" s="6"/>
      <c r="D416" s="6"/>
      <c r="E416" s="6"/>
      <c r="F416" s="6"/>
      <c r="G416" s="6"/>
      <c r="H416" s="6"/>
      <c r="I416" s="6"/>
      <c r="J416" s="6"/>
      <c r="K416" s="6"/>
      <c r="L416" s="6"/>
      <c r="M416" s="6"/>
      <c r="N416" s="6"/>
      <c r="O416" s="6"/>
      <c r="P416" s="6"/>
      <c r="Q416" s="6"/>
      <c r="R416" s="6"/>
      <c r="S416" s="6"/>
      <c r="T416" s="6"/>
      <c r="U416" s="6"/>
      <c r="V416" s="6"/>
    </row>
    <row r="417" spans="1:22" x14ac:dyDescent="0.3">
      <c r="A417" s="6"/>
      <c r="B417" s="6"/>
      <c r="C417" s="6"/>
      <c r="D417" s="6"/>
      <c r="E417" s="6"/>
      <c r="F417" s="6"/>
      <c r="G417" s="6"/>
      <c r="H417" s="6"/>
      <c r="I417" s="6"/>
      <c r="J417" s="6"/>
      <c r="K417" s="6"/>
      <c r="L417" s="6"/>
      <c r="M417" s="6"/>
      <c r="N417" s="6"/>
      <c r="O417" s="6"/>
      <c r="P417" s="6"/>
      <c r="Q417" s="6"/>
      <c r="R417" s="6"/>
      <c r="S417" s="6"/>
      <c r="T417" s="6"/>
      <c r="U417" s="6"/>
      <c r="V417" s="6"/>
    </row>
    <row r="418" spans="1:22" x14ac:dyDescent="0.3">
      <c r="A418" s="6"/>
      <c r="B418" s="6"/>
      <c r="C418" s="6"/>
      <c r="D418" s="6"/>
      <c r="E418" s="6"/>
      <c r="F418" s="6"/>
      <c r="G418" s="6"/>
      <c r="H418" s="6"/>
      <c r="I418" s="6"/>
      <c r="J418" s="6"/>
      <c r="K418" s="6"/>
      <c r="L418" s="6"/>
      <c r="M418" s="6"/>
      <c r="N418" s="6"/>
      <c r="O418" s="6"/>
      <c r="P418" s="6"/>
      <c r="Q418" s="6"/>
      <c r="R418" s="6"/>
      <c r="S418" s="6"/>
      <c r="T418" s="6"/>
      <c r="U418" s="6"/>
      <c r="V418" s="6"/>
    </row>
    <row r="419" spans="1:22" x14ac:dyDescent="0.3">
      <c r="A419" s="6"/>
      <c r="B419" s="6"/>
      <c r="C419" s="6"/>
      <c r="D419" s="6"/>
      <c r="E419" s="6"/>
      <c r="F419" s="6"/>
      <c r="G419" s="6"/>
      <c r="H419" s="6"/>
      <c r="I419" s="6"/>
      <c r="J419" s="6"/>
      <c r="K419" s="6"/>
      <c r="L419" s="6"/>
      <c r="M419" s="6"/>
      <c r="N419" s="6"/>
      <c r="O419" s="6"/>
      <c r="P419" s="6"/>
      <c r="Q419" s="6"/>
      <c r="R419" s="6"/>
      <c r="S419" s="6"/>
      <c r="T419" s="6"/>
      <c r="U419" s="6"/>
      <c r="V419" s="6"/>
    </row>
    <row r="420" spans="1:22" x14ac:dyDescent="0.3">
      <c r="A420" s="6"/>
      <c r="B420" s="6"/>
      <c r="C420" s="6"/>
      <c r="D420" s="6"/>
      <c r="E420" s="6"/>
      <c r="F420" s="6"/>
      <c r="G420" s="6"/>
      <c r="H420" s="6"/>
      <c r="I420" s="6"/>
      <c r="J420" s="6"/>
      <c r="K420" s="6"/>
      <c r="L420" s="6"/>
      <c r="M420" s="6"/>
      <c r="N420" s="6"/>
      <c r="O420" s="6"/>
      <c r="P420" s="6"/>
      <c r="Q420" s="6"/>
      <c r="R420" s="6"/>
      <c r="S420" s="6"/>
      <c r="T420" s="6"/>
      <c r="U420" s="6"/>
      <c r="V420" s="6"/>
    </row>
    <row r="421" spans="1:22" x14ac:dyDescent="0.3">
      <c r="A421" s="6"/>
      <c r="B421" s="6"/>
      <c r="C421" s="6"/>
      <c r="D421" s="6"/>
      <c r="E421" s="6"/>
      <c r="F421" s="6"/>
      <c r="G421" s="6"/>
      <c r="H421" s="6"/>
      <c r="I421" s="6"/>
      <c r="J421" s="6"/>
      <c r="K421" s="6"/>
      <c r="L421" s="6"/>
      <c r="M421" s="6"/>
      <c r="N421" s="6"/>
      <c r="O421" s="6"/>
      <c r="P421" s="6"/>
      <c r="Q421" s="6"/>
      <c r="R421" s="6"/>
      <c r="S421" s="6"/>
      <c r="T421" s="6"/>
      <c r="U421" s="6"/>
      <c r="V421" s="6"/>
    </row>
    <row r="422" spans="1:22" x14ac:dyDescent="0.3">
      <c r="A422" s="6"/>
      <c r="B422" s="6"/>
      <c r="C422" s="6"/>
      <c r="D422" s="6"/>
      <c r="E422" s="6"/>
      <c r="F422" s="6"/>
      <c r="G422" s="6"/>
      <c r="H422" s="6"/>
      <c r="I422" s="6"/>
      <c r="J422" s="6"/>
      <c r="K422" s="6"/>
      <c r="L422" s="6"/>
      <c r="M422" s="6"/>
      <c r="N422" s="6"/>
      <c r="O422" s="6"/>
      <c r="P422" s="6"/>
      <c r="Q422" s="6"/>
      <c r="R422" s="6"/>
      <c r="S422" s="6"/>
      <c r="T422" s="6"/>
      <c r="U422" s="6"/>
      <c r="V422" s="6"/>
    </row>
    <row r="423" spans="1:22" x14ac:dyDescent="0.3">
      <c r="A423" s="6"/>
      <c r="B423" s="6"/>
      <c r="C423" s="6"/>
      <c r="D423" s="6"/>
      <c r="E423" s="6"/>
      <c r="F423" s="6"/>
      <c r="G423" s="6"/>
      <c r="H423" s="6"/>
      <c r="I423" s="6"/>
      <c r="J423" s="6"/>
      <c r="K423" s="6"/>
      <c r="L423" s="6"/>
      <c r="M423" s="6"/>
      <c r="N423" s="6"/>
      <c r="O423" s="6"/>
      <c r="P423" s="6"/>
      <c r="Q423" s="6"/>
      <c r="R423" s="6"/>
      <c r="S423" s="6"/>
      <c r="T423" s="6"/>
      <c r="U423" s="6"/>
      <c r="V423" s="6"/>
    </row>
    <row r="424" spans="1:22" x14ac:dyDescent="0.3">
      <c r="A424" s="6"/>
      <c r="B424" s="6"/>
      <c r="C424" s="6"/>
      <c r="D424" s="6"/>
      <c r="E424" s="6"/>
      <c r="F424" s="6"/>
      <c r="G424" s="6"/>
      <c r="H424" s="6"/>
      <c r="I424" s="6"/>
      <c r="J424" s="6"/>
      <c r="K424" s="6"/>
      <c r="L424" s="6"/>
      <c r="M424" s="6"/>
      <c r="N424" s="6"/>
      <c r="O424" s="6"/>
      <c r="P424" s="6"/>
      <c r="Q424" s="6"/>
      <c r="R424" s="6"/>
      <c r="S424" s="6"/>
      <c r="T424" s="6"/>
      <c r="U424" s="6"/>
      <c r="V424" s="6"/>
    </row>
    <row r="425" spans="1:22" x14ac:dyDescent="0.3">
      <c r="A425" s="6"/>
      <c r="B425" s="6"/>
      <c r="C425" s="6"/>
      <c r="D425" s="6"/>
      <c r="E425" s="6"/>
      <c r="F425" s="6"/>
      <c r="G425" s="6"/>
      <c r="H425" s="6"/>
      <c r="I425" s="6"/>
      <c r="J425" s="6"/>
      <c r="K425" s="6"/>
      <c r="L425" s="6"/>
      <c r="M425" s="6"/>
      <c r="N425" s="6"/>
      <c r="O425" s="6"/>
      <c r="P425" s="6"/>
      <c r="Q425" s="6"/>
      <c r="R425" s="6"/>
      <c r="S425" s="6"/>
      <c r="T425" s="6"/>
      <c r="U425" s="6"/>
      <c r="V425" s="6"/>
    </row>
    <row r="426" spans="1:22" x14ac:dyDescent="0.3">
      <c r="A426" s="6"/>
      <c r="B426" s="6"/>
      <c r="C426" s="6"/>
      <c r="D426" s="6"/>
      <c r="E426" s="6"/>
      <c r="F426" s="6"/>
      <c r="G426" s="6"/>
      <c r="H426" s="6"/>
      <c r="I426" s="6"/>
      <c r="J426" s="6"/>
      <c r="K426" s="6"/>
      <c r="L426" s="6"/>
      <c r="M426" s="6"/>
      <c r="N426" s="6"/>
      <c r="O426" s="6"/>
      <c r="P426" s="6"/>
      <c r="Q426" s="6"/>
      <c r="R426" s="6"/>
      <c r="S426" s="6"/>
      <c r="T426" s="6"/>
      <c r="U426" s="6"/>
      <c r="V426" s="6"/>
    </row>
    <row r="427" spans="1:22" x14ac:dyDescent="0.3">
      <c r="A427" s="6"/>
      <c r="B427" s="6"/>
      <c r="C427" s="6"/>
      <c r="D427" s="6"/>
      <c r="E427" s="6"/>
      <c r="F427" s="6"/>
      <c r="G427" s="6"/>
      <c r="H427" s="6"/>
      <c r="I427" s="6"/>
      <c r="J427" s="6"/>
      <c r="K427" s="6"/>
      <c r="L427" s="6"/>
      <c r="M427" s="6"/>
      <c r="N427" s="6"/>
      <c r="O427" s="6"/>
      <c r="P427" s="6"/>
      <c r="Q427" s="6"/>
      <c r="R427" s="6"/>
      <c r="S427" s="6"/>
      <c r="T427" s="6"/>
      <c r="U427" s="6"/>
      <c r="V427" s="6"/>
    </row>
    <row r="428" spans="1:22" x14ac:dyDescent="0.3">
      <c r="A428" s="6"/>
      <c r="B428" s="6"/>
      <c r="C428" s="6"/>
      <c r="D428" s="6"/>
      <c r="E428" s="6"/>
      <c r="F428" s="6"/>
      <c r="G428" s="6"/>
      <c r="H428" s="6"/>
      <c r="I428" s="6"/>
      <c r="J428" s="6"/>
      <c r="K428" s="6"/>
      <c r="L428" s="6"/>
      <c r="M428" s="6"/>
      <c r="N428" s="6"/>
      <c r="O428" s="6"/>
      <c r="P428" s="6"/>
      <c r="Q428" s="6"/>
      <c r="R428" s="6"/>
      <c r="S428" s="6"/>
      <c r="T428" s="6"/>
      <c r="U428" s="6"/>
      <c r="V428" s="6"/>
    </row>
    <row r="429" spans="1:22" x14ac:dyDescent="0.3">
      <c r="A429" s="6"/>
      <c r="B429" s="6"/>
      <c r="C429" s="6"/>
      <c r="D429" s="6"/>
      <c r="E429" s="6"/>
      <c r="F429" s="6"/>
      <c r="G429" s="6"/>
      <c r="H429" s="6"/>
      <c r="I429" s="6"/>
      <c r="J429" s="6"/>
      <c r="K429" s="6"/>
      <c r="L429" s="6"/>
      <c r="M429" s="6"/>
      <c r="N429" s="6"/>
      <c r="O429" s="6"/>
      <c r="P429" s="6"/>
      <c r="Q429" s="6"/>
      <c r="R429" s="6"/>
      <c r="S429" s="6"/>
      <c r="T429" s="6"/>
      <c r="U429" s="6"/>
      <c r="V429" s="6"/>
    </row>
    <row r="430" spans="1:22" x14ac:dyDescent="0.3">
      <c r="A430" s="6"/>
      <c r="B430" s="6"/>
      <c r="C430" s="6"/>
      <c r="D430" s="6"/>
      <c r="E430" s="6"/>
      <c r="F430" s="6"/>
      <c r="G430" s="6"/>
      <c r="H430" s="6"/>
      <c r="I430" s="6"/>
      <c r="J430" s="6"/>
      <c r="K430" s="6"/>
      <c r="L430" s="6"/>
      <c r="M430" s="6"/>
      <c r="N430" s="6"/>
      <c r="O430" s="6"/>
      <c r="P430" s="6"/>
      <c r="Q430" s="6"/>
      <c r="R430" s="6"/>
      <c r="S430" s="6"/>
      <c r="T430" s="6"/>
      <c r="U430" s="6"/>
      <c r="V430" s="6"/>
    </row>
    <row r="431" spans="1:22" x14ac:dyDescent="0.3">
      <c r="A431" s="6"/>
      <c r="B431" s="6"/>
      <c r="C431" s="6"/>
      <c r="D431" s="6"/>
      <c r="E431" s="6"/>
      <c r="F431" s="6"/>
      <c r="G431" s="6"/>
      <c r="H431" s="6"/>
      <c r="I431" s="6"/>
      <c r="J431" s="6"/>
      <c r="K431" s="6"/>
      <c r="L431" s="6"/>
      <c r="M431" s="6"/>
      <c r="N431" s="6"/>
      <c r="O431" s="6"/>
      <c r="P431" s="6"/>
      <c r="Q431" s="6"/>
      <c r="R431" s="6"/>
      <c r="S431" s="6"/>
      <c r="T431" s="6"/>
      <c r="U431" s="6"/>
      <c r="V431" s="6"/>
    </row>
    <row r="432" spans="1:22" x14ac:dyDescent="0.3">
      <c r="A432" s="6"/>
      <c r="B432" s="6"/>
      <c r="C432" s="6"/>
      <c r="D432" s="6"/>
      <c r="E432" s="6"/>
      <c r="F432" s="6"/>
      <c r="G432" s="6"/>
      <c r="H432" s="6"/>
      <c r="I432" s="6"/>
      <c r="J432" s="6"/>
      <c r="K432" s="6"/>
      <c r="L432" s="6"/>
      <c r="M432" s="6"/>
      <c r="N432" s="6"/>
      <c r="O432" s="6"/>
      <c r="P432" s="6"/>
      <c r="Q432" s="6"/>
      <c r="R432" s="6"/>
      <c r="S432" s="6"/>
      <c r="T432" s="6"/>
      <c r="U432" s="6"/>
      <c r="V432" s="6"/>
    </row>
    <row r="433" spans="1:22" x14ac:dyDescent="0.3">
      <c r="A433" s="6"/>
      <c r="B433" s="6"/>
      <c r="C433" s="6"/>
      <c r="D433" s="6"/>
      <c r="E433" s="6"/>
      <c r="F433" s="6"/>
      <c r="G433" s="6"/>
      <c r="H433" s="6"/>
      <c r="I433" s="6"/>
      <c r="J433" s="6"/>
      <c r="K433" s="6"/>
      <c r="L433" s="6"/>
      <c r="M433" s="6"/>
      <c r="N433" s="6"/>
      <c r="O433" s="6"/>
      <c r="P433" s="6"/>
      <c r="Q433" s="6"/>
      <c r="R433" s="6"/>
      <c r="S433" s="6"/>
      <c r="T433" s="6"/>
      <c r="U433" s="6"/>
      <c r="V433" s="6"/>
    </row>
    <row r="434" spans="1:22" x14ac:dyDescent="0.3">
      <c r="A434" s="6"/>
      <c r="B434" s="6"/>
      <c r="C434" s="6"/>
      <c r="D434" s="6"/>
      <c r="E434" s="6"/>
      <c r="F434" s="6"/>
      <c r="G434" s="6"/>
      <c r="H434" s="6"/>
      <c r="I434" s="6"/>
      <c r="J434" s="6"/>
      <c r="K434" s="6"/>
      <c r="L434" s="6"/>
      <c r="M434" s="6"/>
      <c r="N434" s="6"/>
      <c r="O434" s="6"/>
      <c r="P434" s="6"/>
      <c r="Q434" s="6"/>
      <c r="R434" s="6"/>
      <c r="S434" s="6"/>
      <c r="T434" s="6"/>
      <c r="U434" s="6"/>
      <c r="V434" s="6"/>
    </row>
    <row r="435" spans="1:22" x14ac:dyDescent="0.3">
      <c r="A435" s="6"/>
      <c r="B435" s="6"/>
      <c r="C435" s="6"/>
      <c r="D435" s="6"/>
      <c r="E435" s="6"/>
      <c r="F435" s="6"/>
      <c r="G435" s="6"/>
      <c r="H435" s="6"/>
      <c r="I435" s="6"/>
      <c r="J435" s="6"/>
      <c r="K435" s="6"/>
      <c r="L435" s="6"/>
      <c r="M435" s="6"/>
      <c r="N435" s="6"/>
      <c r="O435" s="6"/>
      <c r="P435" s="6"/>
      <c r="Q435" s="6"/>
      <c r="R435" s="6"/>
      <c r="S435" s="6"/>
      <c r="T435" s="6"/>
      <c r="U435" s="6"/>
      <c r="V435" s="6"/>
    </row>
    <row r="436" spans="1:22" x14ac:dyDescent="0.3">
      <c r="A436" s="6"/>
      <c r="B436" s="6"/>
      <c r="C436" s="6"/>
      <c r="D436" s="6"/>
      <c r="E436" s="6"/>
      <c r="F436" s="6"/>
      <c r="G436" s="6"/>
      <c r="H436" s="6"/>
      <c r="I436" s="6"/>
      <c r="J436" s="6"/>
      <c r="K436" s="6"/>
      <c r="L436" s="6"/>
      <c r="M436" s="6"/>
      <c r="N436" s="6"/>
      <c r="O436" s="6"/>
      <c r="P436" s="6"/>
      <c r="Q436" s="6"/>
      <c r="R436" s="6"/>
      <c r="S436" s="6"/>
      <c r="T436" s="6"/>
      <c r="U436" s="6"/>
      <c r="V436" s="6"/>
    </row>
    <row r="437" spans="1:22" x14ac:dyDescent="0.3">
      <c r="A437" s="6"/>
      <c r="B437" s="6"/>
      <c r="C437" s="6"/>
      <c r="D437" s="6"/>
      <c r="E437" s="6"/>
      <c r="F437" s="6"/>
      <c r="G437" s="6"/>
      <c r="H437" s="6"/>
      <c r="I437" s="6"/>
      <c r="J437" s="6"/>
      <c r="K437" s="6"/>
      <c r="L437" s="6"/>
      <c r="M437" s="6"/>
      <c r="N437" s="6"/>
      <c r="O437" s="6"/>
      <c r="P437" s="6"/>
      <c r="Q437" s="6"/>
      <c r="R437" s="6"/>
      <c r="S437" s="6"/>
      <c r="T437" s="6"/>
      <c r="U437" s="6"/>
      <c r="V437" s="6"/>
    </row>
    <row r="438" spans="1:22" x14ac:dyDescent="0.3">
      <c r="A438" s="6"/>
      <c r="B438" s="6"/>
      <c r="C438" s="6"/>
      <c r="D438" s="6"/>
      <c r="E438" s="6"/>
      <c r="F438" s="6"/>
      <c r="G438" s="6"/>
      <c r="H438" s="6"/>
      <c r="I438" s="6"/>
      <c r="J438" s="6"/>
      <c r="K438" s="6"/>
      <c r="L438" s="6"/>
      <c r="M438" s="6"/>
      <c r="N438" s="6"/>
      <c r="O438" s="6"/>
      <c r="P438" s="6"/>
      <c r="Q438" s="6"/>
      <c r="R438" s="6"/>
      <c r="S438" s="6"/>
      <c r="T438" s="6"/>
      <c r="U438" s="6"/>
      <c r="V438" s="6"/>
    </row>
    <row r="439" spans="1:22" x14ac:dyDescent="0.3">
      <c r="A439" s="6"/>
      <c r="B439" s="6"/>
      <c r="C439" s="6"/>
      <c r="D439" s="6"/>
      <c r="E439" s="6"/>
      <c r="F439" s="6"/>
      <c r="G439" s="6"/>
      <c r="H439" s="6"/>
      <c r="I439" s="6"/>
      <c r="J439" s="6"/>
      <c r="K439" s="6"/>
      <c r="L439" s="6"/>
      <c r="M439" s="6"/>
      <c r="N439" s="6"/>
      <c r="O439" s="6"/>
      <c r="P439" s="6"/>
      <c r="Q439" s="6"/>
      <c r="R439" s="6"/>
      <c r="S439" s="6"/>
      <c r="T439" s="6"/>
      <c r="U439" s="6"/>
      <c r="V439" s="6"/>
    </row>
    <row r="440" spans="1:22" x14ac:dyDescent="0.3">
      <c r="A440" s="6"/>
      <c r="B440" s="6"/>
      <c r="C440" s="6"/>
      <c r="D440" s="6"/>
      <c r="E440" s="6"/>
      <c r="F440" s="6"/>
      <c r="G440" s="6"/>
      <c r="H440" s="6"/>
      <c r="I440" s="6"/>
      <c r="J440" s="6"/>
      <c r="K440" s="6"/>
      <c r="L440" s="6"/>
      <c r="M440" s="6"/>
      <c r="N440" s="6"/>
      <c r="O440" s="6"/>
      <c r="P440" s="6"/>
      <c r="Q440" s="6"/>
      <c r="R440" s="6"/>
      <c r="S440" s="6"/>
      <c r="T440" s="6"/>
      <c r="U440" s="6"/>
      <c r="V440" s="6"/>
    </row>
    <row r="441" spans="1:22" x14ac:dyDescent="0.3">
      <c r="A441" s="6"/>
      <c r="B441" s="6"/>
      <c r="C441" s="6"/>
      <c r="D441" s="6"/>
      <c r="E441" s="6"/>
      <c r="F441" s="6"/>
      <c r="G441" s="6"/>
      <c r="H441" s="6"/>
      <c r="I441" s="6"/>
      <c r="J441" s="6"/>
      <c r="K441" s="6"/>
      <c r="L441" s="6"/>
      <c r="M441" s="6"/>
      <c r="N441" s="6"/>
      <c r="O441" s="6"/>
      <c r="P441" s="6"/>
      <c r="Q441" s="6"/>
      <c r="R441" s="6"/>
      <c r="S441" s="6"/>
      <c r="T441" s="6"/>
      <c r="U441" s="6"/>
      <c r="V441" s="6"/>
    </row>
    <row r="442" spans="1:22" x14ac:dyDescent="0.3">
      <c r="A442" s="6"/>
      <c r="B442" s="6"/>
      <c r="C442" s="6"/>
      <c r="D442" s="6"/>
      <c r="E442" s="6"/>
      <c r="F442" s="6"/>
      <c r="G442" s="6"/>
      <c r="H442" s="6"/>
      <c r="I442" s="6"/>
      <c r="J442" s="6"/>
      <c r="K442" s="6"/>
      <c r="L442" s="6"/>
      <c r="M442" s="6"/>
      <c r="N442" s="6"/>
      <c r="O442" s="6"/>
      <c r="P442" s="6"/>
      <c r="Q442" s="6"/>
      <c r="R442" s="6"/>
      <c r="S442" s="6"/>
      <c r="T442" s="6"/>
      <c r="U442" s="6"/>
      <c r="V442" s="6"/>
    </row>
    <row r="443" spans="1:22" x14ac:dyDescent="0.3">
      <c r="A443" s="6"/>
      <c r="B443" s="6"/>
      <c r="C443" s="6"/>
      <c r="D443" s="6"/>
      <c r="E443" s="6"/>
      <c r="F443" s="6"/>
      <c r="G443" s="6"/>
      <c r="H443" s="6"/>
      <c r="I443" s="6"/>
      <c r="J443" s="6"/>
      <c r="K443" s="6"/>
      <c r="L443" s="6"/>
      <c r="M443" s="6"/>
      <c r="N443" s="6"/>
      <c r="O443" s="6"/>
      <c r="P443" s="6"/>
      <c r="Q443" s="6"/>
      <c r="R443" s="6"/>
      <c r="S443" s="6"/>
      <c r="T443" s="6"/>
      <c r="U443" s="6"/>
      <c r="V443" s="6"/>
    </row>
    <row r="444" spans="1:22" x14ac:dyDescent="0.3">
      <c r="A444" s="6"/>
      <c r="B444" s="6"/>
      <c r="C444" s="6"/>
      <c r="D444" s="6"/>
      <c r="E444" s="6"/>
      <c r="F444" s="6"/>
      <c r="G444" s="6"/>
      <c r="H444" s="6"/>
      <c r="I444" s="6"/>
      <c r="J444" s="6"/>
      <c r="K444" s="6"/>
      <c r="L444" s="6"/>
      <c r="M444" s="6"/>
      <c r="N444" s="6"/>
      <c r="O444" s="6"/>
      <c r="P444" s="6"/>
      <c r="Q444" s="6"/>
      <c r="R444" s="6"/>
      <c r="S444" s="6"/>
      <c r="T444" s="6"/>
      <c r="U444" s="6"/>
      <c r="V444" s="6"/>
    </row>
    <row r="445" spans="1:22" x14ac:dyDescent="0.3">
      <c r="A445" s="6"/>
      <c r="B445" s="6"/>
      <c r="C445" s="6"/>
      <c r="D445" s="6"/>
      <c r="E445" s="6"/>
      <c r="F445" s="6"/>
      <c r="G445" s="6"/>
      <c r="H445" s="6"/>
      <c r="I445" s="6"/>
      <c r="J445" s="6"/>
      <c r="K445" s="6"/>
      <c r="L445" s="6"/>
      <c r="M445" s="6"/>
      <c r="N445" s="6"/>
      <c r="O445" s="6"/>
      <c r="P445" s="6"/>
      <c r="Q445" s="6"/>
      <c r="R445" s="6"/>
      <c r="S445" s="6"/>
      <c r="T445" s="6"/>
      <c r="U445" s="6"/>
      <c r="V445" s="6"/>
    </row>
    <row r="446" spans="1:22" x14ac:dyDescent="0.3">
      <c r="A446" s="6"/>
      <c r="B446" s="6"/>
      <c r="C446" s="6"/>
      <c r="D446" s="6"/>
      <c r="E446" s="6"/>
      <c r="F446" s="6"/>
      <c r="G446" s="6"/>
      <c r="H446" s="6"/>
      <c r="I446" s="6"/>
      <c r="J446" s="6"/>
      <c r="K446" s="6"/>
      <c r="L446" s="6"/>
      <c r="M446" s="6"/>
      <c r="N446" s="6"/>
      <c r="O446" s="6"/>
      <c r="P446" s="6"/>
      <c r="Q446" s="6"/>
      <c r="R446" s="6"/>
      <c r="S446" s="6"/>
      <c r="T446" s="6"/>
      <c r="U446" s="6"/>
      <c r="V446" s="6"/>
    </row>
    <row r="447" spans="1:22" x14ac:dyDescent="0.3">
      <c r="A447" s="6"/>
      <c r="B447" s="6"/>
      <c r="C447" s="6"/>
      <c r="D447" s="6"/>
      <c r="E447" s="6"/>
      <c r="F447" s="6"/>
      <c r="G447" s="6"/>
      <c r="H447" s="6"/>
      <c r="I447" s="6"/>
      <c r="J447" s="6"/>
      <c r="K447" s="6"/>
      <c r="L447" s="6"/>
      <c r="M447" s="6"/>
      <c r="N447" s="6"/>
      <c r="O447" s="6"/>
      <c r="P447" s="6"/>
      <c r="Q447" s="6"/>
      <c r="R447" s="6"/>
      <c r="S447" s="6"/>
      <c r="T447" s="6"/>
      <c r="U447" s="6"/>
      <c r="V447" s="6"/>
    </row>
    <row r="448" spans="1:22" x14ac:dyDescent="0.3">
      <c r="A448" s="6"/>
      <c r="B448" s="6"/>
      <c r="C448" s="6"/>
      <c r="D448" s="6"/>
      <c r="E448" s="6"/>
      <c r="F448" s="6"/>
      <c r="G448" s="6"/>
      <c r="H448" s="6"/>
      <c r="I448" s="6"/>
      <c r="J448" s="6"/>
      <c r="K448" s="6"/>
      <c r="L448" s="6"/>
      <c r="M448" s="6"/>
      <c r="N448" s="6"/>
      <c r="O448" s="6"/>
      <c r="P448" s="6"/>
      <c r="Q448" s="6"/>
      <c r="R448" s="6"/>
      <c r="S448" s="6"/>
      <c r="T448" s="6"/>
      <c r="U448" s="6"/>
      <c r="V448" s="6"/>
    </row>
    <row r="449" spans="1:22" x14ac:dyDescent="0.3">
      <c r="A449" s="6"/>
      <c r="B449" s="6"/>
      <c r="C449" s="6"/>
      <c r="D449" s="6"/>
      <c r="E449" s="6"/>
      <c r="F449" s="6"/>
      <c r="G449" s="6"/>
      <c r="H449" s="6"/>
      <c r="I449" s="6"/>
      <c r="J449" s="6"/>
      <c r="K449" s="6"/>
      <c r="L449" s="6"/>
      <c r="M449" s="6"/>
      <c r="N449" s="6"/>
      <c r="O449" s="6"/>
      <c r="P449" s="6"/>
      <c r="Q449" s="6"/>
      <c r="R449" s="6"/>
      <c r="S449" s="6"/>
      <c r="T449" s="6"/>
      <c r="U449" s="6"/>
      <c r="V449" s="6"/>
    </row>
    <row r="450" spans="1:22" x14ac:dyDescent="0.3">
      <c r="A450" s="6"/>
      <c r="B450" s="6"/>
      <c r="C450" s="6"/>
      <c r="D450" s="6"/>
      <c r="E450" s="6"/>
      <c r="F450" s="6"/>
      <c r="G450" s="6"/>
      <c r="H450" s="6"/>
      <c r="I450" s="6"/>
      <c r="J450" s="6"/>
      <c r="K450" s="6"/>
      <c r="L450" s="6"/>
      <c r="M450" s="6"/>
      <c r="N450" s="6"/>
      <c r="O450" s="6"/>
      <c r="P450" s="6"/>
      <c r="Q450" s="6"/>
      <c r="R450" s="6"/>
      <c r="S450" s="6"/>
      <c r="T450" s="6"/>
      <c r="U450" s="6"/>
      <c r="V450" s="6"/>
    </row>
    <row r="451" spans="1:22" x14ac:dyDescent="0.3">
      <c r="A451" s="6"/>
      <c r="B451" s="6"/>
      <c r="C451" s="6"/>
      <c r="D451" s="6"/>
      <c r="E451" s="6"/>
      <c r="F451" s="6"/>
      <c r="G451" s="6"/>
      <c r="H451" s="6"/>
      <c r="I451" s="6"/>
      <c r="J451" s="6"/>
      <c r="K451" s="6"/>
      <c r="L451" s="6"/>
      <c r="M451" s="6"/>
      <c r="N451" s="6"/>
      <c r="O451" s="6"/>
      <c r="P451" s="6"/>
      <c r="Q451" s="6"/>
      <c r="R451" s="6"/>
      <c r="S451" s="6"/>
      <c r="T451" s="6"/>
      <c r="U451" s="6"/>
      <c r="V451" s="6"/>
    </row>
    <row r="452" spans="1:22" x14ac:dyDescent="0.3">
      <c r="A452" s="6"/>
      <c r="B452" s="6"/>
      <c r="C452" s="6"/>
      <c r="D452" s="6"/>
      <c r="E452" s="6"/>
      <c r="F452" s="6"/>
      <c r="G452" s="6"/>
      <c r="H452" s="6"/>
      <c r="I452" s="6"/>
      <c r="J452" s="6"/>
      <c r="K452" s="6"/>
      <c r="L452" s="6"/>
      <c r="M452" s="6"/>
      <c r="N452" s="6"/>
      <c r="O452" s="6"/>
      <c r="P452" s="6"/>
      <c r="Q452" s="6"/>
      <c r="R452" s="6"/>
      <c r="S452" s="6"/>
      <c r="T452" s="6"/>
      <c r="U452" s="6"/>
      <c r="V452" s="6"/>
    </row>
    <row r="453" spans="1:22" x14ac:dyDescent="0.3">
      <c r="A453" s="6"/>
      <c r="B453" s="6"/>
      <c r="C453" s="6"/>
      <c r="D453" s="6"/>
      <c r="E453" s="6"/>
      <c r="F453" s="6"/>
      <c r="G453" s="6"/>
      <c r="H453" s="6"/>
      <c r="I453" s="6"/>
      <c r="J453" s="6"/>
      <c r="K453" s="6"/>
      <c r="L453" s="6"/>
      <c r="M453" s="6"/>
      <c r="N453" s="6"/>
      <c r="O453" s="6"/>
      <c r="P453" s="6"/>
      <c r="Q453" s="6"/>
      <c r="R453" s="6"/>
      <c r="S453" s="6"/>
      <c r="T453" s="6"/>
      <c r="U453" s="6"/>
      <c r="V453" s="6"/>
    </row>
    <row r="454" spans="1:22" x14ac:dyDescent="0.3">
      <c r="A454" s="6"/>
      <c r="B454" s="6"/>
      <c r="C454" s="6"/>
      <c r="D454" s="6"/>
      <c r="E454" s="6"/>
      <c r="F454" s="6"/>
      <c r="G454" s="6"/>
      <c r="H454" s="6"/>
      <c r="I454" s="6"/>
      <c r="J454" s="6"/>
      <c r="K454" s="6"/>
      <c r="L454" s="6"/>
      <c r="M454" s="6"/>
      <c r="N454" s="6"/>
      <c r="O454" s="6"/>
      <c r="P454" s="6"/>
      <c r="Q454" s="6"/>
      <c r="R454" s="6"/>
      <c r="S454" s="6"/>
      <c r="T454" s="6"/>
      <c r="U454" s="6"/>
      <c r="V454" s="6"/>
    </row>
    <row r="455" spans="1:22" x14ac:dyDescent="0.3">
      <c r="A455" s="6"/>
      <c r="B455" s="6"/>
      <c r="C455" s="6"/>
      <c r="D455" s="6"/>
      <c r="E455" s="6"/>
      <c r="F455" s="6"/>
      <c r="G455" s="6"/>
      <c r="H455" s="6"/>
      <c r="I455" s="6"/>
      <c r="J455" s="6"/>
      <c r="K455" s="6"/>
      <c r="L455" s="6"/>
      <c r="M455" s="6"/>
      <c r="N455" s="6"/>
      <c r="O455" s="6"/>
      <c r="P455" s="6"/>
      <c r="Q455" s="6"/>
      <c r="R455" s="6"/>
      <c r="S455" s="6"/>
      <c r="T455" s="6"/>
      <c r="U455" s="6"/>
      <c r="V455" s="6"/>
    </row>
    <row r="456" spans="1:22" x14ac:dyDescent="0.3">
      <c r="A456" s="6"/>
      <c r="B456" s="6"/>
      <c r="C456" s="6"/>
      <c r="D456" s="6"/>
      <c r="E456" s="6"/>
      <c r="F456" s="6"/>
      <c r="G456" s="6"/>
      <c r="H456" s="6"/>
      <c r="I456" s="6"/>
      <c r="J456" s="6"/>
      <c r="K456" s="6"/>
      <c r="L456" s="6"/>
      <c r="M456" s="6"/>
      <c r="N456" s="6"/>
      <c r="O456" s="6"/>
      <c r="P456" s="6"/>
      <c r="Q456" s="6"/>
      <c r="R456" s="6"/>
      <c r="S456" s="6"/>
      <c r="T456" s="6"/>
      <c r="U456" s="6"/>
      <c r="V456" s="6"/>
    </row>
    <row r="457" spans="1:22" x14ac:dyDescent="0.3">
      <c r="A457" s="6"/>
      <c r="B457" s="6"/>
      <c r="C457" s="6"/>
      <c r="D457" s="6"/>
      <c r="E457" s="6"/>
      <c r="F457" s="6"/>
      <c r="G457" s="6"/>
      <c r="H457" s="6"/>
      <c r="I457" s="6"/>
      <c r="J457" s="6"/>
      <c r="K457" s="6"/>
      <c r="L457" s="6"/>
      <c r="M457" s="6"/>
      <c r="N457" s="6"/>
      <c r="O457" s="6"/>
      <c r="P457" s="6"/>
      <c r="Q457" s="6"/>
      <c r="R457" s="6"/>
      <c r="S457" s="6"/>
      <c r="T457" s="6"/>
      <c r="U457" s="6"/>
      <c r="V457" s="6"/>
    </row>
    <row r="458" spans="1:22" x14ac:dyDescent="0.3">
      <c r="A458" s="6"/>
      <c r="B458" s="6"/>
      <c r="C458" s="6"/>
      <c r="D458" s="6"/>
      <c r="E458" s="6"/>
      <c r="F458" s="6"/>
      <c r="G458" s="6"/>
      <c r="H458" s="6"/>
      <c r="I458" s="6"/>
      <c r="J458" s="6"/>
      <c r="K458" s="6"/>
      <c r="L458" s="6"/>
      <c r="M458" s="6"/>
      <c r="N458" s="6"/>
      <c r="O458" s="6"/>
      <c r="P458" s="6"/>
      <c r="Q458" s="6"/>
      <c r="R458" s="6"/>
      <c r="S458" s="6"/>
      <c r="T458" s="6"/>
      <c r="U458" s="6"/>
      <c r="V458" s="6"/>
    </row>
    <row r="459" spans="1:22" x14ac:dyDescent="0.3">
      <c r="A459" s="6"/>
      <c r="B459" s="6"/>
      <c r="C459" s="6"/>
      <c r="D459" s="6"/>
      <c r="E459" s="6"/>
      <c r="F459" s="6"/>
      <c r="G459" s="6"/>
      <c r="H459" s="6"/>
      <c r="I459" s="6"/>
      <c r="J459" s="6"/>
      <c r="K459" s="6"/>
      <c r="L459" s="6"/>
      <c r="M459" s="6"/>
      <c r="N459" s="6"/>
      <c r="O459" s="6"/>
      <c r="P459" s="6"/>
      <c r="Q459" s="6"/>
      <c r="R459" s="6"/>
      <c r="S459" s="6"/>
      <c r="T459" s="6"/>
      <c r="U459" s="6"/>
      <c r="V459" s="6"/>
    </row>
    <row r="460" spans="1:22" x14ac:dyDescent="0.3">
      <c r="A460" s="6"/>
      <c r="B460" s="6"/>
      <c r="C460" s="6"/>
      <c r="D460" s="6"/>
      <c r="E460" s="6"/>
      <c r="F460" s="6"/>
      <c r="G460" s="6"/>
      <c r="H460" s="6"/>
      <c r="I460" s="6"/>
      <c r="J460" s="6"/>
      <c r="K460" s="6"/>
      <c r="L460" s="6"/>
      <c r="M460" s="6"/>
      <c r="N460" s="6"/>
      <c r="O460" s="6"/>
      <c r="P460" s="6"/>
      <c r="Q460" s="6"/>
      <c r="R460" s="6"/>
      <c r="S460" s="6"/>
      <c r="T460" s="6"/>
      <c r="U460" s="6"/>
      <c r="V460" s="6"/>
    </row>
    <row r="461" spans="1:22" x14ac:dyDescent="0.3">
      <c r="A461" s="6"/>
      <c r="B461" s="6"/>
      <c r="C461" s="6"/>
      <c r="D461" s="6"/>
      <c r="E461" s="6"/>
      <c r="F461" s="6"/>
      <c r="G461" s="6"/>
      <c r="H461" s="6"/>
      <c r="I461" s="6"/>
      <c r="J461" s="6"/>
      <c r="K461" s="6"/>
      <c r="L461" s="6"/>
      <c r="M461" s="6"/>
      <c r="N461" s="6"/>
      <c r="O461" s="6"/>
      <c r="P461" s="6"/>
      <c r="Q461" s="6"/>
      <c r="R461" s="6"/>
      <c r="S461" s="6"/>
      <c r="T461" s="6"/>
      <c r="U461" s="6"/>
      <c r="V461" s="6"/>
    </row>
    <row r="462" spans="1:22" x14ac:dyDescent="0.3">
      <c r="A462" s="6"/>
      <c r="B462" s="6"/>
      <c r="C462" s="6"/>
      <c r="D462" s="6"/>
      <c r="E462" s="6"/>
      <c r="F462" s="6"/>
      <c r="G462" s="6"/>
      <c r="H462" s="6"/>
      <c r="I462" s="6"/>
      <c r="J462" s="6"/>
      <c r="K462" s="6"/>
      <c r="L462" s="6"/>
      <c r="M462" s="6"/>
      <c r="N462" s="6"/>
      <c r="O462" s="6"/>
      <c r="P462" s="6"/>
      <c r="Q462" s="6"/>
      <c r="R462" s="6"/>
      <c r="S462" s="6"/>
      <c r="T462" s="6"/>
      <c r="U462" s="6"/>
      <c r="V462" s="6"/>
    </row>
    <row r="463" spans="1:22" x14ac:dyDescent="0.3">
      <c r="A463" s="6"/>
      <c r="B463" s="6"/>
      <c r="C463" s="6"/>
      <c r="D463" s="6"/>
      <c r="E463" s="6"/>
      <c r="F463" s="6"/>
      <c r="G463" s="6"/>
      <c r="H463" s="6"/>
      <c r="I463" s="6"/>
      <c r="J463" s="6"/>
      <c r="K463" s="6"/>
      <c r="L463" s="6"/>
      <c r="M463" s="6"/>
      <c r="N463" s="6"/>
      <c r="O463" s="6"/>
      <c r="P463" s="6"/>
      <c r="Q463" s="6"/>
      <c r="R463" s="6"/>
      <c r="S463" s="6"/>
      <c r="T463" s="6"/>
      <c r="U463" s="6"/>
      <c r="V463" s="6"/>
    </row>
    <row r="464" spans="1:22" x14ac:dyDescent="0.3">
      <c r="A464" s="6"/>
      <c r="B464" s="6"/>
      <c r="C464" s="6"/>
      <c r="D464" s="6"/>
      <c r="E464" s="6"/>
      <c r="F464" s="6"/>
      <c r="G464" s="6"/>
      <c r="H464" s="6"/>
      <c r="I464" s="6"/>
      <c r="J464" s="6"/>
      <c r="K464" s="6"/>
      <c r="L464" s="6"/>
      <c r="M464" s="6"/>
      <c r="N464" s="6"/>
      <c r="O464" s="6"/>
      <c r="P464" s="6"/>
      <c r="Q464" s="6"/>
      <c r="R464" s="6"/>
      <c r="S464" s="6"/>
      <c r="T464" s="6"/>
      <c r="U464" s="6"/>
      <c r="V464" s="6"/>
    </row>
    <row r="465" spans="1:22" x14ac:dyDescent="0.3">
      <c r="A465" s="6"/>
      <c r="B465" s="6"/>
      <c r="C465" s="6"/>
      <c r="D465" s="6"/>
      <c r="E465" s="6"/>
      <c r="F465" s="6"/>
      <c r="G465" s="6"/>
      <c r="H465" s="6"/>
      <c r="I465" s="6"/>
      <c r="J465" s="6"/>
      <c r="K465" s="6"/>
      <c r="L465" s="6"/>
      <c r="M465" s="6"/>
      <c r="N465" s="6"/>
      <c r="O465" s="6"/>
      <c r="P465" s="6"/>
      <c r="Q465" s="6"/>
      <c r="R465" s="6"/>
      <c r="S465" s="6"/>
      <c r="T465" s="6"/>
      <c r="U465" s="6"/>
      <c r="V465" s="6"/>
    </row>
    <row r="466" spans="1:22" x14ac:dyDescent="0.3">
      <c r="A466" s="6"/>
      <c r="B466" s="6"/>
      <c r="C466" s="6"/>
      <c r="D466" s="6"/>
      <c r="E466" s="6"/>
      <c r="F466" s="6"/>
      <c r="G466" s="6"/>
      <c r="H466" s="6"/>
      <c r="I466" s="6"/>
      <c r="J466" s="6"/>
      <c r="K466" s="6"/>
      <c r="L466" s="6"/>
      <c r="M466" s="6"/>
      <c r="N466" s="6"/>
      <c r="O466" s="6"/>
      <c r="P466" s="6"/>
      <c r="Q466" s="6"/>
      <c r="R466" s="6"/>
      <c r="S466" s="6"/>
      <c r="T466" s="6"/>
      <c r="U466" s="6"/>
      <c r="V466" s="6"/>
    </row>
    <row r="467" spans="1:22" x14ac:dyDescent="0.3">
      <c r="A467" s="6"/>
      <c r="B467" s="6"/>
      <c r="C467" s="6"/>
      <c r="D467" s="6"/>
      <c r="E467" s="6"/>
      <c r="F467" s="6"/>
      <c r="G467" s="6"/>
      <c r="H467" s="6"/>
      <c r="I467" s="6"/>
      <c r="J467" s="6"/>
      <c r="K467" s="6"/>
      <c r="L467" s="6"/>
      <c r="M467" s="6"/>
      <c r="N467" s="6"/>
      <c r="O467" s="6"/>
      <c r="P467" s="6"/>
      <c r="Q467" s="6"/>
      <c r="R467" s="6"/>
      <c r="S467" s="6"/>
      <c r="T467" s="6"/>
      <c r="U467" s="6"/>
      <c r="V467" s="6"/>
    </row>
    <row r="468" spans="1:22" x14ac:dyDescent="0.3">
      <c r="A468" s="6"/>
      <c r="B468" s="6"/>
      <c r="C468" s="6"/>
      <c r="D468" s="6"/>
      <c r="E468" s="6"/>
      <c r="F468" s="6"/>
      <c r="G468" s="6"/>
      <c r="H468" s="6"/>
      <c r="I468" s="6"/>
      <c r="J468" s="6"/>
      <c r="K468" s="6"/>
      <c r="L468" s="6"/>
      <c r="M468" s="6"/>
      <c r="N468" s="6"/>
      <c r="O468" s="6"/>
      <c r="P468" s="6"/>
      <c r="Q468" s="6"/>
      <c r="R468" s="6"/>
      <c r="S468" s="6"/>
      <c r="T468" s="6"/>
      <c r="U468" s="6"/>
      <c r="V468" s="6"/>
    </row>
    <row r="469" spans="1:22" x14ac:dyDescent="0.3">
      <c r="A469" s="6"/>
      <c r="B469" s="6"/>
      <c r="C469" s="6"/>
      <c r="D469" s="6"/>
      <c r="E469" s="6"/>
      <c r="F469" s="6"/>
      <c r="G469" s="6"/>
      <c r="H469" s="6"/>
      <c r="I469" s="6"/>
      <c r="J469" s="6"/>
      <c r="K469" s="6"/>
      <c r="L469" s="6"/>
      <c r="M469" s="6"/>
      <c r="N469" s="6"/>
      <c r="O469" s="6"/>
      <c r="P469" s="6"/>
      <c r="Q469" s="6"/>
      <c r="R469" s="6"/>
      <c r="S469" s="6"/>
      <c r="T469" s="6"/>
      <c r="U469" s="6"/>
      <c r="V469" s="6"/>
    </row>
    <row r="470" spans="1:22" x14ac:dyDescent="0.3">
      <c r="A470" s="6"/>
      <c r="B470" s="6"/>
      <c r="C470" s="6"/>
      <c r="D470" s="6"/>
      <c r="E470" s="6"/>
      <c r="F470" s="6"/>
      <c r="G470" s="6"/>
      <c r="H470" s="6"/>
      <c r="I470" s="6"/>
      <c r="J470" s="6"/>
      <c r="K470" s="6"/>
      <c r="L470" s="6"/>
      <c r="M470" s="6"/>
      <c r="N470" s="6"/>
      <c r="O470" s="6"/>
      <c r="P470" s="6"/>
      <c r="Q470" s="6"/>
      <c r="R470" s="6"/>
      <c r="S470" s="6"/>
      <c r="T470" s="6"/>
      <c r="U470" s="6"/>
      <c r="V470" s="6"/>
    </row>
    <row r="471" spans="1:22" x14ac:dyDescent="0.3">
      <c r="A471" s="6"/>
      <c r="B471" s="6"/>
      <c r="C471" s="6"/>
      <c r="D471" s="6"/>
      <c r="E471" s="6"/>
      <c r="F471" s="6"/>
      <c r="G471" s="6"/>
      <c r="H471" s="6"/>
      <c r="I471" s="6"/>
      <c r="J471" s="6"/>
      <c r="K471" s="6"/>
      <c r="L471" s="6"/>
      <c r="M471" s="6"/>
      <c r="N471" s="6"/>
      <c r="O471" s="6"/>
      <c r="P471" s="6"/>
      <c r="Q471" s="6"/>
      <c r="R471" s="6"/>
      <c r="S471" s="6"/>
      <c r="T471" s="6"/>
      <c r="U471" s="6"/>
      <c r="V471" s="6"/>
    </row>
    <row r="472" spans="1:22" x14ac:dyDescent="0.3">
      <c r="A472" s="6"/>
      <c r="B472" s="6"/>
      <c r="C472" s="6"/>
      <c r="D472" s="6"/>
      <c r="E472" s="6"/>
      <c r="F472" s="6"/>
      <c r="G472" s="6"/>
      <c r="H472" s="6"/>
      <c r="I472" s="6"/>
      <c r="J472" s="6"/>
      <c r="K472" s="6"/>
      <c r="L472" s="6"/>
      <c r="M472" s="6"/>
      <c r="N472" s="6"/>
      <c r="O472" s="6"/>
      <c r="P472" s="6"/>
      <c r="Q472" s="6"/>
      <c r="R472" s="6"/>
      <c r="S472" s="6"/>
      <c r="T472" s="6"/>
      <c r="U472" s="6"/>
      <c r="V472" s="6"/>
    </row>
    <row r="473" spans="1:22" x14ac:dyDescent="0.3">
      <c r="A473" s="6"/>
      <c r="B473" s="6"/>
      <c r="C473" s="6"/>
      <c r="D473" s="6"/>
      <c r="E473" s="6"/>
      <c r="F473" s="6"/>
      <c r="G473" s="6"/>
      <c r="H473" s="6"/>
      <c r="I473" s="6"/>
      <c r="J473" s="6"/>
      <c r="K473" s="6"/>
      <c r="L473" s="6"/>
      <c r="M473" s="6"/>
      <c r="N473" s="6"/>
      <c r="O473" s="6"/>
      <c r="P473" s="6"/>
      <c r="Q473" s="6"/>
      <c r="R473" s="6"/>
      <c r="S473" s="6"/>
      <c r="T473" s="6"/>
      <c r="U473" s="6"/>
      <c r="V473" s="6"/>
    </row>
    <row r="474" spans="1:22" x14ac:dyDescent="0.3">
      <c r="A474" s="6"/>
      <c r="B474" s="6"/>
      <c r="C474" s="6"/>
      <c r="D474" s="6"/>
      <c r="E474" s="6"/>
      <c r="F474" s="6"/>
      <c r="G474" s="6"/>
      <c r="H474" s="6"/>
      <c r="I474" s="6"/>
      <c r="J474" s="6"/>
      <c r="K474" s="6"/>
      <c r="L474" s="6"/>
      <c r="M474" s="6"/>
      <c r="N474" s="6"/>
      <c r="O474" s="6"/>
      <c r="P474" s="6"/>
      <c r="Q474" s="6"/>
      <c r="R474" s="6"/>
      <c r="S474" s="6"/>
      <c r="T474" s="6"/>
      <c r="U474" s="6"/>
      <c r="V474" s="6"/>
    </row>
    <row r="475" spans="1:22" x14ac:dyDescent="0.3">
      <c r="A475" s="6"/>
      <c r="B475" s="6"/>
      <c r="C475" s="6"/>
      <c r="D475" s="6"/>
      <c r="E475" s="6"/>
      <c r="F475" s="6"/>
      <c r="G475" s="6"/>
      <c r="H475" s="6"/>
      <c r="I475" s="6"/>
      <c r="J475" s="6"/>
      <c r="K475" s="6"/>
      <c r="L475" s="6"/>
      <c r="M475" s="6"/>
      <c r="N475" s="6"/>
      <c r="O475" s="6"/>
      <c r="P475" s="6"/>
      <c r="Q475" s="6"/>
      <c r="R475" s="6"/>
      <c r="S475" s="6"/>
      <c r="T475" s="6"/>
      <c r="U475" s="6"/>
      <c r="V475" s="6"/>
    </row>
    <row r="476" spans="1:22" x14ac:dyDescent="0.3">
      <c r="A476" s="6"/>
      <c r="B476" s="6"/>
      <c r="C476" s="6"/>
      <c r="D476" s="6"/>
      <c r="E476" s="6"/>
      <c r="F476" s="6"/>
      <c r="G476" s="6"/>
      <c r="H476" s="6"/>
      <c r="I476" s="6"/>
      <c r="J476" s="6"/>
      <c r="K476" s="6"/>
      <c r="L476" s="6"/>
      <c r="M476" s="6"/>
      <c r="N476" s="6"/>
      <c r="O476" s="6"/>
      <c r="P476" s="6"/>
      <c r="Q476" s="6"/>
      <c r="R476" s="6"/>
      <c r="S476" s="6"/>
      <c r="T476" s="6"/>
      <c r="U476" s="6"/>
      <c r="V476" s="6"/>
    </row>
    <row r="477" spans="1:22" x14ac:dyDescent="0.3">
      <c r="A477" s="6"/>
      <c r="B477" s="6"/>
      <c r="C477" s="6"/>
      <c r="D477" s="6"/>
      <c r="E477" s="6"/>
      <c r="F477" s="6"/>
      <c r="G477" s="6"/>
      <c r="H477" s="6"/>
      <c r="I477" s="6"/>
      <c r="J477" s="6"/>
      <c r="K477" s="6"/>
      <c r="L477" s="6"/>
      <c r="M477" s="6"/>
      <c r="N477" s="6"/>
      <c r="O477" s="6"/>
      <c r="P477" s="6"/>
      <c r="Q477" s="6"/>
      <c r="R477" s="6"/>
      <c r="S477" s="6"/>
      <c r="T477" s="6"/>
      <c r="U477" s="6"/>
      <c r="V477" s="6"/>
    </row>
    <row r="478" spans="1:22" x14ac:dyDescent="0.3">
      <c r="A478" s="6"/>
      <c r="B478" s="6"/>
      <c r="C478" s="6"/>
      <c r="D478" s="6"/>
      <c r="E478" s="6"/>
      <c r="F478" s="6"/>
      <c r="G478" s="6"/>
      <c r="H478" s="6"/>
      <c r="I478" s="6"/>
      <c r="J478" s="6"/>
      <c r="K478" s="6"/>
      <c r="L478" s="6"/>
      <c r="M478" s="6"/>
      <c r="N478" s="6"/>
      <c r="O478" s="6"/>
      <c r="P478" s="6"/>
      <c r="Q478" s="6"/>
      <c r="R478" s="6"/>
      <c r="S478" s="6"/>
      <c r="T478" s="6"/>
      <c r="U478" s="6"/>
      <c r="V478" s="6"/>
    </row>
    <row r="479" spans="1:22" x14ac:dyDescent="0.3">
      <c r="A479" s="6"/>
      <c r="B479" s="6"/>
      <c r="C479" s="6"/>
      <c r="D479" s="6"/>
      <c r="E479" s="6"/>
      <c r="F479" s="6"/>
      <c r="G479" s="6"/>
      <c r="H479" s="6"/>
      <c r="I479" s="6"/>
      <c r="J479" s="6"/>
      <c r="K479" s="6"/>
      <c r="L479" s="6"/>
      <c r="M479" s="6"/>
      <c r="N479" s="6"/>
      <c r="O479" s="6"/>
      <c r="P479" s="6"/>
      <c r="Q479" s="6"/>
      <c r="R479" s="6"/>
      <c r="S479" s="6"/>
      <c r="T479" s="6"/>
      <c r="U479" s="6"/>
      <c r="V479" s="6"/>
    </row>
    <row r="480" spans="1:22" x14ac:dyDescent="0.3">
      <c r="A480" s="6"/>
      <c r="B480" s="6"/>
      <c r="C480" s="6"/>
      <c r="D480" s="6"/>
      <c r="E480" s="6"/>
      <c r="F480" s="6"/>
      <c r="G480" s="6"/>
      <c r="H480" s="6"/>
      <c r="I480" s="6"/>
      <c r="J480" s="6"/>
      <c r="K480" s="6"/>
      <c r="L480" s="6"/>
      <c r="M480" s="6"/>
      <c r="N480" s="6"/>
      <c r="O480" s="6"/>
      <c r="P480" s="6"/>
      <c r="Q480" s="6"/>
      <c r="R480" s="6"/>
      <c r="S480" s="6"/>
      <c r="T480" s="6"/>
      <c r="U480" s="6"/>
      <c r="V480" s="6"/>
    </row>
    <row r="481" spans="1:22" x14ac:dyDescent="0.3">
      <c r="A481" s="6"/>
      <c r="B481" s="6"/>
      <c r="C481" s="6"/>
      <c r="D481" s="6"/>
      <c r="E481" s="6"/>
      <c r="F481" s="6"/>
      <c r="G481" s="6"/>
      <c r="H481" s="6"/>
      <c r="I481" s="6"/>
      <c r="J481" s="6"/>
      <c r="K481" s="6"/>
      <c r="L481" s="6"/>
      <c r="M481" s="6"/>
      <c r="N481" s="6"/>
      <c r="O481" s="6"/>
      <c r="P481" s="6"/>
      <c r="Q481" s="6"/>
      <c r="R481" s="6"/>
      <c r="S481" s="6"/>
      <c r="T481" s="6"/>
      <c r="U481" s="6"/>
      <c r="V481" s="6"/>
    </row>
    <row r="482" spans="1:22" x14ac:dyDescent="0.3">
      <c r="A482" s="6"/>
      <c r="B482" s="6"/>
      <c r="C482" s="6"/>
      <c r="D482" s="6"/>
      <c r="E482" s="6"/>
      <c r="F482" s="6"/>
      <c r="G482" s="6"/>
      <c r="H482" s="6"/>
      <c r="I482" s="6"/>
      <c r="J482" s="6"/>
      <c r="K482" s="6"/>
      <c r="L482" s="6"/>
      <c r="M482" s="6"/>
      <c r="N482" s="6"/>
      <c r="O482" s="6"/>
      <c r="P482" s="6"/>
      <c r="Q482" s="6"/>
      <c r="R482" s="6"/>
      <c r="S482" s="6"/>
      <c r="T482" s="6"/>
      <c r="U482" s="6"/>
      <c r="V482" s="6"/>
    </row>
    <row r="483" spans="1:22" x14ac:dyDescent="0.3">
      <c r="A483" s="6"/>
      <c r="B483" s="6"/>
      <c r="C483" s="6"/>
      <c r="D483" s="6"/>
      <c r="E483" s="6"/>
      <c r="F483" s="6"/>
      <c r="G483" s="6"/>
      <c r="H483" s="6"/>
      <c r="I483" s="6"/>
      <c r="J483" s="6"/>
      <c r="K483" s="6"/>
      <c r="L483" s="6"/>
      <c r="M483" s="6"/>
      <c r="N483" s="6"/>
      <c r="O483" s="6"/>
      <c r="P483" s="6"/>
      <c r="Q483" s="6"/>
      <c r="R483" s="6"/>
      <c r="S483" s="6"/>
      <c r="T483" s="6"/>
      <c r="U483" s="6"/>
      <c r="V483" s="6"/>
    </row>
    <row r="484" spans="1:22" x14ac:dyDescent="0.3">
      <c r="A484" s="6"/>
      <c r="B484" s="6"/>
      <c r="C484" s="6"/>
      <c r="D484" s="6"/>
      <c r="E484" s="6"/>
      <c r="F484" s="6"/>
      <c r="G484" s="6"/>
      <c r="H484" s="6"/>
      <c r="I484" s="6"/>
      <c r="J484" s="6"/>
      <c r="K484" s="6"/>
      <c r="L484" s="6"/>
      <c r="M484" s="6"/>
      <c r="N484" s="6"/>
      <c r="O484" s="6"/>
      <c r="P484" s="6"/>
      <c r="Q484" s="6"/>
      <c r="R484" s="6"/>
      <c r="S484" s="6"/>
      <c r="T484" s="6"/>
      <c r="U484" s="6"/>
      <c r="V484" s="6"/>
    </row>
    <row r="485" spans="1:22" x14ac:dyDescent="0.3">
      <c r="A485" s="6"/>
      <c r="B485" s="6"/>
      <c r="C485" s="6"/>
      <c r="D485" s="6"/>
      <c r="E485" s="6"/>
      <c r="F485" s="6"/>
      <c r="G485" s="6"/>
      <c r="H485" s="6"/>
      <c r="I485" s="6"/>
      <c r="J485" s="6"/>
      <c r="K485" s="6"/>
      <c r="L485" s="6"/>
      <c r="M485" s="6"/>
      <c r="N485" s="6"/>
      <c r="O485" s="6"/>
      <c r="P485" s="6"/>
      <c r="Q485" s="6"/>
      <c r="R485" s="6"/>
      <c r="S485" s="6"/>
      <c r="T485" s="6"/>
      <c r="U485" s="6"/>
      <c r="V485" s="6"/>
    </row>
    <row r="486" spans="1:22" x14ac:dyDescent="0.3">
      <c r="A486" s="6"/>
      <c r="B486" s="6"/>
      <c r="C486" s="6"/>
      <c r="D486" s="6"/>
      <c r="E486" s="6"/>
      <c r="F486" s="6"/>
      <c r="G486" s="6"/>
      <c r="H486" s="6"/>
      <c r="I486" s="6"/>
      <c r="J486" s="6"/>
      <c r="K486" s="6"/>
      <c r="L486" s="6"/>
      <c r="M486" s="6"/>
      <c r="N486" s="6"/>
      <c r="O486" s="6"/>
      <c r="P486" s="6"/>
      <c r="Q486" s="6"/>
      <c r="R486" s="6"/>
      <c r="S486" s="6"/>
      <c r="T486" s="6"/>
      <c r="U486" s="6"/>
      <c r="V486" s="6"/>
    </row>
    <row r="487" spans="1:22" x14ac:dyDescent="0.3">
      <c r="A487" s="6"/>
      <c r="B487" s="6"/>
      <c r="C487" s="6"/>
      <c r="D487" s="6"/>
      <c r="E487" s="6"/>
      <c r="F487" s="6"/>
      <c r="G487" s="6"/>
      <c r="H487" s="6"/>
      <c r="I487" s="6"/>
      <c r="J487" s="6"/>
      <c r="K487" s="6"/>
      <c r="L487" s="6"/>
      <c r="M487" s="6"/>
      <c r="N487" s="6"/>
      <c r="O487" s="6"/>
      <c r="P487" s="6"/>
      <c r="Q487" s="6"/>
      <c r="R487" s="6"/>
      <c r="S487" s="6"/>
      <c r="T487" s="6"/>
      <c r="U487" s="6"/>
      <c r="V487" s="6"/>
    </row>
    <row r="488" spans="1:22" x14ac:dyDescent="0.3">
      <c r="A488" s="6"/>
      <c r="B488" s="6"/>
      <c r="C488" s="6"/>
      <c r="D488" s="6"/>
      <c r="E488" s="6"/>
      <c r="F488" s="6"/>
      <c r="G488" s="6"/>
      <c r="H488" s="6"/>
      <c r="I488" s="6"/>
      <c r="J488" s="6"/>
      <c r="K488" s="6"/>
      <c r="L488" s="6"/>
      <c r="M488" s="6"/>
      <c r="N488" s="6"/>
      <c r="O488" s="6"/>
      <c r="P488" s="6"/>
      <c r="Q488" s="6"/>
      <c r="R488" s="6"/>
      <c r="S488" s="6"/>
      <c r="T488" s="6"/>
      <c r="U488" s="6"/>
      <c r="V488" s="6"/>
    </row>
    <row r="489" spans="1:22" x14ac:dyDescent="0.3">
      <c r="A489" s="6"/>
      <c r="B489" s="6"/>
      <c r="C489" s="6"/>
      <c r="D489" s="6"/>
      <c r="E489" s="6"/>
      <c r="F489" s="6"/>
      <c r="G489" s="6"/>
      <c r="H489" s="6"/>
      <c r="I489" s="6"/>
      <c r="J489" s="6"/>
      <c r="K489" s="6"/>
      <c r="L489" s="6"/>
      <c r="M489" s="6"/>
      <c r="N489" s="6"/>
      <c r="O489" s="6"/>
      <c r="P489" s="6"/>
      <c r="Q489" s="6"/>
      <c r="R489" s="6"/>
      <c r="S489" s="6"/>
      <c r="T489" s="6"/>
      <c r="U489" s="6"/>
      <c r="V489" s="6"/>
    </row>
    <row r="490" spans="1:22" x14ac:dyDescent="0.3">
      <c r="A490" s="6"/>
      <c r="B490" s="6"/>
      <c r="C490" s="6"/>
      <c r="D490" s="6"/>
      <c r="E490" s="6"/>
      <c r="F490" s="6"/>
      <c r="G490" s="6"/>
      <c r="H490" s="6"/>
      <c r="I490" s="6"/>
      <c r="J490" s="6"/>
      <c r="K490" s="6"/>
      <c r="L490" s="6"/>
      <c r="M490" s="6"/>
      <c r="N490" s="6"/>
      <c r="O490" s="6"/>
      <c r="P490" s="6"/>
      <c r="Q490" s="6"/>
      <c r="R490" s="6"/>
      <c r="S490" s="6"/>
      <c r="T490" s="6"/>
      <c r="U490" s="6"/>
      <c r="V490" s="6"/>
    </row>
    <row r="491" spans="1:22" x14ac:dyDescent="0.3">
      <c r="A491" s="6"/>
      <c r="B491" s="6"/>
      <c r="C491" s="6"/>
      <c r="D491" s="6"/>
      <c r="E491" s="6"/>
      <c r="F491" s="6"/>
      <c r="G491" s="6"/>
      <c r="H491" s="6"/>
      <c r="I491" s="6"/>
      <c r="J491" s="6"/>
      <c r="K491" s="6"/>
      <c r="L491" s="6"/>
      <c r="M491" s="6"/>
      <c r="N491" s="6"/>
      <c r="O491" s="6"/>
      <c r="P491" s="6"/>
      <c r="Q491" s="6"/>
      <c r="R491" s="6"/>
      <c r="S491" s="6"/>
      <c r="T491" s="6"/>
      <c r="U491" s="6"/>
      <c r="V491" s="6"/>
    </row>
    <row r="492" spans="1:22" x14ac:dyDescent="0.3">
      <c r="A492" s="6"/>
      <c r="B492" s="6"/>
      <c r="C492" s="6"/>
      <c r="D492" s="6"/>
      <c r="E492" s="6"/>
      <c r="F492" s="6"/>
      <c r="G492" s="6"/>
      <c r="H492" s="6"/>
      <c r="I492" s="6"/>
      <c r="J492" s="6"/>
      <c r="K492" s="6"/>
      <c r="L492" s="6"/>
      <c r="M492" s="6"/>
      <c r="N492" s="6"/>
      <c r="O492" s="6"/>
      <c r="P492" s="6"/>
      <c r="Q492" s="6"/>
      <c r="R492" s="6"/>
      <c r="S492" s="6"/>
      <c r="T492" s="6"/>
      <c r="U492" s="6"/>
      <c r="V492" s="6"/>
    </row>
    <row r="493" spans="1:22" x14ac:dyDescent="0.3">
      <c r="A493" s="6"/>
      <c r="B493" s="6"/>
      <c r="C493" s="6"/>
      <c r="D493" s="6"/>
      <c r="E493" s="6"/>
      <c r="F493" s="6"/>
      <c r="G493" s="6"/>
      <c r="H493" s="6"/>
      <c r="I493" s="6"/>
      <c r="J493" s="6"/>
      <c r="K493" s="6"/>
      <c r="L493" s="6"/>
      <c r="M493" s="6"/>
      <c r="N493" s="6"/>
      <c r="O493" s="6"/>
      <c r="P493" s="6"/>
      <c r="Q493" s="6"/>
      <c r="R493" s="6"/>
      <c r="S493" s="6"/>
      <c r="T493" s="6"/>
      <c r="U493" s="6"/>
      <c r="V493" s="6"/>
    </row>
    <row r="494" spans="1:22" x14ac:dyDescent="0.3">
      <c r="A494" s="6"/>
      <c r="B494" s="6"/>
      <c r="C494" s="6"/>
      <c r="D494" s="6"/>
      <c r="E494" s="6"/>
      <c r="F494" s="6"/>
      <c r="G494" s="6"/>
      <c r="H494" s="6"/>
      <c r="I494" s="6"/>
      <c r="J494" s="6"/>
      <c r="K494" s="6"/>
      <c r="L494" s="6"/>
      <c r="M494" s="6"/>
      <c r="N494" s="6"/>
      <c r="O494" s="6"/>
      <c r="P494" s="6"/>
      <c r="Q494" s="6"/>
      <c r="R494" s="6"/>
      <c r="S494" s="6"/>
      <c r="T494" s="6"/>
      <c r="U494" s="6"/>
      <c r="V494" s="6"/>
    </row>
    <row r="495" spans="1:22" x14ac:dyDescent="0.3">
      <c r="A495" s="6"/>
      <c r="B495" s="6"/>
      <c r="C495" s="6"/>
      <c r="D495" s="6"/>
      <c r="E495" s="6"/>
      <c r="F495" s="6"/>
      <c r="G495" s="6"/>
      <c r="H495" s="6"/>
      <c r="I495" s="6"/>
      <c r="J495" s="6"/>
      <c r="K495" s="6"/>
      <c r="L495" s="6"/>
      <c r="M495" s="6"/>
      <c r="N495" s="6"/>
      <c r="O495" s="6"/>
      <c r="P495" s="6"/>
      <c r="Q495" s="6"/>
      <c r="R495" s="6"/>
      <c r="S495" s="6"/>
      <c r="T495" s="6"/>
      <c r="U495" s="6"/>
      <c r="V495" s="6"/>
    </row>
  </sheetData>
  <conditionalFormatting sqref="L8">
    <cfRule type="colorScale" priority="5">
      <colorScale>
        <cfvo type="num" val="0"/>
        <cfvo type="num" val="100"/>
        <color rgb="FFFF0000"/>
        <color rgb="FF00B050"/>
      </colorScale>
    </cfRule>
  </conditionalFormatting>
  <conditionalFormatting sqref="H3:K4">
    <cfRule type="colorScale" priority="13">
      <colorScale>
        <cfvo type="min"/>
        <cfvo type="percentile" val="50"/>
        <cfvo type="max"/>
        <color rgb="FFF8696B"/>
        <color rgb="FFFFEB84"/>
        <color rgb="FF63BE7B"/>
      </colorScale>
    </cfRule>
  </conditionalFormatting>
  <conditionalFormatting sqref="H3:K54">
    <cfRule type="cellIs" priority="14" operator="between">
      <formula>1</formula>
      <formula>100</formula>
    </cfRule>
    <cfRule type="colorScale" priority="15">
      <colorScale>
        <cfvo type="min"/>
        <cfvo type="percentile" val="50"/>
        <cfvo type="max"/>
        <color rgb="FFF8696B"/>
        <color rgb="FFFFEB84"/>
        <color rgb="FF63BE7B"/>
      </colorScale>
    </cfRule>
    <cfRule type="colorScale" priority="16">
      <colorScale>
        <cfvo type="num" val="0"/>
        <cfvo type="percentile" val="50"/>
        <cfvo type="num" val="100"/>
        <color rgb="FFF8696B"/>
        <color rgb="FFFFEB84"/>
        <color rgb="FF63BE7B"/>
      </colorScale>
    </cfRule>
    <cfRule type="colorScale" priority="17">
      <colorScale>
        <cfvo type="min"/>
        <cfvo type="percentile" val="50"/>
        <cfvo type="max"/>
        <color rgb="FFF8696B"/>
        <color rgb="FFFFEB84"/>
        <color rgb="FF63BE7B"/>
      </colorScale>
    </cfRule>
    <cfRule type="cellIs" priority="18" operator="between">
      <formula>1</formula>
      <formula>200</formula>
    </cfRule>
  </conditionalFormatting>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75"/>
  <sheetViews>
    <sheetView topLeftCell="A645" zoomScale="85" zoomScaleNormal="85" workbookViewId="0">
      <selection activeCell="B672" sqref="B672"/>
    </sheetView>
  </sheetViews>
  <sheetFormatPr defaultColWidth="8.77734375" defaultRowHeight="14.4" x14ac:dyDescent="0.3"/>
  <cols>
    <col min="2" max="2" width="11.77734375" customWidth="1"/>
    <col min="4" max="4" width="12.77734375" customWidth="1"/>
  </cols>
  <sheetData>
    <row r="1" spans="1:29" x14ac:dyDescent="0.3">
      <c r="A1" t="s">
        <v>897</v>
      </c>
      <c r="B1" t="s">
        <v>898</v>
      </c>
      <c r="C1" t="s">
        <v>873</v>
      </c>
      <c r="D1" t="s">
        <v>461</v>
      </c>
      <c r="E1">
        <v>1</v>
      </c>
      <c r="F1">
        <v>2</v>
      </c>
      <c r="G1">
        <v>3</v>
      </c>
      <c r="H1">
        <v>4</v>
      </c>
      <c r="I1">
        <v>5</v>
      </c>
      <c r="J1">
        <v>6</v>
      </c>
      <c r="K1">
        <v>7</v>
      </c>
      <c r="L1">
        <v>8</v>
      </c>
      <c r="M1">
        <v>9</v>
      </c>
      <c r="N1">
        <v>10</v>
      </c>
      <c r="O1" s="109" t="s">
        <v>899</v>
      </c>
      <c r="Q1" t="s">
        <v>897</v>
      </c>
      <c r="R1" t="s">
        <v>898</v>
      </c>
      <c r="S1" t="s">
        <v>873</v>
      </c>
      <c r="T1">
        <f>E1</f>
        <v>1</v>
      </c>
      <c r="U1">
        <f t="shared" ref="U1:AB1" si="0">F1</f>
        <v>2</v>
      </c>
      <c r="V1">
        <f t="shared" si="0"/>
        <v>3</v>
      </c>
      <c r="W1">
        <f t="shared" si="0"/>
        <v>4</v>
      </c>
      <c r="X1">
        <f t="shared" si="0"/>
        <v>5</v>
      </c>
      <c r="Y1">
        <f t="shared" si="0"/>
        <v>6</v>
      </c>
      <c r="Z1">
        <f t="shared" si="0"/>
        <v>7</v>
      </c>
      <c r="AA1">
        <f t="shared" si="0"/>
        <v>8</v>
      </c>
      <c r="AB1">
        <f t="shared" si="0"/>
        <v>9</v>
      </c>
      <c r="AC1">
        <f>N1</f>
        <v>10</v>
      </c>
    </row>
    <row r="2" spans="1:29" x14ac:dyDescent="0.3">
      <c r="A2" t="s">
        <v>65</v>
      </c>
      <c r="B2" t="s">
        <v>892</v>
      </c>
      <c r="C2">
        <v>1</v>
      </c>
      <c r="D2">
        <v>1</v>
      </c>
      <c r="E2">
        <f>AVERAGEIFS('Region 1'!$W$2:$W$498,'Region 1'!$A$2:$A$498,E$1,'Region 1'!$X$2:$X$498,$D2,'Region 1'!$S$2:$S$498,$A2)</f>
        <v>230.13263802289993</v>
      </c>
      <c r="F2" t="e">
        <f>AVERAGEIFS('Region 1'!$W$2:$W$498,'Region 1'!$A$2:$A$498,F$1,'Region 1'!$X$2:$X$498,$D2,'Region 1'!$S$2:$S$498,$A2)</f>
        <v>#DIV/0!</v>
      </c>
      <c r="G2">
        <f>AVERAGEIFS('Region 1'!$W$2:$W$498,'Region 1'!$A$2:$A$498,G$1,'Region 1'!$X$2:$X$498,$D2,'Region 1'!$S$2:$S$498,$A2)</f>
        <v>1199.9927690000002</v>
      </c>
      <c r="H2" t="e">
        <f>AVERAGEIFS('Region 1'!$W$2:$W$498,'Region 1'!$A$2:$A$498,H$1,'Region 1'!$X$2:$X$498,$D2,'Region 1'!$S$2:$S$498,$A2)</f>
        <v>#DIV/0!</v>
      </c>
      <c r="I2" t="e">
        <f>AVERAGEIFS('Region 1'!$W$2:$W$498,'Region 1'!$A$2:$A$498,I$1,'Region 1'!$X$2:$X$498,$D2,'Region 1'!$S$2:$S$498,$A2)</f>
        <v>#DIV/0!</v>
      </c>
      <c r="J2" t="e">
        <f>AVERAGEIFS('Region 1'!$W$2:$W$498,'Region 1'!$A$2:$A$498,J$1,'Region 1'!$X$2:$X$498,$D2,'Region 1'!$S$2:$S$498,$A2)</f>
        <v>#DIV/0!</v>
      </c>
      <c r="K2" t="e">
        <f>AVERAGEIFS('Region 1'!$W$2:$W$498,'Region 1'!$A$2:$A$498,K$1,'Region 1'!$X$2:$X$498,$D2,'Region 1'!$S$2:$S$498,$A2)</f>
        <v>#DIV/0!</v>
      </c>
      <c r="L2" t="e">
        <f>AVERAGEIFS('Region 1'!$W$2:$W$498,'Region 1'!$A$2:$A$498,L$1,'Region 1'!$X$2:$X$498,$D2,'Region 1'!$S$2:$S$498,$A2)</f>
        <v>#DIV/0!</v>
      </c>
      <c r="M2" t="e">
        <f>AVERAGEIFS('Region 1'!$W$2:$W$498,'Region 1'!$A$2:$A$498,M$1,'Region 1'!$X$2:$X$498,$D2,'Region 1'!$S$2:$S$498,$A2)</f>
        <v>#DIV/0!</v>
      </c>
      <c r="N2" t="e">
        <f>AVERAGEIFS('Region 1'!$W$2:$W$498,'Region 1'!$A$2:$A$498,N$1,'Region 1'!$X$2:$X$498,$D2,'Region 1'!$S$2:$S$498,$A2)</f>
        <v>#DIV/0!</v>
      </c>
      <c r="Q2" t="str">
        <f>A2</f>
        <v>Concrete</v>
      </c>
      <c r="R2" t="str">
        <f t="shared" ref="R2:S2" si="1">B2</f>
        <v>Detached</v>
      </c>
      <c r="S2">
        <f t="shared" si="1"/>
        <v>1</v>
      </c>
      <c r="T2">
        <f>IF(ISNUMBER(E2),E2,"-")</f>
        <v>230.13263802289993</v>
      </c>
      <c r="U2" t="str">
        <f t="shared" ref="U2:AC2" si="2">IF(ISNUMBER(F2),F2,"-")</f>
        <v>-</v>
      </c>
      <c r="V2">
        <f t="shared" si="2"/>
        <v>1199.9927690000002</v>
      </c>
      <c r="W2" t="str">
        <f t="shared" si="2"/>
        <v>-</v>
      </c>
      <c r="X2" t="str">
        <f t="shared" si="2"/>
        <v>-</v>
      </c>
      <c r="Y2" t="str">
        <f t="shared" si="2"/>
        <v>-</v>
      </c>
      <c r="Z2" t="str">
        <f t="shared" si="2"/>
        <v>-</v>
      </c>
      <c r="AA2" t="str">
        <f t="shared" si="2"/>
        <v>-</v>
      </c>
      <c r="AB2" t="str">
        <f t="shared" si="2"/>
        <v>-</v>
      </c>
      <c r="AC2" t="str">
        <f t="shared" si="2"/>
        <v>-</v>
      </c>
    </row>
    <row r="3" spans="1:29" x14ac:dyDescent="0.3">
      <c r="A3" t="s">
        <v>65</v>
      </c>
      <c r="B3" t="s">
        <v>892</v>
      </c>
      <c r="C3">
        <v>2</v>
      </c>
      <c r="D3">
        <v>1</v>
      </c>
      <c r="E3">
        <f>AVERAGEIFS('Region 2'!$W$2:$W$498,'Region 2'!$A$2:$A$498,E$1,'Region 2'!$X$2:$X$498,$D3,'Region 2'!$S$2:$S$498,$A3)</f>
        <v>795.39647224843634</v>
      </c>
      <c r="F3">
        <f>AVERAGEIFS('Region 2'!$W$2:$W$498,'Region 2'!$A$2:$A$498,F$1,'Region 2'!$X$2:$X$498,$D3,'Region 2'!$S$2:$S$498,$A3)</f>
        <v>551.75174825174827</v>
      </c>
      <c r="G3">
        <f>AVERAGEIFS('Region 2'!$W$2:$W$498,'Region 2'!$A$2:$A$498,G$1,'Region 2'!$X$2:$X$498,$D3,'Region 2'!$S$2:$S$498,$A3)</f>
        <v>270.62094857576915</v>
      </c>
      <c r="H3" t="e">
        <f>AVERAGEIFS('Region 2'!$W$2:$W$498,'Region 2'!$A$2:$A$498,H$1,'Region 2'!$X$2:$X$498,$D3,'Region 2'!$S$2:$S$498,$A3)</f>
        <v>#DIV/0!</v>
      </c>
      <c r="I3" t="e">
        <f>AVERAGEIFS('Region 2'!$W$2:$W$498,'Region 2'!$A$2:$A$498,I$1,'Region 2'!$X$2:$X$498,$D3,'Region 2'!$S$2:$S$498,$A3)</f>
        <v>#DIV/0!</v>
      </c>
      <c r="J3" t="e">
        <f>AVERAGEIFS('Region 2'!$W$2:$W$498,'Region 2'!$A$2:$A$498,J$1,'Region 2'!$X$2:$X$498,$D3,'Region 2'!$S$2:$S$498,$A3)</f>
        <v>#DIV/0!</v>
      </c>
      <c r="K3" t="e">
        <f>AVERAGEIFS('Region 2'!$W$2:$W$498,'Region 2'!$A$2:$A$498,K$1,'Region 2'!$X$2:$X$498,$D3,'Region 2'!$S$2:$S$498,$A3)</f>
        <v>#DIV/0!</v>
      </c>
      <c r="L3" t="e">
        <f>AVERAGEIFS('Region 2'!$W$2:$W$498,'Region 2'!$A$2:$A$498,L$1,'Region 2'!$X$2:$X$498,$D3,'Region 2'!$S$2:$S$498,$A3)</f>
        <v>#DIV/0!</v>
      </c>
      <c r="M3" t="e">
        <f>AVERAGEIFS('Region 2'!$W$2:$W$498,'Region 2'!$A$2:$A$498,M$1,'Region 2'!$X$2:$X$498,$D3,'Region 2'!$S$2:$S$498,$A3)</f>
        <v>#DIV/0!</v>
      </c>
      <c r="N3" t="e">
        <f>AVERAGEIFS('Region 2'!$W$2:$W$498,'Region 2'!$A$2:$A$498,N$1,'Region 2'!$X$2:$X$498,$D3,'Region 2'!$S$2:$S$498,$A3)</f>
        <v>#DIV/0!</v>
      </c>
      <c r="Q3" t="str">
        <f t="shared" ref="Q3:Q10" si="3">A3</f>
        <v>Concrete</v>
      </c>
      <c r="R3" t="str">
        <f t="shared" ref="R3:R10" si="4">B3</f>
        <v>Detached</v>
      </c>
      <c r="S3">
        <f t="shared" ref="S3:S10" si="5">C3</f>
        <v>2</v>
      </c>
      <c r="T3">
        <f t="shared" ref="T3:T66" si="6">IF(ISNUMBER(E3),E3,"-")</f>
        <v>795.39647224843634</v>
      </c>
      <c r="U3">
        <f t="shared" ref="U3:U66" si="7">IF(ISNUMBER(F3),F3,"-")</f>
        <v>551.75174825174827</v>
      </c>
      <c r="V3">
        <f t="shared" ref="V3:V66" si="8">IF(ISNUMBER(G3),G3,"-")</f>
        <v>270.62094857576915</v>
      </c>
      <c r="W3" t="str">
        <f t="shared" ref="W3:W66" si="9">IF(ISNUMBER(H3),H3,"-")</f>
        <v>-</v>
      </c>
      <c r="X3" t="str">
        <f t="shared" ref="X3:X66" si="10">IF(ISNUMBER(I3),I3,"-")</f>
        <v>-</v>
      </c>
      <c r="Y3" t="str">
        <f t="shared" ref="Y3:Y66" si="11">IF(ISNUMBER(J3),J3,"-")</f>
        <v>-</v>
      </c>
      <c r="Z3" t="str">
        <f t="shared" ref="Z3:Z66" si="12">IF(ISNUMBER(K3),K3,"-")</f>
        <v>-</v>
      </c>
      <c r="AA3" t="str">
        <f t="shared" ref="AA3:AA66" si="13">IF(ISNUMBER(L3),L3,"-")</f>
        <v>-</v>
      </c>
      <c r="AB3" t="str">
        <f t="shared" ref="AB3:AB66" si="14">IF(ISNUMBER(M3),M3,"-")</f>
        <v>-</v>
      </c>
      <c r="AC3" t="str">
        <f t="shared" ref="AC3:AC66" si="15">IF(ISNUMBER(N3),N3,"-")</f>
        <v>-</v>
      </c>
    </row>
    <row r="4" spans="1:29" x14ac:dyDescent="0.3">
      <c r="A4" t="s">
        <v>65</v>
      </c>
      <c r="B4" t="s">
        <v>892</v>
      </c>
      <c r="C4">
        <v>3</v>
      </c>
      <c r="D4">
        <v>1</v>
      </c>
      <c r="E4" t="e">
        <f ca="1">AVERAGEIFS('Region 3'!$W$2:$W$500,'Region 3'!$A$2:$A$500,E$1,'Region 3'!$X$2:$X$500,$D4,'Region 3'!$S$2:$S$500,$A4)</f>
        <v>#DIV/0!</v>
      </c>
      <c r="F4" t="e">
        <f ca="1">AVERAGEIFS('Region 3'!$W$2:$W$500,'Region 3'!$A$2:$A$500,F$1,'Region 3'!$X$2:$X$500,$D4,'Region 3'!$S$2:$S$500,$A4)</f>
        <v>#DIV/0!</v>
      </c>
      <c r="G4" t="e">
        <f ca="1">AVERAGEIFS('Region 3'!$W$2:$W$500,'Region 3'!$A$2:$A$500,G$1,'Region 3'!$X$2:$X$500,$D4,'Region 3'!$S$2:$S$500,$A4)</f>
        <v>#DIV/0!</v>
      </c>
      <c r="H4" t="e">
        <f ca="1">AVERAGEIFS('Region 3'!$W$2:$W$500,'Region 3'!$A$2:$A$500,H$1,'Region 3'!$X$2:$X$500,$D4,'Region 3'!$S$2:$S$500,$A4)</f>
        <v>#DIV/0!</v>
      </c>
      <c r="I4" t="e">
        <f ca="1">AVERAGEIFS('Region 3'!$W$2:$W$500,'Region 3'!$A$2:$A$500,I$1,'Region 3'!$X$2:$X$500,$D4,'Region 3'!$S$2:$S$500,$A4)</f>
        <v>#DIV/0!</v>
      </c>
      <c r="J4" t="e">
        <f ca="1">AVERAGEIFS('Region 3'!$W$2:$W$500,'Region 3'!$A$2:$A$500,J$1,'Region 3'!$X$2:$X$500,$D4,'Region 3'!$S$2:$S$500,$A4)</f>
        <v>#DIV/0!</v>
      </c>
      <c r="K4" t="e">
        <f ca="1">AVERAGEIFS('Region 3'!$W$2:$W$500,'Region 3'!$A$2:$A$500,K$1,'Region 3'!$X$2:$X$500,$D4,'Region 3'!$S$2:$S$500,$A4)</f>
        <v>#DIV/0!</v>
      </c>
      <c r="L4" t="e">
        <f ca="1">AVERAGEIFS('Region 3'!$W$2:$W$500,'Region 3'!$A$2:$A$500,L$1,'Region 3'!$X$2:$X$500,$D4,'Region 3'!$S$2:$S$500,$A4)</f>
        <v>#DIV/0!</v>
      </c>
      <c r="M4" t="e">
        <f ca="1">AVERAGEIFS('Region 3'!$W$2:$W$500,'Region 3'!$A$2:$A$500,M$1,'Region 3'!$X$2:$X$500,$D4,'Region 3'!$S$2:$S$500,$A4)</f>
        <v>#DIV/0!</v>
      </c>
      <c r="N4" t="e">
        <f ca="1">AVERAGEIFS('Region 3'!$W$2:$W$500,'Region 3'!$A$2:$A$500,N$1,'Region 3'!$X$2:$X$500,$D4,'Region 3'!$S$2:$S$500,$A4)</f>
        <v>#DIV/0!</v>
      </c>
      <c r="Q4" t="str">
        <f t="shared" si="3"/>
        <v>Concrete</v>
      </c>
      <c r="R4" t="str">
        <f t="shared" si="4"/>
        <v>Detached</v>
      </c>
      <c r="S4">
        <f t="shared" si="5"/>
        <v>3</v>
      </c>
      <c r="T4" t="str">
        <f t="shared" ca="1" si="6"/>
        <v>-</v>
      </c>
      <c r="U4" t="str">
        <f t="shared" ca="1" si="7"/>
        <v>-</v>
      </c>
      <c r="V4" t="str">
        <f t="shared" ca="1" si="8"/>
        <v>-</v>
      </c>
      <c r="W4" t="str">
        <f t="shared" ca="1" si="9"/>
        <v>-</v>
      </c>
      <c r="X4" t="str">
        <f t="shared" ca="1" si="10"/>
        <v>-</v>
      </c>
      <c r="Y4" t="str">
        <f t="shared" ca="1" si="11"/>
        <v>-</v>
      </c>
      <c r="Z4" t="str">
        <f t="shared" ca="1" si="12"/>
        <v>-</v>
      </c>
      <c r="AA4" t="str">
        <f t="shared" ca="1" si="13"/>
        <v>-</v>
      </c>
      <c r="AB4" t="str">
        <f t="shared" ca="1" si="14"/>
        <v>-</v>
      </c>
      <c r="AC4" t="str">
        <f t="shared" ca="1" si="15"/>
        <v>-</v>
      </c>
    </row>
    <row r="5" spans="1:29" x14ac:dyDescent="0.3">
      <c r="A5" t="s">
        <v>65</v>
      </c>
      <c r="B5" t="s">
        <v>892</v>
      </c>
      <c r="C5">
        <v>4</v>
      </c>
      <c r="D5">
        <v>1</v>
      </c>
      <c r="E5">
        <f>AVERAGEIFS('Region 4'!$W$2:$W$10,'Region 4'!$A$2:$A$10,E$1,'Region 4'!$X$2:$X$10,$D5,'Region 4'!$S$2:$S$10,$A5)</f>
        <v>735</v>
      </c>
      <c r="F5" t="e">
        <f>AVERAGEIFS('Region 4'!$W$2:$W$10,'Region 4'!$A$2:$A$10,F$1,'Region 4'!$X$2:$X$10,$D5,'Region 4'!$S$2:$S$10,$A5)</f>
        <v>#DIV/0!</v>
      </c>
      <c r="G5" t="e">
        <f>AVERAGEIFS('Region 4'!$W$2:$W$10,'Region 4'!$A$2:$A$10,G$1,'Region 4'!$X$2:$X$10,$D5,'Region 4'!$S$2:$S$10,$A5)</f>
        <v>#DIV/0!</v>
      </c>
      <c r="H5" t="e">
        <f>AVERAGEIFS('Region 4'!$W$2:$W$10,'Region 4'!$A$2:$A$10,H$1,'Region 4'!$X$2:$X$10,$D5,'Region 4'!$S$2:$S$10,$A5)</f>
        <v>#DIV/0!</v>
      </c>
      <c r="I5" t="e">
        <f>AVERAGEIFS('Region 4'!$W$2:$W$10,'Region 4'!$A$2:$A$10,I$1,'Region 4'!$X$2:$X$10,$D5,'Region 4'!$S$2:$S$10,$A5)</f>
        <v>#DIV/0!</v>
      </c>
      <c r="J5" t="e">
        <f>AVERAGEIFS('Region 4'!$W$2:$W$10,'Region 4'!$A$2:$A$10,J$1,'Region 4'!$X$2:$X$10,$D5,'Region 4'!$S$2:$S$10,$A5)</f>
        <v>#DIV/0!</v>
      </c>
      <c r="K5" t="e">
        <f>AVERAGEIFS('Region 4'!$W$2:$W$10,'Region 4'!$A$2:$A$10,K$1,'Region 4'!$X$2:$X$10,$D5,'Region 4'!$S$2:$S$10,$A5)</f>
        <v>#DIV/0!</v>
      </c>
      <c r="L5" t="e">
        <f>AVERAGEIFS('Region 4'!$W$2:$W$10,'Region 4'!$A$2:$A$10,L$1,'Region 4'!$X$2:$X$10,$D5,'Region 4'!$S$2:$S$10,$A5)</f>
        <v>#DIV/0!</v>
      </c>
      <c r="M5" t="e">
        <f>AVERAGEIFS('Region 4'!$W$2:$W$10,'Region 4'!$A$2:$A$10,M$1,'Region 4'!$X$2:$X$10,$D5,'Region 4'!$S$2:$S$10,$A5)</f>
        <v>#DIV/0!</v>
      </c>
      <c r="N5" t="e">
        <f>AVERAGEIFS('Region 4'!$W$2:$W$10,'Region 4'!$A$2:$A$10,N$1,'Region 4'!$X$2:$X$10,$D5,'Region 4'!$S$2:$S$10,$A5)</f>
        <v>#DIV/0!</v>
      </c>
      <c r="Q5" t="str">
        <f t="shared" si="3"/>
        <v>Concrete</v>
      </c>
      <c r="R5" t="str">
        <f t="shared" si="4"/>
        <v>Detached</v>
      </c>
      <c r="S5">
        <f t="shared" si="5"/>
        <v>4</v>
      </c>
      <c r="T5">
        <f t="shared" si="6"/>
        <v>735</v>
      </c>
      <c r="U5" t="str">
        <f t="shared" si="7"/>
        <v>-</v>
      </c>
      <c r="V5" t="str">
        <f t="shared" si="8"/>
        <v>-</v>
      </c>
      <c r="W5" t="str">
        <f t="shared" si="9"/>
        <v>-</v>
      </c>
      <c r="X5" t="str">
        <f t="shared" si="10"/>
        <v>-</v>
      </c>
      <c r="Y5" t="str">
        <f t="shared" si="11"/>
        <v>-</v>
      </c>
      <c r="Z5" t="str">
        <f t="shared" si="12"/>
        <v>-</v>
      </c>
      <c r="AA5" t="str">
        <f t="shared" si="13"/>
        <v>-</v>
      </c>
      <c r="AB5" t="str">
        <f t="shared" si="14"/>
        <v>-</v>
      </c>
      <c r="AC5" t="str">
        <f t="shared" si="15"/>
        <v>-</v>
      </c>
    </row>
    <row r="6" spans="1:29" x14ac:dyDescent="0.3">
      <c r="A6" t="s">
        <v>65</v>
      </c>
      <c r="B6" t="s">
        <v>892</v>
      </c>
      <c r="C6">
        <v>5</v>
      </c>
      <c r="D6">
        <v>1</v>
      </c>
      <c r="E6">
        <f>AVERAGEIFS('Region 5'!$W$2:$W$496,'Region 5'!$A$2:$A$496,E$1,'Region 5'!$X$2:$X$496,$D6,'Region 5'!$S$2:$S$496,$A6)</f>
        <v>923.8337887646162</v>
      </c>
      <c r="F6">
        <f>AVERAGEIFS('Region 5'!$W$2:$W$496,'Region 5'!$A$2:$A$496,F$1,'Region 5'!$X$2:$X$496,$D6,'Region 5'!$S$2:$S$496,$A6)</f>
        <v>845.29</v>
      </c>
      <c r="G6" t="e">
        <f>AVERAGEIFS('Region 5'!$W$2:$W$496,'Region 5'!$A$2:$A$496,G$1,'Region 5'!$X$2:$X$496,$D6,'Region 5'!$S$2:$S$496,$A6)</f>
        <v>#DIV/0!</v>
      </c>
      <c r="H6" t="e">
        <f>AVERAGEIFS('Region 5'!$W$2:$W$496,'Region 5'!$A$2:$A$496,H$1,'Region 5'!$X$2:$X$496,$D6,'Region 5'!$S$2:$S$496,$A6)</f>
        <v>#DIV/0!</v>
      </c>
      <c r="I6" t="e">
        <f>AVERAGEIFS('Region 5'!$W$2:$W$496,'Region 5'!$A$2:$A$496,I$1,'Region 5'!$X$2:$X$496,$D6,'Region 5'!$S$2:$S$496,$A6)</f>
        <v>#DIV/0!</v>
      </c>
      <c r="J6" t="e">
        <f>AVERAGEIFS('Region 5'!$W$2:$W$496,'Region 5'!$A$2:$A$496,J$1,'Region 5'!$X$2:$X$496,$D6,'Region 5'!$S$2:$S$496,$A6)</f>
        <v>#DIV/0!</v>
      </c>
      <c r="K6" t="e">
        <f>AVERAGEIFS('Region 5'!$W$2:$W$496,'Region 5'!$A$2:$A$496,K$1,'Region 5'!$X$2:$X$496,$D6,'Region 5'!$S$2:$S$496,$A6)</f>
        <v>#DIV/0!</v>
      </c>
      <c r="L6" t="e">
        <f>AVERAGEIFS('Region 5'!$W$2:$W$496,'Region 5'!$A$2:$A$496,L$1,'Region 5'!$X$2:$X$496,$D6,'Region 5'!$S$2:$S$496,$A6)</f>
        <v>#DIV/0!</v>
      </c>
      <c r="M6" t="e">
        <f>AVERAGEIFS('Region 5'!$W$2:$W$496,'Region 5'!$A$2:$A$496,M$1,'Region 5'!$X$2:$X$496,$D6,'Region 5'!$S$2:$S$496,$A6)</f>
        <v>#DIV/0!</v>
      </c>
      <c r="N6" t="e">
        <f>AVERAGEIFS('Region 5'!$W$2:$W$496,'Region 5'!$A$2:$A$496,N$1,'Region 5'!$X$2:$X$496,$D6,'Region 5'!$S$2:$S$496,$A6)</f>
        <v>#DIV/0!</v>
      </c>
      <c r="Q6" t="str">
        <f t="shared" si="3"/>
        <v>Concrete</v>
      </c>
      <c r="R6" t="str">
        <f t="shared" si="4"/>
        <v>Detached</v>
      </c>
      <c r="S6">
        <f t="shared" si="5"/>
        <v>5</v>
      </c>
      <c r="T6">
        <f t="shared" si="6"/>
        <v>923.8337887646162</v>
      </c>
      <c r="U6">
        <f t="shared" si="7"/>
        <v>845.29</v>
      </c>
      <c r="V6" t="str">
        <f t="shared" si="8"/>
        <v>-</v>
      </c>
      <c r="W6" t="str">
        <f t="shared" si="9"/>
        <v>-</v>
      </c>
      <c r="X6" t="str">
        <f t="shared" si="10"/>
        <v>-</v>
      </c>
      <c r="Y6" t="str">
        <f t="shared" si="11"/>
        <v>-</v>
      </c>
      <c r="Z6" t="str">
        <f t="shared" si="12"/>
        <v>-</v>
      </c>
      <c r="AA6" t="str">
        <f t="shared" si="13"/>
        <v>-</v>
      </c>
      <c r="AB6" t="str">
        <f t="shared" si="14"/>
        <v>-</v>
      </c>
      <c r="AC6" t="str">
        <f t="shared" si="15"/>
        <v>-</v>
      </c>
    </row>
    <row r="7" spans="1:29" x14ac:dyDescent="0.3">
      <c r="A7" t="s">
        <v>65</v>
      </c>
      <c r="B7" t="s">
        <v>892</v>
      </c>
      <c r="C7">
        <v>6</v>
      </c>
      <c r="D7">
        <v>1</v>
      </c>
      <c r="E7">
        <f>AVERAGEIFS('Region 6'!$W$2:$W$496,'Region 6'!$A$2:$A$496,E$1,'Region 6'!$X$2:$X$496,$D7,'Region 6'!$S$2:$S$496,$A7)</f>
        <v>798.5</v>
      </c>
      <c r="F7">
        <f>AVERAGEIFS('Region 6'!$W$2:$W$496,'Region 6'!$A$2:$A$496,F$1,'Region 6'!$X$2:$X$496,$D7,'Region 6'!$S$2:$S$496,$A7)</f>
        <v>225.90625</v>
      </c>
      <c r="G7" t="e">
        <f>AVERAGEIFS('Region 6'!$W$2:$W$496,'Region 6'!$A$2:$A$496,G$1,'Region 6'!$X$2:$X$496,$D7,'Region 6'!$S$2:$S$496,$A7)</f>
        <v>#DIV/0!</v>
      </c>
      <c r="H7" t="e">
        <f>AVERAGEIFS('Region 6'!$W$2:$W$496,'Region 6'!$A$2:$A$496,H$1,'Region 6'!$X$2:$X$496,$D7,'Region 6'!$S$2:$S$496,$A7)</f>
        <v>#DIV/0!</v>
      </c>
      <c r="I7" t="e">
        <f>AVERAGEIFS('Region 6'!$W$2:$W$496,'Region 6'!$A$2:$A$496,I$1,'Region 6'!$X$2:$X$496,$D7,'Region 6'!$S$2:$S$496,$A7)</f>
        <v>#DIV/0!</v>
      </c>
      <c r="J7" t="e">
        <f>AVERAGEIFS('Region 6'!$W$2:$W$496,'Region 6'!$A$2:$A$496,J$1,'Region 6'!$X$2:$X$496,$D7,'Region 6'!$S$2:$S$496,$A7)</f>
        <v>#DIV/0!</v>
      </c>
      <c r="K7" t="e">
        <f>AVERAGEIFS('Region 6'!$W$2:$W$496,'Region 6'!$A$2:$A$496,K$1,'Region 6'!$X$2:$X$496,$D7,'Region 6'!$S$2:$S$496,$A7)</f>
        <v>#DIV/0!</v>
      </c>
      <c r="L7" t="e">
        <f>AVERAGEIFS('Region 6'!$W$2:$W$496,'Region 6'!$A$2:$A$496,L$1,'Region 6'!$X$2:$X$496,$D7,'Region 6'!$S$2:$S$496,$A7)</f>
        <v>#DIV/0!</v>
      </c>
      <c r="M7" t="e">
        <f>AVERAGEIFS('Region 6'!$W$2:$W$496,'Region 6'!$A$2:$A$496,M$1,'Region 6'!$X$2:$X$496,$D7,'Region 6'!$S$2:$S$496,$A7)</f>
        <v>#DIV/0!</v>
      </c>
      <c r="N7" t="e">
        <f>AVERAGEIFS('Region 6'!$W$2:$W$496,'Region 6'!$A$2:$A$496,N$1,'Region 6'!$X$2:$X$496,$D7,'Region 6'!$S$2:$S$496,$A7)</f>
        <v>#DIV/0!</v>
      </c>
      <c r="Q7" t="str">
        <f t="shared" si="3"/>
        <v>Concrete</v>
      </c>
      <c r="R7" t="str">
        <f t="shared" si="4"/>
        <v>Detached</v>
      </c>
      <c r="S7">
        <f t="shared" si="5"/>
        <v>6</v>
      </c>
      <c r="T7">
        <f t="shared" si="6"/>
        <v>798.5</v>
      </c>
      <c r="U7">
        <f t="shared" si="7"/>
        <v>225.90625</v>
      </c>
      <c r="V7" t="str">
        <f t="shared" si="8"/>
        <v>-</v>
      </c>
      <c r="W7" t="str">
        <f t="shared" si="9"/>
        <v>-</v>
      </c>
      <c r="X7" t="str">
        <f t="shared" si="10"/>
        <v>-</v>
      </c>
      <c r="Y7" t="str">
        <f t="shared" si="11"/>
        <v>-</v>
      </c>
      <c r="Z7" t="str">
        <f t="shared" si="12"/>
        <v>-</v>
      </c>
      <c r="AA7" t="str">
        <f t="shared" si="13"/>
        <v>-</v>
      </c>
      <c r="AB7" t="str">
        <f t="shared" si="14"/>
        <v>-</v>
      </c>
      <c r="AC7" t="str">
        <f t="shared" si="15"/>
        <v>-</v>
      </c>
    </row>
    <row r="8" spans="1:29" x14ac:dyDescent="0.3">
      <c r="A8" t="s">
        <v>65</v>
      </c>
      <c r="B8" t="s">
        <v>892</v>
      </c>
      <c r="C8">
        <v>7</v>
      </c>
      <c r="D8">
        <v>1</v>
      </c>
      <c r="E8" t="e">
        <f ca="1">AVERAGEIFS('Region 7'!$W$2:$W$500,'Region 7'!$A$2:$A$500,E$1,'Region 7'!$X$2:$X$500,$D8,'Region 7'!$S$2:$S$500,$A8)</f>
        <v>#DIV/0!</v>
      </c>
      <c r="F8" t="e">
        <f ca="1">AVERAGEIFS('Region 7'!$W$2:$W$500,'Region 7'!$A$2:$A$500,F$1,'Region 7'!$X$2:$X$500,$D8,'Region 7'!$S$2:$S$500,$A8)</f>
        <v>#DIV/0!</v>
      </c>
      <c r="G8" t="e">
        <f ca="1">AVERAGEIFS('Region 7'!$W$2:$W$500,'Region 7'!$A$2:$A$500,G$1,'Region 7'!$X$2:$X$500,$D8,'Region 7'!$S$2:$S$500,$A8)</f>
        <v>#DIV/0!</v>
      </c>
      <c r="H8" t="e">
        <f ca="1">AVERAGEIFS('Region 7'!$W$2:$W$500,'Region 7'!$A$2:$A$500,H$1,'Region 7'!$X$2:$X$500,$D8,'Region 7'!$S$2:$S$500,$A8)</f>
        <v>#DIV/0!</v>
      </c>
      <c r="I8" t="e">
        <f ca="1">AVERAGEIFS('Region 7'!$W$2:$W$500,'Region 7'!$A$2:$A$500,I$1,'Region 7'!$X$2:$X$500,$D8,'Region 7'!$S$2:$S$500,$A8)</f>
        <v>#DIV/0!</v>
      </c>
      <c r="J8" t="e">
        <f ca="1">AVERAGEIFS('Region 7'!$W$2:$W$500,'Region 7'!$A$2:$A$500,J$1,'Region 7'!$X$2:$X$500,$D8,'Region 7'!$S$2:$S$500,$A8)</f>
        <v>#DIV/0!</v>
      </c>
      <c r="K8" t="e">
        <f ca="1">AVERAGEIFS('Region 7'!$W$2:$W$500,'Region 7'!$A$2:$A$500,K$1,'Region 7'!$X$2:$X$500,$D8,'Region 7'!$S$2:$S$500,$A8)</f>
        <v>#DIV/0!</v>
      </c>
      <c r="L8" t="e">
        <f ca="1">AVERAGEIFS('Region 7'!$W$2:$W$500,'Region 7'!$A$2:$A$500,L$1,'Region 7'!$X$2:$X$500,$D8,'Region 7'!$S$2:$S$500,$A8)</f>
        <v>#DIV/0!</v>
      </c>
      <c r="M8" t="e">
        <f ca="1">AVERAGEIFS('Region 7'!$W$2:$W$500,'Region 7'!$A$2:$A$500,M$1,'Region 7'!$X$2:$X$500,$D8,'Region 7'!$S$2:$S$500,$A8)</f>
        <v>#DIV/0!</v>
      </c>
      <c r="N8" t="e">
        <f ca="1">AVERAGEIFS('Region 7'!$W$2:$W$500,'Region 7'!$A$2:$A$500,N$1,'Region 7'!$X$2:$X$500,$D8,'Region 7'!$S$2:$S$500,$A8)</f>
        <v>#DIV/0!</v>
      </c>
      <c r="Q8" t="str">
        <f t="shared" si="3"/>
        <v>Concrete</v>
      </c>
      <c r="R8" t="str">
        <f t="shared" si="4"/>
        <v>Detached</v>
      </c>
      <c r="S8">
        <f t="shared" si="5"/>
        <v>7</v>
      </c>
      <c r="T8" t="str">
        <f t="shared" ca="1" si="6"/>
        <v>-</v>
      </c>
      <c r="U8" t="str">
        <f t="shared" ca="1" si="7"/>
        <v>-</v>
      </c>
      <c r="V8" t="str">
        <f t="shared" ca="1" si="8"/>
        <v>-</v>
      </c>
      <c r="W8" t="str">
        <f t="shared" ca="1" si="9"/>
        <v>-</v>
      </c>
      <c r="X8" t="str">
        <f t="shared" ca="1" si="10"/>
        <v>-</v>
      </c>
      <c r="Y8" t="str">
        <f t="shared" ca="1" si="11"/>
        <v>-</v>
      </c>
      <c r="Z8" t="str">
        <f t="shared" ca="1" si="12"/>
        <v>-</v>
      </c>
      <c r="AA8" t="str">
        <f t="shared" ca="1" si="13"/>
        <v>-</v>
      </c>
      <c r="AB8" t="str">
        <f t="shared" ca="1" si="14"/>
        <v>-</v>
      </c>
      <c r="AC8" t="str">
        <f t="shared" ca="1" si="15"/>
        <v>-</v>
      </c>
    </row>
    <row r="9" spans="1:29" x14ac:dyDescent="0.3">
      <c r="A9" t="s">
        <v>65</v>
      </c>
      <c r="B9" t="s">
        <v>892</v>
      </c>
      <c r="C9">
        <v>8</v>
      </c>
      <c r="D9">
        <v>1</v>
      </c>
      <c r="E9">
        <f>AVERAGEIFS('Region 8'!$W$2:$W$497,'Region 8'!$A$2:$A$497,E$1,'Region 8'!$X$2:$X$497,$D9,'Region 8'!$S$2:$S$497,$A9)</f>
        <v>675.66256197514224</v>
      </c>
      <c r="F9" t="e">
        <f>AVERAGEIFS('Region 8'!$W$2:$W$497,'Region 8'!$A$2:$A$497,F$1,'Region 8'!$X$2:$X$497,$D9,'Region 8'!$S$2:$S$497,$A9)</f>
        <v>#DIV/0!</v>
      </c>
      <c r="G9" t="e">
        <f>AVERAGEIFS('Region 8'!$W$2:$W$497,'Region 8'!$A$2:$A$497,G$1,'Region 8'!$X$2:$X$497,$D9,'Region 8'!$S$2:$S$497,$A9)</f>
        <v>#DIV/0!</v>
      </c>
      <c r="H9" t="e">
        <f>AVERAGEIFS('Region 8'!$W$2:$W$497,'Region 8'!$A$2:$A$497,H$1,'Region 8'!$X$2:$X$497,$D9,'Region 8'!$S$2:$S$497,$A9)</f>
        <v>#DIV/0!</v>
      </c>
      <c r="I9" t="e">
        <f>AVERAGEIFS('Region 8'!$W$2:$W$497,'Region 8'!$A$2:$A$497,I$1,'Region 8'!$X$2:$X$497,$D9,'Region 8'!$S$2:$S$497,$A9)</f>
        <v>#DIV/0!</v>
      </c>
      <c r="J9" t="e">
        <f>AVERAGEIFS('Region 8'!$W$2:$W$497,'Region 8'!$A$2:$A$497,J$1,'Region 8'!$X$2:$X$497,$D9,'Region 8'!$S$2:$S$497,$A9)</f>
        <v>#DIV/0!</v>
      </c>
      <c r="K9" t="e">
        <f>AVERAGEIFS('Region 8'!$W$2:$W$497,'Region 8'!$A$2:$A$497,K$1,'Region 8'!$X$2:$X$497,$D9,'Region 8'!$S$2:$S$497,$A9)</f>
        <v>#DIV/0!</v>
      </c>
      <c r="L9" t="e">
        <f>AVERAGEIFS('Region 8'!$W$2:$W$497,'Region 8'!$A$2:$A$497,L$1,'Region 8'!$X$2:$X$497,$D9,'Region 8'!$S$2:$S$497,$A9)</f>
        <v>#DIV/0!</v>
      </c>
      <c r="M9" t="e">
        <f>AVERAGEIFS('Region 8'!$W$2:$W$497,'Region 8'!$A$2:$A$497,M$1,'Region 8'!$X$2:$X$497,$D9,'Region 8'!$S$2:$S$497,$A9)</f>
        <v>#DIV/0!</v>
      </c>
      <c r="N9" t="e">
        <f>AVERAGEIFS('Region 8'!$W$2:$W$497,'Region 8'!$A$2:$A$497,N$1,'Region 8'!$X$2:$X$497,$D9,'Region 8'!$S$2:$S$497,$A9)</f>
        <v>#DIV/0!</v>
      </c>
      <c r="Q9" t="str">
        <f t="shared" si="3"/>
        <v>Concrete</v>
      </c>
      <c r="R9" t="str">
        <f t="shared" si="4"/>
        <v>Detached</v>
      </c>
      <c r="S9">
        <f t="shared" si="5"/>
        <v>8</v>
      </c>
      <c r="T9">
        <f t="shared" si="6"/>
        <v>675.66256197514224</v>
      </c>
      <c r="U9" t="str">
        <f t="shared" si="7"/>
        <v>-</v>
      </c>
      <c r="V9" t="str">
        <f t="shared" si="8"/>
        <v>-</v>
      </c>
      <c r="W9" t="str">
        <f t="shared" si="9"/>
        <v>-</v>
      </c>
      <c r="X9" t="str">
        <f t="shared" si="10"/>
        <v>-</v>
      </c>
      <c r="Y9" t="str">
        <f t="shared" si="11"/>
        <v>-</v>
      </c>
      <c r="Z9" t="str">
        <f t="shared" si="12"/>
        <v>-</v>
      </c>
      <c r="AA9" t="str">
        <f t="shared" si="13"/>
        <v>-</v>
      </c>
      <c r="AB9" t="str">
        <f t="shared" si="14"/>
        <v>-</v>
      </c>
      <c r="AC9" t="str">
        <f t="shared" si="15"/>
        <v>-</v>
      </c>
    </row>
    <row r="10" spans="1:29" x14ac:dyDescent="0.3">
      <c r="A10" t="s">
        <v>65</v>
      </c>
      <c r="B10" t="s">
        <v>892</v>
      </c>
      <c r="C10">
        <v>9</v>
      </c>
      <c r="D10">
        <v>1</v>
      </c>
      <c r="E10" t="e">
        <f ca="1">AVERAGEIFS('Region 9'!$W$2:$W$500,'Region 9'!$A$2:$A$500,E$1,'Region 9'!$X$2:$X$500,$D10,'Region 9'!$S$2:$S$500,$A10)</f>
        <v>#DIV/0!</v>
      </c>
      <c r="F10" t="e">
        <f ca="1">AVERAGEIFS('Region 9'!$W$2:$W$500,'Region 9'!$A$2:$A$500,F$1,'Region 9'!$X$2:$X$500,$D10,'Region 9'!$S$2:$S$500,$A10)</f>
        <v>#DIV/0!</v>
      </c>
      <c r="G10" t="e">
        <f ca="1">AVERAGEIFS('Region 9'!$W$2:$W$500,'Region 9'!$A$2:$A$500,G$1,'Region 9'!$X$2:$X$500,$D10,'Region 9'!$S$2:$S$500,$A10)</f>
        <v>#DIV/0!</v>
      </c>
      <c r="H10" t="e">
        <f ca="1">AVERAGEIFS('Region 9'!$W$2:$W$500,'Region 9'!$A$2:$A$500,H$1,'Region 9'!$X$2:$X$500,$D10,'Region 9'!$S$2:$S$500,$A10)</f>
        <v>#DIV/0!</v>
      </c>
      <c r="I10" t="e">
        <f ca="1">AVERAGEIFS('Region 9'!$W$2:$W$500,'Region 9'!$A$2:$A$500,I$1,'Region 9'!$X$2:$X$500,$D10,'Region 9'!$S$2:$S$500,$A10)</f>
        <v>#DIV/0!</v>
      </c>
      <c r="J10" t="e">
        <f ca="1">AVERAGEIFS('Region 9'!$W$2:$W$500,'Region 9'!$A$2:$A$500,J$1,'Region 9'!$X$2:$X$500,$D10,'Region 9'!$S$2:$S$500,$A10)</f>
        <v>#DIV/0!</v>
      </c>
      <c r="K10" t="e">
        <f ca="1">AVERAGEIFS('Region 9'!$W$2:$W$500,'Region 9'!$A$2:$A$500,K$1,'Region 9'!$X$2:$X$500,$D10,'Region 9'!$S$2:$S$500,$A10)</f>
        <v>#DIV/0!</v>
      </c>
      <c r="L10" t="e">
        <f ca="1">AVERAGEIFS('Region 9'!$W$2:$W$500,'Region 9'!$A$2:$A$500,L$1,'Region 9'!$X$2:$X$500,$D10,'Region 9'!$S$2:$S$500,$A10)</f>
        <v>#DIV/0!</v>
      </c>
      <c r="M10" t="e">
        <f ca="1">AVERAGEIFS('Region 9'!$W$2:$W$500,'Region 9'!$A$2:$A$500,M$1,'Region 9'!$X$2:$X$500,$D10,'Region 9'!$S$2:$S$500,$A10)</f>
        <v>#DIV/0!</v>
      </c>
      <c r="N10" t="e">
        <f ca="1">AVERAGEIFS('Region 9'!$W$2:$W$500,'Region 9'!$A$2:$A$500,N$1,'Region 9'!$X$2:$X$500,$D10,'Region 9'!$S$2:$S$500,$A10)</f>
        <v>#DIV/0!</v>
      </c>
      <c r="Q10" t="str">
        <f t="shared" si="3"/>
        <v>Concrete</v>
      </c>
      <c r="R10" t="str">
        <f t="shared" si="4"/>
        <v>Detached</v>
      </c>
      <c r="S10">
        <f t="shared" si="5"/>
        <v>9</v>
      </c>
      <c r="T10" t="str">
        <f t="shared" ca="1" si="6"/>
        <v>-</v>
      </c>
      <c r="U10" t="str">
        <f t="shared" ca="1" si="7"/>
        <v>-</v>
      </c>
      <c r="V10" t="str">
        <f t="shared" ca="1" si="8"/>
        <v>-</v>
      </c>
      <c r="W10" t="str">
        <f t="shared" ca="1" si="9"/>
        <v>-</v>
      </c>
      <c r="X10" t="str">
        <f t="shared" ca="1" si="10"/>
        <v>-</v>
      </c>
      <c r="Y10" t="str">
        <f t="shared" ca="1" si="11"/>
        <v>-</v>
      </c>
      <c r="Z10" t="str">
        <f t="shared" ca="1" si="12"/>
        <v>-</v>
      </c>
      <c r="AA10" t="str">
        <f t="shared" ca="1" si="13"/>
        <v>-</v>
      </c>
      <c r="AB10" t="str">
        <f t="shared" ca="1" si="14"/>
        <v>-</v>
      </c>
      <c r="AC10" t="str">
        <f t="shared" ca="1" si="15"/>
        <v>-</v>
      </c>
    </row>
    <row r="11" spans="1:29" x14ac:dyDescent="0.3">
      <c r="A11" t="s">
        <v>65</v>
      </c>
      <c r="B11" t="s">
        <v>892</v>
      </c>
      <c r="C11">
        <v>10</v>
      </c>
      <c r="D11">
        <v>1</v>
      </c>
      <c r="E11" t="e">
        <f>AVERAGEIFS('Region 10'!$W$2:$W$500,'Region 10'!$A$2:$A$500,E$1,'Region 10'!$X$2:$X$500,$D11,'Region 10'!$S$2:$S$500,$A11)</f>
        <v>#DIV/0!</v>
      </c>
      <c r="F11" t="e">
        <f>AVERAGEIFS('Region 10'!$W$2:$W$500,'Region 10'!$A$2:$A$500,F$1,'Region 10'!$X$2:$X$500,$D11,'Region 10'!$S$2:$S$500,$A11)</f>
        <v>#DIV/0!</v>
      </c>
      <c r="G11" t="e">
        <f>AVERAGEIFS('Region 10'!$W$2:$W$500,'Region 10'!$A$2:$A$500,G$1,'Region 10'!$X$2:$X$500,$D11,'Region 10'!$S$2:$S$500,$A11)</f>
        <v>#DIV/0!</v>
      </c>
      <c r="H11" t="e">
        <f>AVERAGEIFS('Region 10'!$W$2:$W$500,'Region 10'!$A$2:$A$500,H$1,'Region 10'!$X$2:$X$500,$D11,'Region 10'!$S$2:$S$500,$A11)</f>
        <v>#DIV/0!</v>
      </c>
      <c r="I11" t="e">
        <f>AVERAGEIFS('Region 10'!$W$2:$W$500,'Region 10'!$A$2:$A$500,I$1,'Region 10'!$X$2:$X$500,$D11,'Region 10'!$S$2:$S$500,$A11)</f>
        <v>#DIV/0!</v>
      </c>
      <c r="J11" t="e">
        <f>AVERAGEIFS('Region 10'!$W$2:$W$500,'Region 10'!$A$2:$A$500,J$1,'Region 10'!$X$2:$X$500,$D11,'Region 10'!$S$2:$S$500,$A11)</f>
        <v>#DIV/0!</v>
      </c>
      <c r="K11" t="e">
        <f>AVERAGEIFS('Region 10'!$W$2:$W$500,'Region 10'!$A$2:$A$500,K$1,'Region 10'!$X$2:$X$500,$D11,'Region 10'!$S$2:$S$500,$A11)</f>
        <v>#DIV/0!</v>
      </c>
      <c r="L11" t="e">
        <f>AVERAGEIFS('Region 10'!$W$2:$W$500,'Region 10'!$A$2:$A$500,L$1,'Region 10'!$X$2:$X$500,$D11,'Region 10'!$S$2:$S$500,$A11)</f>
        <v>#DIV/0!</v>
      </c>
      <c r="M11" t="e">
        <f>AVERAGEIFS('Region 10'!$W$2:$W$500,'Region 10'!$A$2:$A$500,M$1,'Region 10'!$X$2:$X$500,$D11,'Region 10'!$S$2:$S$500,$A11)</f>
        <v>#DIV/0!</v>
      </c>
      <c r="N11" t="e">
        <f>AVERAGEIFS('Region 10'!$W$2:$W$500,'Region 10'!$A$2:$A$500,N$1,'Region 10'!$X$2:$X$500,$D11,'Region 10'!$S$2:$S$500,$A11)</f>
        <v>#DIV/0!</v>
      </c>
      <c r="Q11" t="str">
        <f t="shared" ref="Q11:Q74" si="16">A11</f>
        <v>Concrete</v>
      </c>
      <c r="R11" t="str">
        <f t="shared" ref="R11:R74" si="17">B11</f>
        <v>Detached</v>
      </c>
      <c r="S11">
        <f t="shared" ref="S11:S74" si="18">C11</f>
        <v>10</v>
      </c>
      <c r="T11" t="str">
        <f t="shared" si="6"/>
        <v>-</v>
      </c>
      <c r="U11" t="str">
        <f t="shared" si="7"/>
        <v>-</v>
      </c>
      <c r="V11" t="str">
        <f t="shared" si="8"/>
        <v>-</v>
      </c>
      <c r="W11" t="str">
        <f t="shared" si="9"/>
        <v>-</v>
      </c>
      <c r="X11" t="str">
        <f t="shared" si="10"/>
        <v>-</v>
      </c>
      <c r="Y11" t="str">
        <f t="shared" si="11"/>
        <v>-</v>
      </c>
      <c r="Z11" t="str">
        <f t="shared" si="12"/>
        <v>-</v>
      </c>
      <c r="AA11" t="str">
        <f t="shared" si="13"/>
        <v>-</v>
      </c>
      <c r="AB11" t="str">
        <f t="shared" si="14"/>
        <v>-</v>
      </c>
      <c r="AC11" t="str">
        <f t="shared" si="15"/>
        <v>-</v>
      </c>
    </row>
    <row r="12" spans="1:29" x14ac:dyDescent="0.3">
      <c r="A12" t="s">
        <v>65</v>
      </c>
      <c r="B12" t="s">
        <v>892</v>
      </c>
      <c r="C12">
        <v>11</v>
      </c>
      <c r="D12">
        <v>1</v>
      </c>
      <c r="E12">
        <f>AVERAGEIFS('Region 11'!$W$2:$W$391,'Region 11'!$A$2:$A$391,E$1,'Region 11'!$X$2:$X$391,$D12,'Region 11'!$S$2:$S$391,$A12)</f>
        <v>2255.8354781320795</v>
      </c>
      <c r="F12" t="e">
        <f>AVERAGEIFS('Region 11'!$W$2:$W$391,'Region 11'!$A$2:$A$391,F$1,'Region 11'!$X$2:$X$391,$D12,'Region 11'!$S$2:$S$391,$A12)</f>
        <v>#DIV/0!</v>
      </c>
      <c r="G12">
        <f>AVERAGEIFS('Region 11'!$W$2:$W$391,'Region 11'!$A$2:$A$391,G$1,'Region 11'!$X$2:$X$391,$D12,'Region 11'!$S$2:$S$391,$A12)</f>
        <v>790.11232323232332</v>
      </c>
      <c r="H12">
        <f>AVERAGEIFS('Region 11'!$W$2:$W$391,'Region 11'!$A$2:$A$391,H$1,'Region 11'!$X$2:$X$391,$D12,'Region 11'!$S$2:$S$391,$A12)</f>
        <v>411.86153846153849</v>
      </c>
      <c r="I12">
        <f>AVERAGEIFS('Region 11'!$W$2:$W$391,'Region 11'!$A$2:$A$391,I$1,'Region 11'!$X$2:$X$391,$D12,'Region 11'!$S$2:$S$391,$A12)</f>
        <v>857.24645892351271</v>
      </c>
      <c r="J12" t="e">
        <f>AVERAGEIFS('Region 11'!$W$2:$W$391,'Region 11'!$A$2:$A$391,J$1,'Region 11'!$X$2:$X$391,$D12,'Region 11'!$S$2:$S$391,$A12)</f>
        <v>#DIV/0!</v>
      </c>
      <c r="K12">
        <f>AVERAGEIFS('Region 11'!$W$2:$W$391,'Region 11'!$A$2:$A$391,K$1,'Region 11'!$X$2:$X$391,$D12,'Region 11'!$S$2:$S$391,$A12)</f>
        <v>278.55555555555554</v>
      </c>
      <c r="L12">
        <f>AVERAGEIFS('Region 11'!$W$2:$W$391,'Region 11'!$A$2:$A$391,L$1,'Region 11'!$X$2:$X$391,$D12,'Region 11'!$S$2:$S$391,$A12)</f>
        <v>522</v>
      </c>
      <c r="M12" t="e">
        <f>AVERAGEIFS('Region 11'!$W$2:$W$391,'Region 11'!$A$2:$A$391,M$1,'Region 11'!$X$2:$X$391,$D12,'Region 11'!$S$2:$S$391,$A12)</f>
        <v>#DIV/0!</v>
      </c>
      <c r="N12" t="e">
        <f>AVERAGEIFS('Region 11'!$W$2:$W$391,'Region 11'!$A$2:$A$391,N$1,'Region 11'!$X$2:$X$391,$D12,'Region 11'!$S$2:$S$391,$A12)</f>
        <v>#DIV/0!</v>
      </c>
      <c r="Q12" t="str">
        <f t="shared" si="16"/>
        <v>Concrete</v>
      </c>
      <c r="R12" t="str">
        <f t="shared" si="17"/>
        <v>Detached</v>
      </c>
      <c r="S12">
        <f t="shared" si="18"/>
        <v>11</v>
      </c>
      <c r="T12">
        <f t="shared" si="6"/>
        <v>2255.8354781320795</v>
      </c>
      <c r="U12" t="str">
        <f t="shared" si="7"/>
        <v>-</v>
      </c>
      <c r="V12">
        <f t="shared" si="8"/>
        <v>790.11232323232332</v>
      </c>
      <c r="W12">
        <f t="shared" si="9"/>
        <v>411.86153846153849</v>
      </c>
      <c r="X12">
        <f t="shared" si="10"/>
        <v>857.24645892351271</v>
      </c>
      <c r="Y12" t="str">
        <f t="shared" si="11"/>
        <v>-</v>
      </c>
      <c r="Z12">
        <f t="shared" si="12"/>
        <v>278.55555555555554</v>
      </c>
      <c r="AA12">
        <f t="shared" si="13"/>
        <v>522</v>
      </c>
      <c r="AB12" t="str">
        <f t="shared" si="14"/>
        <v>-</v>
      </c>
      <c r="AC12" t="str">
        <f t="shared" si="15"/>
        <v>-</v>
      </c>
    </row>
    <row r="13" spans="1:29" x14ac:dyDescent="0.3">
      <c r="A13" t="s">
        <v>65</v>
      </c>
      <c r="B13" t="s">
        <v>892</v>
      </c>
      <c r="C13">
        <v>12</v>
      </c>
      <c r="D13">
        <v>1</v>
      </c>
      <c r="E13">
        <f>AVERAGEIFS('Region 12'!$W$2:$W$459,'Region 12'!$A$2:$A$459,E$1,'Region 12'!$X$2:$X$459,$D13,'Region 12'!$S$2:$S$459,$A13)</f>
        <v>821.8795899632803</v>
      </c>
      <c r="F13">
        <f>AVERAGEIFS('Region 12'!$W$2:$W$459,'Region 12'!$A$2:$A$459,F$1,'Region 12'!$X$2:$X$459,$D13,'Region 12'!$S$2:$S$459,$A13)</f>
        <v>2178.4117914326221</v>
      </c>
      <c r="G13" t="e">
        <f>AVERAGEIFS('Region 12'!$W$2:$W$459,'Region 12'!$A$2:$A$459,G$1,'Region 12'!$X$2:$X$459,$D13,'Region 12'!$S$2:$S$459,$A13)</f>
        <v>#DIV/0!</v>
      </c>
      <c r="H13" t="e">
        <f>AVERAGEIFS('Region 12'!$W$2:$W$459,'Region 12'!$A$2:$A$459,H$1,'Region 12'!$X$2:$X$459,$D13,'Region 12'!$S$2:$S$459,$A13)</f>
        <v>#DIV/0!</v>
      </c>
      <c r="I13" t="e">
        <f>AVERAGEIFS('Region 12'!$W$2:$W$459,'Region 12'!$A$2:$A$459,I$1,'Region 12'!$X$2:$X$459,$D13,'Region 12'!$S$2:$S$459,$A13)</f>
        <v>#DIV/0!</v>
      </c>
      <c r="J13" t="e">
        <f>AVERAGEIFS('Region 12'!$W$2:$W$459,'Region 12'!$A$2:$A$459,J$1,'Region 12'!$X$2:$X$459,$D13,'Region 12'!$S$2:$S$459,$A13)</f>
        <v>#DIV/0!</v>
      </c>
      <c r="K13" t="e">
        <f>AVERAGEIFS('Region 12'!$W$2:$W$459,'Region 12'!$A$2:$A$459,K$1,'Region 12'!$X$2:$X$459,$D13,'Region 12'!$S$2:$S$459,$A13)</f>
        <v>#DIV/0!</v>
      </c>
      <c r="L13" t="e">
        <f>AVERAGEIFS('Region 12'!$W$2:$W$459,'Region 12'!$A$2:$A$459,L$1,'Region 12'!$X$2:$X$459,$D13,'Region 12'!$S$2:$S$459,$A13)</f>
        <v>#DIV/0!</v>
      </c>
      <c r="M13" t="e">
        <f>AVERAGEIFS('Region 12'!$W$2:$W$459,'Region 12'!$A$2:$A$459,M$1,'Region 12'!$X$2:$X$459,$D13,'Region 12'!$S$2:$S$459,$A13)</f>
        <v>#DIV/0!</v>
      </c>
      <c r="N13" t="e">
        <f>AVERAGEIFS('Region 12'!$W$2:$W$459,'Region 12'!$A$2:$A$459,N$1,'Region 12'!$X$2:$X$459,$D13,'Region 12'!$S$2:$S$459,$A13)</f>
        <v>#DIV/0!</v>
      </c>
      <c r="Q13" t="str">
        <f t="shared" si="16"/>
        <v>Concrete</v>
      </c>
      <c r="R13" t="str">
        <f t="shared" si="17"/>
        <v>Detached</v>
      </c>
      <c r="S13">
        <f t="shared" si="18"/>
        <v>12</v>
      </c>
      <c r="T13">
        <f t="shared" si="6"/>
        <v>821.8795899632803</v>
      </c>
      <c r="U13">
        <f t="shared" si="7"/>
        <v>2178.4117914326221</v>
      </c>
      <c r="V13" t="str">
        <f t="shared" si="8"/>
        <v>-</v>
      </c>
      <c r="W13" t="str">
        <f t="shared" si="9"/>
        <v>-</v>
      </c>
      <c r="X13" t="str">
        <f t="shared" si="10"/>
        <v>-</v>
      </c>
      <c r="Y13" t="str">
        <f t="shared" si="11"/>
        <v>-</v>
      </c>
      <c r="Z13" t="str">
        <f t="shared" si="12"/>
        <v>-</v>
      </c>
      <c r="AA13" t="str">
        <f t="shared" si="13"/>
        <v>-</v>
      </c>
      <c r="AB13" t="str">
        <f t="shared" si="14"/>
        <v>-</v>
      </c>
      <c r="AC13" t="str">
        <f t="shared" si="15"/>
        <v>-</v>
      </c>
    </row>
    <row r="14" spans="1:29" x14ac:dyDescent="0.3">
      <c r="A14" t="s">
        <v>65</v>
      </c>
      <c r="B14" t="s">
        <v>892</v>
      </c>
      <c r="C14">
        <v>13</v>
      </c>
      <c r="D14">
        <v>1</v>
      </c>
      <c r="E14" t="e">
        <f>AVERAGEIFS('Region 13'!$W$2:$W$500,'Region 13'!$A$2:$A$500,E$1,'Region 13'!$X$2:$X$500,$D14,'Region 13'!$S$2:$S$500,$A14)</f>
        <v>#DIV/0!</v>
      </c>
      <c r="F14" t="e">
        <f>AVERAGEIFS('Region 13'!$W$2:$W$500,'Region 13'!$A$2:$A$500,F$1,'Region 13'!$X$2:$X$500,$D14,'Region 13'!$S$2:$S$500,$A14)</f>
        <v>#DIV/0!</v>
      </c>
      <c r="G14" t="e">
        <f>AVERAGEIFS('Region 13'!$W$2:$W$500,'Region 13'!$A$2:$A$500,G$1,'Region 13'!$X$2:$X$500,$D14,'Region 13'!$S$2:$S$500,$A14)</f>
        <v>#DIV/0!</v>
      </c>
      <c r="H14" t="e">
        <f>AVERAGEIFS('Region 13'!$W$2:$W$500,'Region 13'!$A$2:$A$500,H$1,'Region 13'!$X$2:$X$500,$D14,'Region 13'!$S$2:$S$500,$A14)</f>
        <v>#DIV/0!</v>
      </c>
      <c r="I14" t="e">
        <f>AVERAGEIFS('Region 13'!$W$2:$W$500,'Region 13'!$A$2:$A$500,I$1,'Region 13'!$X$2:$X$500,$D14,'Region 13'!$S$2:$S$500,$A14)</f>
        <v>#DIV/0!</v>
      </c>
      <c r="J14" t="e">
        <f>AVERAGEIFS('Region 13'!$W$2:$W$500,'Region 13'!$A$2:$A$500,J$1,'Region 13'!$X$2:$X$500,$D14,'Region 13'!$S$2:$S$500,$A14)</f>
        <v>#DIV/0!</v>
      </c>
      <c r="K14" t="e">
        <f>AVERAGEIFS('Region 13'!$W$2:$W$500,'Region 13'!$A$2:$A$500,K$1,'Region 13'!$X$2:$X$500,$D14,'Region 13'!$S$2:$S$500,$A14)</f>
        <v>#DIV/0!</v>
      </c>
      <c r="L14" t="e">
        <f>AVERAGEIFS('Region 13'!$W$2:$W$500,'Region 13'!$A$2:$A$500,L$1,'Region 13'!$X$2:$X$500,$D14,'Region 13'!$S$2:$S$500,$A14)</f>
        <v>#DIV/0!</v>
      </c>
      <c r="M14" t="e">
        <f>AVERAGEIFS('Region 13'!$W$2:$W$500,'Region 13'!$A$2:$A$500,M$1,'Region 13'!$X$2:$X$500,$D14,'Region 13'!$S$2:$S$500,$A14)</f>
        <v>#DIV/0!</v>
      </c>
      <c r="N14" t="e">
        <f>AVERAGEIFS('Region 13'!$W$2:$W$500,'Region 13'!$A$2:$A$500,N$1,'Region 13'!$X$2:$X$500,$D14,'Region 13'!$S$2:$S$500,$A14)</f>
        <v>#DIV/0!</v>
      </c>
      <c r="Q14" t="str">
        <f t="shared" si="16"/>
        <v>Concrete</v>
      </c>
      <c r="R14" t="str">
        <f t="shared" si="17"/>
        <v>Detached</v>
      </c>
      <c r="S14">
        <f t="shared" si="18"/>
        <v>13</v>
      </c>
      <c r="T14" t="str">
        <f t="shared" si="6"/>
        <v>-</v>
      </c>
      <c r="U14" t="str">
        <f t="shared" si="7"/>
        <v>-</v>
      </c>
      <c r="V14" t="str">
        <f t="shared" si="8"/>
        <v>-</v>
      </c>
      <c r="W14" t="str">
        <f t="shared" si="9"/>
        <v>-</v>
      </c>
      <c r="X14" t="str">
        <f t="shared" si="10"/>
        <v>-</v>
      </c>
      <c r="Y14" t="str">
        <f t="shared" si="11"/>
        <v>-</v>
      </c>
      <c r="Z14" t="str">
        <f t="shared" si="12"/>
        <v>-</v>
      </c>
      <c r="AA14" t="str">
        <f t="shared" si="13"/>
        <v>-</v>
      </c>
      <c r="AB14" t="str">
        <f t="shared" si="14"/>
        <v>-</v>
      </c>
      <c r="AC14" t="str">
        <f t="shared" si="15"/>
        <v>-</v>
      </c>
    </row>
    <row r="15" spans="1:29" x14ac:dyDescent="0.3">
      <c r="A15" t="s">
        <v>65</v>
      </c>
      <c r="B15" t="s">
        <v>892</v>
      </c>
      <c r="C15">
        <v>14</v>
      </c>
      <c r="D15">
        <v>1</v>
      </c>
      <c r="E15" t="e">
        <f ca="1">AVERAGEIFS('Region 14'!$W$2:$W$500,'Region 14'!$A$2:$A$500,E$1,'Region 14'!$X$2:$X$500,$D15,'Region 14'!$S$2:$S$500,$A15)</f>
        <v>#DIV/0!</v>
      </c>
      <c r="F15" t="e">
        <f ca="1">AVERAGEIFS('Region 14'!$W$2:$W$500,'Region 14'!$A$2:$A$500,F$1,'Region 14'!$X$2:$X$500,$D15,'Region 14'!$S$2:$S$500,$A15)</f>
        <v>#DIV/0!</v>
      </c>
      <c r="G15" t="e">
        <f ca="1">AVERAGEIFS('Region 14'!$W$2:$W$500,'Region 14'!$A$2:$A$500,G$1,'Region 14'!$X$2:$X$500,$D15,'Region 14'!$S$2:$S$500,$A15)</f>
        <v>#DIV/0!</v>
      </c>
      <c r="H15" t="e">
        <f ca="1">AVERAGEIFS('Region 14'!$W$2:$W$500,'Region 14'!$A$2:$A$500,H$1,'Region 14'!$X$2:$X$500,$D15,'Region 14'!$S$2:$S$500,$A15)</f>
        <v>#DIV/0!</v>
      </c>
      <c r="I15" t="e">
        <f ca="1">AVERAGEIFS('Region 14'!$W$2:$W$500,'Region 14'!$A$2:$A$500,I$1,'Region 14'!$X$2:$X$500,$D15,'Region 14'!$S$2:$S$500,$A15)</f>
        <v>#DIV/0!</v>
      </c>
      <c r="J15" t="e">
        <f ca="1">AVERAGEIFS('Region 14'!$W$2:$W$500,'Region 14'!$A$2:$A$500,J$1,'Region 14'!$X$2:$X$500,$D15,'Region 14'!$S$2:$S$500,$A15)</f>
        <v>#DIV/0!</v>
      </c>
      <c r="K15" t="e">
        <f ca="1">AVERAGEIFS('Region 14'!$W$2:$W$500,'Region 14'!$A$2:$A$500,K$1,'Region 14'!$X$2:$X$500,$D15,'Region 14'!$S$2:$S$500,$A15)</f>
        <v>#DIV/0!</v>
      </c>
      <c r="L15" t="e">
        <f ca="1">AVERAGEIFS('Region 14'!$W$2:$W$500,'Region 14'!$A$2:$A$500,L$1,'Region 14'!$X$2:$X$500,$D15,'Region 14'!$S$2:$S$500,$A15)</f>
        <v>#DIV/0!</v>
      </c>
      <c r="M15" t="e">
        <f ca="1">AVERAGEIFS('Region 14'!$W$2:$W$500,'Region 14'!$A$2:$A$500,M$1,'Region 14'!$X$2:$X$500,$D15,'Region 14'!$S$2:$S$500,$A15)</f>
        <v>#DIV/0!</v>
      </c>
      <c r="N15" t="e">
        <f ca="1">AVERAGEIFS('Region 14'!$W$2:$W$500,'Region 14'!$A$2:$A$500,N$1,'Region 14'!$X$2:$X$500,$D15,'Region 14'!$S$2:$S$500,$A15)</f>
        <v>#DIV/0!</v>
      </c>
      <c r="Q15" t="str">
        <f t="shared" si="16"/>
        <v>Concrete</v>
      </c>
      <c r="R15" t="str">
        <f t="shared" si="17"/>
        <v>Detached</v>
      </c>
      <c r="S15">
        <f t="shared" si="18"/>
        <v>14</v>
      </c>
      <c r="T15" t="str">
        <f t="shared" ca="1" si="6"/>
        <v>-</v>
      </c>
      <c r="U15" t="str">
        <f t="shared" ca="1" si="7"/>
        <v>-</v>
      </c>
      <c r="V15" t="str">
        <f t="shared" ca="1" si="8"/>
        <v>-</v>
      </c>
      <c r="W15" t="str">
        <f t="shared" ca="1" si="9"/>
        <v>-</v>
      </c>
      <c r="X15" t="str">
        <f t="shared" ca="1" si="10"/>
        <v>-</v>
      </c>
      <c r="Y15" t="str">
        <f t="shared" ca="1" si="11"/>
        <v>-</v>
      </c>
      <c r="Z15" t="str">
        <f t="shared" ca="1" si="12"/>
        <v>-</v>
      </c>
      <c r="AA15" t="str">
        <f t="shared" ca="1" si="13"/>
        <v>-</v>
      </c>
      <c r="AB15" t="str">
        <f t="shared" ca="1" si="14"/>
        <v>-</v>
      </c>
      <c r="AC15" t="str">
        <f t="shared" ca="1" si="15"/>
        <v>-</v>
      </c>
    </row>
    <row r="16" spans="1:29" x14ac:dyDescent="0.3">
      <c r="A16" t="s">
        <v>65</v>
      </c>
      <c r="B16" t="s">
        <v>892</v>
      </c>
      <c r="C16">
        <v>15</v>
      </c>
      <c r="D16">
        <v>1</v>
      </c>
      <c r="E16" t="e">
        <f ca="1">AVERAGEIFS('Region 15'!$W$2:$W$500,'Region 15'!$A$2:$A$500,E$1,'Region 15'!$X$2:$X$500,$D16,'Region 15'!$S$2:$S$500,$A16)</f>
        <v>#DIV/0!</v>
      </c>
      <c r="F16" t="e">
        <f ca="1">AVERAGEIFS('Region 15'!$W$2:$W$500,'Region 15'!$A$2:$A$500,F$1,'Region 15'!$X$2:$X$500,$D16,'Region 15'!$S$2:$S$500,$A16)</f>
        <v>#DIV/0!</v>
      </c>
      <c r="G16" t="e">
        <f ca="1">AVERAGEIFS('Region 15'!$W$2:$W$500,'Region 15'!$A$2:$A$500,G$1,'Region 15'!$X$2:$X$500,$D16,'Region 15'!$S$2:$S$500,$A16)</f>
        <v>#DIV/0!</v>
      </c>
      <c r="H16" t="e">
        <f ca="1">AVERAGEIFS('Region 15'!$W$2:$W$500,'Region 15'!$A$2:$A$500,H$1,'Region 15'!$X$2:$X$500,$D16,'Region 15'!$S$2:$S$500,$A16)</f>
        <v>#DIV/0!</v>
      </c>
      <c r="I16" t="e">
        <f ca="1">AVERAGEIFS('Region 15'!$W$2:$W$500,'Region 15'!$A$2:$A$500,I$1,'Region 15'!$X$2:$X$500,$D16,'Region 15'!$S$2:$S$500,$A16)</f>
        <v>#DIV/0!</v>
      </c>
      <c r="J16" t="e">
        <f ca="1">AVERAGEIFS('Region 15'!$W$2:$W$500,'Region 15'!$A$2:$A$500,J$1,'Region 15'!$X$2:$X$500,$D16,'Region 15'!$S$2:$S$500,$A16)</f>
        <v>#DIV/0!</v>
      </c>
      <c r="K16" t="e">
        <f ca="1">AVERAGEIFS('Region 15'!$W$2:$W$500,'Region 15'!$A$2:$A$500,K$1,'Region 15'!$X$2:$X$500,$D16,'Region 15'!$S$2:$S$500,$A16)</f>
        <v>#DIV/0!</v>
      </c>
      <c r="L16" t="e">
        <f ca="1">AVERAGEIFS('Region 15'!$W$2:$W$500,'Region 15'!$A$2:$A$500,L$1,'Region 15'!$X$2:$X$500,$D16,'Region 15'!$S$2:$S$500,$A16)</f>
        <v>#DIV/0!</v>
      </c>
      <c r="M16" t="e">
        <f ca="1">AVERAGEIFS('Region 15'!$W$2:$W$500,'Region 15'!$A$2:$A$500,M$1,'Region 15'!$X$2:$X$500,$D16,'Region 15'!$S$2:$S$500,$A16)</f>
        <v>#DIV/0!</v>
      </c>
      <c r="N16" t="e">
        <f ca="1">AVERAGEIFS('Region 15'!$W$2:$W$500,'Region 15'!$A$2:$A$500,N$1,'Region 15'!$X$2:$X$500,$D16,'Region 15'!$S$2:$S$500,$A16)</f>
        <v>#DIV/0!</v>
      </c>
      <c r="Q16" t="str">
        <f t="shared" si="16"/>
        <v>Concrete</v>
      </c>
      <c r="R16" t="str">
        <f t="shared" si="17"/>
        <v>Detached</v>
      </c>
      <c r="S16">
        <f t="shared" si="18"/>
        <v>15</v>
      </c>
      <c r="T16" t="str">
        <f t="shared" ca="1" si="6"/>
        <v>-</v>
      </c>
      <c r="U16" t="str">
        <f t="shared" ca="1" si="7"/>
        <v>-</v>
      </c>
      <c r="V16" t="str">
        <f t="shared" ca="1" si="8"/>
        <v>-</v>
      </c>
      <c r="W16" t="str">
        <f t="shared" ca="1" si="9"/>
        <v>-</v>
      </c>
      <c r="X16" t="str">
        <f t="shared" ca="1" si="10"/>
        <v>-</v>
      </c>
      <c r="Y16" t="str">
        <f t="shared" ca="1" si="11"/>
        <v>-</v>
      </c>
      <c r="Z16" t="str">
        <f t="shared" ca="1" si="12"/>
        <v>-</v>
      </c>
      <c r="AA16" t="str">
        <f t="shared" ca="1" si="13"/>
        <v>-</v>
      </c>
      <c r="AB16" t="str">
        <f t="shared" ca="1" si="14"/>
        <v>-</v>
      </c>
      <c r="AC16" t="str">
        <f t="shared" ca="1" si="15"/>
        <v>-</v>
      </c>
    </row>
    <row r="17" spans="1:29" x14ac:dyDescent="0.3">
      <c r="A17" t="s">
        <v>65</v>
      </c>
      <c r="B17" t="s">
        <v>892</v>
      </c>
      <c r="C17">
        <v>16</v>
      </c>
      <c r="D17">
        <v>1</v>
      </c>
      <c r="E17" t="e">
        <f ca="1">AVERAGEIFS('Region 16'!$W$2:$W$500,'Region 16'!$A$2:$A$500,E$1,'Region 16'!$X$2:$X$500,$D17,'Region 16'!$S$2:$S$500,$A17)</f>
        <v>#DIV/0!</v>
      </c>
      <c r="F17" t="e">
        <f ca="1">AVERAGEIFS('Region 16'!$W$2:$W$500,'Region 16'!$A$2:$A$500,F$1,'Region 16'!$X$2:$X$500,$D17,'Region 16'!$S$2:$S$500,$A17)</f>
        <v>#DIV/0!</v>
      </c>
      <c r="G17" t="e">
        <f ca="1">AVERAGEIFS('Region 16'!$W$2:$W$500,'Region 16'!$A$2:$A$500,G$1,'Region 16'!$X$2:$X$500,$D17,'Region 16'!$S$2:$S$500,$A17)</f>
        <v>#DIV/0!</v>
      </c>
      <c r="H17" t="e">
        <f ca="1">AVERAGEIFS('Region 16'!$W$2:$W$500,'Region 16'!$A$2:$A$500,H$1,'Region 16'!$X$2:$X$500,$D17,'Region 16'!$S$2:$S$500,$A17)</f>
        <v>#DIV/0!</v>
      </c>
      <c r="I17" t="e">
        <f ca="1">AVERAGEIFS('Region 16'!$W$2:$W$500,'Region 16'!$A$2:$A$500,I$1,'Region 16'!$X$2:$X$500,$D17,'Region 16'!$S$2:$S$500,$A17)</f>
        <v>#DIV/0!</v>
      </c>
      <c r="J17" t="e">
        <f ca="1">AVERAGEIFS('Region 16'!$W$2:$W$500,'Region 16'!$A$2:$A$500,J$1,'Region 16'!$X$2:$X$500,$D17,'Region 16'!$S$2:$S$500,$A17)</f>
        <v>#DIV/0!</v>
      </c>
      <c r="K17" t="e">
        <f ca="1">AVERAGEIFS('Region 16'!$W$2:$W$500,'Region 16'!$A$2:$A$500,K$1,'Region 16'!$X$2:$X$500,$D17,'Region 16'!$S$2:$S$500,$A17)</f>
        <v>#DIV/0!</v>
      </c>
      <c r="L17" t="e">
        <f ca="1">AVERAGEIFS('Region 16'!$W$2:$W$500,'Region 16'!$A$2:$A$500,L$1,'Region 16'!$X$2:$X$500,$D17,'Region 16'!$S$2:$S$500,$A17)</f>
        <v>#DIV/0!</v>
      </c>
      <c r="M17" t="e">
        <f ca="1">AVERAGEIFS('Region 16'!$W$2:$W$500,'Region 16'!$A$2:$A$500,M$1,'Region 16'!$X$2:$X$500,$D17,'Region 16'!$S$2:$S$500,$A17)</f>
        <v>#DIV/0!</v>
      </c>
      <c r="N17" t="e">
        <f ca="1">AVERAGEIFS('Region 16'!$W$2:$W$500,'Region 16'!$A$2:$A$500,N$1,'Region 16'!$X$2:$X$500,$D17,'Region 16'!$S$2:$S$500,$A17)</f>
        <v>#DIV/0!</v>
      </c>
      <c r="Q17" t="str">
        <f t="shared" si="16"/>
        <v>Concrete</v>
      </c>
      <c r="R17" t="str">
        <f t="shared" si="17"/>
        <v>Detached</v>
      </c>
      <c r="S17">
        <f t="shared" si="18"/>
        <v>16</v>
      </c>
      <c r="T17" t="str">
        <f t="shared" ca="1" si="6"/>
        <v>-</v>
      </c>
      <c r="U17" t="str">
        <f t="shared" ca="1" si="7"/>
        <v>-</v>
      </c>
      <c r="V17" t="str">
        <f t="shared" ca="1" si="8"/>
        <v>-</v>
      </c>
      <c r="W17" t="str">
        <f t="shared" ca="1" si="9"/>
        <v>-</v>
      </c>
      <c r="X17" t="str">
        <f t="shared" ca="1" si="10"/>
        <v>-</v>
      </c>
      <c r="Y17" t="str">
        <f t="shared" ca="1" si="11"/>
        <v>-</v>
      </c>
      <c r="Z17" t="str">
        <f t="shared" ca="1" si="12"/>
        <v>-</v>
      </c>
      <c r="AA17" t="str">
        <f t="shared" ca="1" si="13"/>
        <v>-</v>
      </c>
      <c r="AB17" t="str">
        <f t="shared" ca="1" si="14"/>
        <v>-</v>
      </c>
      <c r="AC17" t="str">
        <f t="shared" ca="1" si="15"/>
        <v>-</v>
      </c>
    </row>
    <row r="18" spans="1:29" x14ac:dyDescent="0.3">
      <c r="A18" t="s">
        <v>65</v>
      </c>
      <c r="B18" t="s">
        <v>892</v>
      </c>
      <c r="C18">
        <v>17</v>
      </c>
      <c r="D18">
        <v>1</v>
      </c>
      <c r="E18" t="e">
        <f>AVERAGEIFS('Region 17'!$W$2:$W$498,'Region 17'!$A$2:$A$498,E$1,'Region 17'!$X$2:$X$498,$D18,'Region 17'!$S$2:$S$498,$A18)</f>
        <v>#DIV/0!</v>
      </c>
      <c r="F18">
        <f>AVERAGEIFS('Region 17'!$W$2:$W$498,'Region 17'!$A$2:$A$498,F$1,'Region 17'!$X$2:$X$498,$D18,'Region 17'!$S$2:$S$498,$A18)</f>
        <v>3062.4073569894426</v>
      </c>
      <c r="G18">
        <f>AVERAGEIFS('Region 17'!$W$2:$W$498,'Region 17'!$A$2:$A$498,G$1,'Region 17'!$X$2:$X$498,$D18,'Region 17'!$S$2:$S$498,$A18)</f>
        <v>931.75925925925935</v>
      </c>
      <c r="H18" t="e">
        <f>AVERAGEIFS('Region 17'!$W$2:$W$498,'Region 17'!$A$2:$A$498,H$1,'Region 17'!$X$2:$X$498,$D18,'Region 17'!$S$2:$S$498,$A18)</f>
        <v>#DIV/0!</v>
      </c>
      <c r="I18" t="e">
        <f>AVERAGEIFS('Region 17'!$W$2:$W$498,'Region 17'!$A$2:$A$498,I$1,'Region 17'!$X$2:$X$498,$D18,'Region 17'!$S$2:$S$498,$A18)</f>
        <v>#DIV/0!</v>
      </c>
      <c r="J18" t="e">
        <f>AVERAGEIFS('Region 17'!$W$2:$W$498,'Region 17'!$A$2:$A$498,J$1,'Region 17'!$X$2:$X$498,$D18,'Region 17'!$S$2:$S$498,$A18)</f>
        <v>#DIV/0!</v>
      </c>
      <c r="K18" t="e">
        <f>AVERAGEIFS('Region 17'!$W$2:$W$498,'Region 17'!$A$2:$A$498,K$1,'Region 17'!$X$2:$X$498,$D18,'Region 17'!$S$2:$S$498,$A18)</f>
        <v>#DIV/0!</v>
      </c>
      <c r="L18" t="e">
        <f>AVERAGEIFS('Region 17'!$W$2:$W$498,'Region 17'!$A$2:$A$498,L$1,'Region 17'!$X$2:$X$498,$D18,'Region 17'!$S$2:$S$498,$A18)</f>
        <v>#DIV/0!</v>
      </c>
      <c r="M18" t="e">
        <f>AVERAGEIFS('Region 17'!$W$2:$W$498,'Region 17'!$A$2:$A$498,M$1,'Region 17'!$X$2:$X$498,$D18,'Region 17'!$S$2:$S$498,$A18)</f>
        <v>#DIV/0!</v>
      </c>
      <c r="N18" t="e">
        <f>AVERAGEIFS('Region 17'!$W$2:$W$498,'Region 17'!$A$2:$A$498,N$1,'Region 17'!$X$2:$X$498,$D18,'Region 17'!$S$2:$S$498,$A18)</f>
        <v>#DIV/0!</v>
      </c>
      <c r="Q18" t="str">
        <f t="shared" si="16"/>
        <v>Concrete</v>
      </c>
      <c r="R18" t="str">
        <f t="shared" si="17"/>
        <v>Detached</v>
      </c>
      <c r="S18">
        <f t="shared" si="18"/>
        <v>17</v>
      </c>
      <c r="T18" t="str">
        <f t="shared" si="6"/>
        <v>-</v>
      </c>
      <c r="U18">
        <f t="shared" si="7"/>
        <v>3062.4073569894426</v>
      </c>
      <c r="V18">
        <f t="shared" si="8"/>
        <v>931.75925925925935</v>
      </c>
      <c r="W18" t="str">
        <f t="shared" si="9"/>
        <v>-</v>
      </c>
      <c r="X18" t="str">
        <f t="shared" si="10"/>
        <v>-</v>
      </c>
      <c r="Y18" t="str">
        <f t="shared" si="11"/>
        <v>-</v>
      </c>
      <c r="Z18" t="str">
        <f t="shared" si="12"/>
        <v>-</v>
      </c>
      <c r="AA18" t="str">
        <f t="shared" si="13"/>
        <v>-</v>
      </c>
      <c r="AB18" t="str">
        <f t="shared" si="14"/>
        <v>-</v>
      </c>
      <c r="AC18" t="str">
        <f t="shared" si="15"/>
        <v>-</v>
      </c>
    </row>
    <row r="19" spans="1:29" x14ac:dyDescent="0.3">
      <c r="A19" t="s">
        <v>65</v>
      </c>
      <c r="B19" t="s">
        <v>892</v>
      </c>
      <c r="C19">
        <v>18</v>
      </c>
      <c r="D19">
        <v>1</v>
      </c>
      <c r="E19" t="e">
        <f>AVERAGEIFS('Region 18'!$W$2:$W$468,'Region 18'!$A$2:$A$468,E$1,'Region 18'!$X$2:$X$468,$D19,'Region 18'!$S$2:$S$468,$A19)</f>
        <v>#DIV/0!</v>
      </c>
      <c r="F19">
        <f>AVERAGEIFS('Region 18'!$W$2:$W$468,'Region 18'!$A$2:$A$468,F$1,'Region 18'!$X$2:$X$468,$D19,'Region 18'!$S$2:$S$468,$A19)</f>
        <v>1248.8888888888891</v>
      </c>
      <c r="G19" t="e">
        <f>AVERAGEIFS('Region 18'!$W$2:$W$468,'Region 18'!$A$2:$A$468,G$1,'Region 18'!$X$2:$X$468,$D19,'Region 18'!$S$2:$S$468,$A19)</f>
        <v>#DIV/0!</v>
      </c>
      <c r="H19" t="e">
        <f>AVERAGEIFS('Region 18'!$W$2:$W$468,'Region 18'!$A$2:$A$468,H$1,'Region 18'!$X$2:$X$468,$D19,'Region 18'!$S$2:$S$468,$A19)</f>
        <v>#DIV/0!</v>
      </c>
      <c r="I19">
        <f>AVERAGEIFS('Region 18'!$W$2:$W$468,'Region 18'!$A$2:$A$468,I$1,'Region 18'!$X$2:$X$468,$D19,'Region 18'!$S$2:$S$468,$A19)</f>
        <v>42.472222222222221</v>
      </c>
      <c r="J19">
        <f>AVERAGEIFS('Region 18'!$W$2:$W$468,'Region 18'!$A$2:$A$468,J$1,'Region 18'!$X$2:$X$468,$D19,'Region 18'!$S$2:$S$468,$A19)</f>
        <v>873.66666666666663</v>
      </c>
      <c r="K19" t="e">
        <f>AVERAGEIFS('Region 18'!$W$2:$W$468,'Region 18'!$A$2:$A$468,K$1,'Region 18'!$X$2:$X$468,$D19,'Region 18'!$S$2:$S$468,$A19)</f>
        <v>#DIV/0!</v>
      </c>
      <c r="L19" t="e">
        <f>AVERAGEIFS('Region 18'!$W$2:$W$468,'Region 18'!$A$2:$A$468,L$1,'Region 18'!$X$2:$X$468,$D19,'Region 18'!$S$2:$S$468,$A19)</f>
        <v>#DIV/0!</v>
      </c>
      <c r="M19" t="e">
        <f>AVERAGEIFS('Region 18'!$W$2:$W$468,'Region 18'!$A$2:$A$468,M$1,'Region 18'!$X$2:$X$468,$D19,'Region 18'!$S$2:$S$468,$A19)</f>
        <v>#DIV/0!</v>
      </c>
      <c r="N19" t="e">
        <f>AVERAGEIFS('Region 18'!$W$2:$W$468,'Region 18'!$A$2:$A$468,N$1,'Region 18'!$X$2:$X$468,$D19,'Region 18'!$S$2:$S$468,$A19)</f>
        <v>#DIV/0!</v>
      </c>
      <c r="Q19" t="str">
        <f t="shared" si="16"/>
        <v>Concrete</v>
      </c>
      <c r="R19" t="str">
        <f t="shared" si="17"/>
        <v>Detached</v>
      </c>
      <c r="S19">
        <f t="shared" si="18"/>
        <v>18</v>
      </c>
      <c r="T19" t="str">
        <f t="shared" si="6"/>
        <v>-</v>
      </c>
      <c r="U19">
        <f t="shared" si="7"/>
        <v>1248.8888888888891</v>
      </c>
      <c r="V19" t="str">
        <f t="shared" si="8"/>
        <v>-</v>
      </c>
      <c r="W19" t="str">
        <f t="shared" si="9"/>
        <v>-</v>
      </c>
      <c r="X19">
        <f t="shared" si="10"/>
        <v>42.472222222222221</v>
      </c>
      <c r="Y19">
        <f t="shared" si="11"/>
        <v>873.66666666666663</v>
      </c>
      <c r="Z19" t="str">
        <f t="shared" si="12"/>
        <v>-</v>
      </c>
      <c r="AA19" t="str">
        <f t="shared" si="13"/>
        <v>-</v>
      </c>
      <c r="AB19" t="str">
        <f t="shared" si="14"/>
        <v>-</v>
      </c>
      <c r="AC19" t="str">
        <f t="shared" si="15"/>
        <v>-</v>
      </c>
    </row>
    <row r="20" spans="1:29" x14ac:dyDescent="0.3">
      <c r="A20" t="s">
        <v>65</v>
      </c>
      <c r="B20" t="s">
        <v>892</v>
      </c>
      <c r="C20">
        <v>19</v>
      </c>
      <c r="D20">
        <v>1</v>
      </c>
      <c r="E20" t="e">
        <f>AVERAGEIFS('Region 19'!$W$2:$W$494,'Region 19'!$A$2:$A$494,E$1,'Region 19'!$X$2:$X$494,$D20,'Region 19'!$S$2:$S$494,$A20)</f>
        <v>#DIV/0!</v>
      </c>
      <c r="F20" t="e">
        <f>AVERAGEIFS('Region 19'!$W$2:$W$494,'Region 19'!$A$2:$A$494,F$1,'Region 19'!$X$2:$X$494,$D20,'Region 19'!$S$2:$S$494,$A20)</f>
        <v>#DIV/0!</v>
      </c>
      <c r="G20" t="e">
        <f>AVERAGEIFS('Region 19'!$W$2:$W$494,'Region 19'!$A$2:$A$494,G$1,'Region 19'!$X$2:$X$494,$D20,'Region 19'!$S$2:$S$494,$A20)</f>
        <v>#DIV/0!</v>
      </c>
      <c r="H20" t="e">
        <f>AVERAGEIFS('Region 19'!$W$2:$W$494,'Region 19'!$A$2:$A$494,H$1,'Region 19'!$X$2:$X$494,$D20,'Region 19'!$S$2:$S$494,$A20)</f>
        <v>#DIV/0!</v>
      </c>
      <c r="I20" t="e">
        <f>AVERAGEIFS('Region 19'!$W$2:$W$494,'Region 19'!$A$2:$A$494,I$1,'Region 19'!$X$2:$X$494,$D20,'Region 19'!$S$2:$S$494,$A20)</f>
        <v>#DIV/0!</v>
      </c>
      <c r="J20" t="e">
        <f>AVERAGEIFS('Region 19'!$W$2:$W$494,'Region 19'!$A$2:$A$494,J$1,'Region 19'!$X$2:$X$494,$D20,'Region 19'!$S$2:$S$494,$A20)</f>
        <v>#DIV/0!</v>
      </c>
      <c r="K20" t="e">
        <f>AVERAGEIFS('Region 19'!$W$2:$W$494,'Region 19'!$A$2:$A$494,K$1,'Region 19'!$X$2:$X$494,$D20,'Region 19'!$S$2:$S$494,$A20)</f>
        <v>#DIV/0!</v>
      </c>
      <c r="L20" t="e">
        <f>AVERAGEIFS('Region 19'!$W$2:$W$494,'Region 19'!$A$2:$A$494,L$1,'Region 19'!$X$2:$X$494,$D20,'Region 19'!$S$2:$S$494,$A20)</f>
        <v>#DIV/0!</v>
      </c>
      <c r="M20" t="e">
        <f>AVERAGEIFS('Region 19'!$W$2:$W$494,'Region 19'!$A$2:$A$494,M$1,'Region 19'!$X$2:$X$494,$D20,'Region 19'!$S$2:$S$494,$A20)</f>
        <v>#DIV/0!</v>
      </c>
      <c r="N20" t="e">
        <f>AVERAGEIFS('Region 19'!$W$2:$W$494,'Region 19'!$A$2:$A$494,N$1,'Region 19'!$X$2:$X$494,$D20,'Region 19'!$S$2:$S$494,$A20)</f>
        <v>#DIV/0!</v>
      </c>
      <c r="Q20" t="str">
        <f t="shared" si="16"/>
        <v>Concrete</v>
      </c>
      <c r="R20" t="str">
        <f t="shared" si="17"/>
        <v>Detached</v>
      </c>
      <c r="S20">
        <f t="shared" si="18"/>
        <v>19</v>
      </c>
      <c r="T20" t="str">
        <f t="shared" si="6"/>
        <v>-</v>
      </c>
      <c r="U20" t="str">
        <f t="shared" si="7"/>
        <v>-</v>
      </c>
      <c r="V20" t="str">
        <f t="shared" si="8"/>
        <v>-</v>
      </c>
      <c r="W20" t="str">
        <f t="shared" si="9"/>
        <v>-</v>
      </c>
      <c r="X20" t="str">
        <f t="shared" si="10"/>
        <v>-</v>
      </c>
      <c r="Y20" t="str">
        <f t="shared" si="11"/>
        <v>-</v>
      </c>
      <c r="Z20" t="str">
        <f t="shared" si="12"/>
        <v>-</v>
      </c>
      <c r="AA20" t="str">
        <f t="shared" si="13"/>
        <v>-</v>
      </c>
      <c r="AB20" t="str">
        <f t="shared" si="14"/>
        <v>-</v>
      </c>
      <c r="AC20" t="str">
        <f t="shared" si="15"/>
        <v>-</v>
      </c>
    </row>
    <row r="21" spans="1:29" x14ac:dyDescent="0.3">
      <c r="A21" t="s">
        <v>65</v>
      </c>
      <c r="B21" t="s">
        <v>892</v>
      </c>
      <c r="C21">
        <v>20</v>
      </c>
      <c r="D21">
        <v>1</v>
      </c>
      <c r="E21" t="e">
        <f>AVERAGEIFS('Region 20'!$W$2:$W$269,'Region 20'!$A$2:$A$269,E$1,'Region 20'!$X$2:$X$269,$D21,'Region 20'!$S$2:$S$269,$A21)</f>
        <v>#DIV/0!</v>
      </c>
      <c r="F21" t="e">
        <f>AVERAGEIFS('Region 20'!$W$2:$W$269,'Region 20'!$A$2:$A$269,F$1,'Region 20'!$X$2:$X$269,$D21,'Region 20'!$S$2:$S$269,$A21)</f>
        <v>#DIV/0!</v>
      </c>
      <c r="G21" t="e">
        <f>AVERAGEIFS('Region 20'!$W$2:$W$269,'Region 20'!$A$2:$A$269,G$1,'Region 20'!$X$2:$X$269,$D21,'Region 20'!$S$2:$S$269,$A21)</f>
        <v>#DIV/0!</v>
      </c>
      <c r="H21" t="e">
        <f>AVERAGEIFS('Region 20'!$W$2:$W$269,'Region 20'!$A$2:$A$269,H$1,'Region 20'!$X$2:$X$269,$D21,'Region 20'!$S$2:$S$269,$A21)</f>
        <v>#DIV/0!</v>
      </c>
      <c r="I21">
        <f>AVERAGEIFS('Region 20'!$W$2:$W$269,'Region 20'!$A$2:$A$269,I$1,'Region 20'!$X$2:$X$269,$D21,'Region 20'!$S$2:$S$269,$A21)</f>
        <v>2613.9421613394215</v>
      </c>
      <c r="J21" t="e">
        <f>AVERAGEIFS('Region 20'!$W$2:$W$269,'Region 20'!$A$2:$A$269,J$1,'Region 20'!$X$2:$X$269,$D21,'Region 20'!$S$2:$S$269,$A21)</f>
        <v>#DIV/0!</v>
      </c>
      <c r="K21" t="e">
        <f>AVERAGEIFS('Region 20'!$W$2:$W$269,'Region 20'!$A$2:$A$269,K$1,'Region 20'!$X$2:$X$269,$D21,'Region 20'!$S$2:$S$269,$A21)</f>
        <v>#DIV/0!</v>
      </c>
      <c r="L21" t="e">
        <f>AVERAGEIFS('Region 20'!$W$2:$W$269,'Region 20'!$A$2:$A$269,L$1,'Region 20'!$X$2:$X$269,$D21,'Region 20'!$S$2:$S$269,$A21)</f>
        <v>#DIV/0!</v>
      </c>
      <c r="M21" t="e">
        <f>AVERAGEIFS('Region 20'!$W$2:$W$269,'Region 20'!$A$2:$A$269,M$1,'Region 20'!$X$2:$X$269,$D21,'Region 20'!$S$2:$S$269,$A21)</f>
        <v>#DIV/0!</v>
      </c>
      <c r="N21" t="e">
        <f>AVERAGEIFS('Region 20'!$W$2:$W$269,'Region 20'!$A$2:$A$269,N$1,'Region 20'!$X$2:$X$269,$D21,'Region 20'!$S$2:$S$269,$A21)</f>
        <v>#DIV/0!</v>
      </c>
      <c r="Q21" t="str">
        <f t="shared" si="16"/>
        <v>Concrete</v>
      </c>
      <c r="R21" t="str">
        <f t="shared" si="17"/>
        <v>Detached</v>
      </c>
      <c r="S21">
        <f t="shared" si="18"/>
        <v>20</v>
      </c>
      <c r="T21" t="str">
        <f t="shared" si="6"/>
        <v>-</v>
      </c>
      <c r="U21" t="str">
        <f t="shared" si="7"/>
        <v>-</v>
      </c>
      <c r="V21" t="str">
        <f t="shared" si="8"/>
        <v>-</v>
      </c>
      <c r="W21" t="str">
        <f t="shared" si="9"/>
        <v>-</v>
      </c>
      <c r="X21">
        <f t="shared" si="10"/>
        <v>2613.9421613394215</v>
      </c>
      <c r="Y21" t="str">
        <f t="shared" si="11"/>
        <v>-</v>
      </c>
      <c r="Z21" t="str">
        <f t="shared" si="12"/>
        <v>-</v>
      </c>
      <c r="AA21" t="str">
        <f t="shared" si="13"/>
        <v>-</v>
      </c>
      <c r="AB21" t="str">
        <f t="shared" si="14"/>
        <v>-</v>
      </c>
      <c r="AC21" t="str">
        <f t="shared" si="15"/>
        <v>-</v>
      </c>
    </row>
    <row r="22" spans="1:29" x14ac:dyDescent="0.3">
      <c r="A22" t="s">
        <v>65</v>
      </c>
      <c r="B22" t="s">
        <v>892</v>
      </c>
      <c r="C22">
        <v>21</v>
      </c>
      <c r="D22">
        <v>1</v>
      </c>
      <c r="E22" t="e">
        <f>AVERAGEIFS('Region 21'!$W$2:$W$497,'Region 21'!$A$2:$A$497,E$1,'Region 21'!$X$2:$X$497,$D22,'Region 21'!$S$2:$S$497,$A22)</f>
        <v>#DIV/0!</v>
      </c>
      <c r="F22" t="e">
        <f>AVERAGEIFS('Region 21'!$W$2:$W$497,'Region 21'!$A$2:$A$497,F$1,'Region 21'!$X$2:$X$497,$D22,'Region 21'!$S$2:$S$497,$A22)</f>
        <v>#DIV/0!</v>
      </c>
      <c r="G22" t="e">
        <f>AVERAGEIFS('Region 21'!$W$2:$W$497,'Region 21'!$A$2:$A$497,G$1,'Region 21'!$X$2:$X$497,$D22,'Region 21'!$S$2:$S$497,$A22)</f>
        <v>#DIV/0!</v>
      </c>
      <c r="H22" t="e">
        <f>AVERAGEIFS('Region 21'!$W$2:$W$497,'Region 21'!$A$2:$A$497,H$1,'Region 21'!$X$2:$X$497,$D22,'Region 21'!$S$2:$S$497,$A22)</f>
        <v>#DIV/0!</v>
      </c>
      <c r="I22" t="e">
        <f>AVERAGEIFS('Region 21'!$W$2:$W$497,'Region 21'!$A$2:$A$497,I$1,'Region 21'!$X$2:$X$497,$D22,'Region 21'!$S$2:$S$497,$A22)</f>
        <v>#DIV/0!</v>
      </c>
      <c r="J22" t="e">
        <f>AVERAGEIFS('Region 21'!$W$2:$W$497,'Region 21'!$A$2:$A$497,J$1,'Region 21'!$X$2:$X$497,$D22,'Region 21'!$S$2:$S$497,$A22)</f>
        <v>#DIV/0!</v>
      </c>
      <c r="K22" t="e">
        <f>AVERAGEIFS('Region 21'!$W$2:$W$497,'Region 21'!$A$2:$A$497,K$1,'Region 21'!$X$2:$X$497,$D22,'Region 21'!$S$2:$S$497,$A22)</f>
        <v>#DIV/0!</v>
      </c>
      <c r="L22" t="e">
        <f>AVERAGEIFS('Region 21'!$W$2:$W$497,'Region 21'!$A$2:$A$497,L$1,'Region 21'!$X$2:$X$497,$D22,'Region 21'!$S$2:$S$497,$A22)</f>
        <v>#DIV/0!</v>
      </c>
      <c r="M22" t="e">
        <f>AVERAGEIFS('Region 21'!$W$2:$W$497,'Region 21'!$A$2:$A$497,M$1,'Region 21'!$X$2:$X$497,$D22,'Region 21'!$S$2:$S$497,$A22)</f>
        <v>#DIV/0!</v>
      </c>
      <c r="N22" t="e">
        <f>AVERAGEIFS('Region 21'!$W$2:$W$497,'Region 21'!$A$2:$A$497,N$1,'Region 21'!$X$2:$X$497,$D22,'Region 21'!$S$2:$S$497,$A22)</f>
        <v>#DIV/0!</v>
      </c>
      <c r="Q22" t="str">
        <f t="shared" si="16"/>
        <v>Concrete</v>
      </c>
      <c r="R22" t="str">
        <f t="shared" si="17"/>
        <v>Detached</v>
      </c>
      <c r="S22">
        <f t="shared" si="18"/>
        <v>21</v>
      </c>
      <c r="T22" t="str">
        <f t="shared" si="6"/>
        <v>-</v>
      </c>
      <c r="U22" t="str">
        <f t="shared" si="7"/>
        <v>-</v>
      </c>
      <c r="V22" t="str">
        <f t="shared" si="8"/>
        <v>-</v>
      </c>
      <c r="W22" t="str">
        <f t="shared" si="9"/>
        <v>-</v>
      </c>
      <c r="X22" t="str">
        <f t="shared" si="10"/>
        <v>-</v>
      </c>
      <c r="Y22" t="str">
        <f t="shared" si="11"/>
        <v>-</v>
      </c>
      <c r="Z22" t="str">
        <f t="shared" si="12"/>
        <v>-</v>
      </c>
      <c r="AA22" t="str">
        <f t="shared" si="13"/>
        <v>-</v>
      </c>
      <c r="AB22" t="str">
        <f t="shared" si="14"/>
        <v>-</v>
      </c>
      <c r="AC22" t="str">
        <f t="shared" si="15"/>
        <v>-</v>
      </c>
    </row>
    <row r="23" spans="1:29" x14ac:dyDescent="0.3">
      <c r="A23" t="s">
        <v>65</v>
      </c>
      <c r="B23" t="s">
        <v>892</v>
      </c>
      <c r="C23">
        <v>22</v>
      </c>
      <c r="D23">
        <v>1</v>
      </c>
      <c r="E23" t="e">
        <f>AVERAGEIFS('Region 22'!$W$2:$W$510,'Region 22'!$A$2:$A$510,E$1,'Region 22'!$X$2:$X$510,$D23,'Region 22'!$S$2:$S$510,$A23)</f>
        <v>#DIV/0!</v>
      </c>
      <c r="F23" t="e">
        <f>AVERAGEIFS('Region 22'!$W$2:$W$510,'Region 22'!$A$2:$A$510,F$1,'Region 22'!$X$2:$X$510,$D23,'Region 22'!$S$2:$S$510,$A23)</f>
        <v>#DIV/0!</v>
      </c>
      <c r="G23">
        <f>AVERAGEIFS('Region 22'!$W$2:$W$510,'Region 22'!$A$2:$A$510,G$1,'Region 22'!$X$2:$X$510,$D23,'Region 22'!$S$2:$S$510,$A23)</f>
        <v>25.775000000000002</v>
      </c>
      <c r="H23" t="e">
        <f>AVERAGEIFS('Region 22'!$W$2:$W$510,'Region 22'!$A$2:$A$510,H$1,'Region 22'!$X$2:$X$510,$D23,'Region 22'!$S$2:$S$510,$A23)</f>
        <v>#DIV/0!</v>
      </c>
      <c r="I23" t="e">
        <f>AVERAGEIFS('Region 22'!$W$2:$W$510,'Region 22'!$A$2:$A$510,I$1,'Region 22'!$X$2:$X$510,$D23,'Region 22'!$S$2:$S$510,$A23)</f>
        <v>#DIV/0!</v>
      </c>
      <c r="J23" t="e">
        <f>AVERAGEIFS('Region 22'!$W$2:$W$510,'Region 22'!$A$2:$A$510,J$1,'Region 22'!$X$2:$X$510,$D23,'Region 22'!$S$2:$S$510,$A23)</f>
        <v>#DIV/0!</v>
      </c>
      <c r="K23" t="e">
        <f>AVERAGEIFS('Region 22'!$W$2:$W$510,'Region 22'!$A$2:$A$510,K$1,'Region 22'!$X$2:$X$510,$D23,'Region 22'!$S$2:$S$510,$A23)</f>
        <v>#DIV/0!</v>
      </c>
      <c r="L23" t="e">
        <f>AVERAGEIFS('Region 22'!$W$2:$W$510,'Region 22'!$A$2:$A$510,L$1,'Region 22'!$X$2:$X$510,$D23,'Region 22'!$S$2:$S$510,$A23)</f>
        <v>#DIV/0!</v>
      </c>
      <c r="M23" t="e">
        <f>AVERAGEIFS('Region 22'!$W$2:$W$510,'Region 22'!$A$2:$A$510,M$1,'Region 22'!$X$2:$X$510,$D23,'Region 22'!$S$2:$S$510,$A23)</f>
        <v>#DIV/0!</v>
      </c>
      <c r="N23" t="e">
        <f>AVERAGEIFS('Region 22'!$W$2:$W$510,'Region 22'!$A$2:$A$510,N$1,'Region 22'!$X$2:$X$510,$D23,'Region 22'!$S$2:$S$510,$A23)</f>
        <v>#DIV/0!</v>
      </c>
      <c r="Q23" t="str">
        <f t="shared" si="16"/>
        <v>Concrete</v>
      </c>
      <c r="R23" t="str">
        <f t="shared" si="17"/>
        <v>Detached</v>
      </c>
      <c r="S23">
        <f t="shared" si="18"/>
        <v>22</v>
      </c>
      <c r="T23" t="str">
        <f t="shared" si="6"/>
        <v>-</v>
      </c>
      <c r="U23" t="str">
        <f t="shared" si="7"/>
        <v>-</v>
      </c>
      <c r="V23">
        <f t="shared" si="8"/>
        <v>25.775000000000002</v>
      </c>
      <c r="W23" t="str">
        <f t="shared" si="9"/>
        <v>-</v>
      </c>
      <c r="X23" t="str">
        <f t="shared" si="10"/>
        <v>-</v>
      </c>
      <c r="Y23" t="str">
        <f t="shared" si="11"/>
        <v>-</v>
      </c>
      <c r="Z23" t="str">
        <f t="shared" si="12"/>
        <v>-</v>
      </c>
      <c r="AA23" t="str">
        <f t="shared" si="13"/>
        <v>-</v>
      </c>
      <c r="AB23" t="str">
        <f t="shared" si="14"/>
        <v>-</v>
      </c>
      <c r="AC23" t="str">
        <f t="shared" si="15"/>
        <v>-</v>
      </c>
    </row>
    <row r="24" spans="1:29" x14ac:dyDescent="0.3">
      <c r="A24" t="s">
        <v>65</v>
      </c>
      <c r="B24" t="s">
        <v>892</v>
      </c>
      <c r="C24">
        <v>23</v>
      </c>
      <c r="D24">
        <v>1</v>
      </c>
      <c r="E24" t="e">
        <f>AVERAGEIFS('Region 23'!$W$2:$W$468,'Region 23'!$A$2:$A$468,E$1,'Region 23'!$X$2:$X$468,$D24,'Region 23'!$S$2:$S$468,$A24)</f>
        <v>#DIV/0!</v>
      </c>
      <c r="F24">
        <f>AVERAGEIFS('Region 23'!$W$2:$W$468,'Region 23'!$A$2:$A$468,F$1,'Region 23'!$X$2:$X$468,$D24,'Region 23'!$S$2:$S$468,$A24)</f>
        <v>226.5</v>
      </c>
      <c r="G24" t="e">
        <f>AVERAGEIFS('Region 23'!$W$2:$W$468,'Region 23'!$A$2:$A$468,G$1,'Region 23'!$X$2:$X$468,$D24,'Region 23'!$S$2:$S$468,$A24)</f>
        <v>#DIV/0!</v>
      </c>
      <c r="H24">
        <f>AVERAGEIFS('Region 23'!$W$2:$W$468,'Region 23'!$A$2:$A$468,H$1,'Region 23'!$X$2:$X$468,$D24,'Region 23'!$S$2:$S$468,$A24)</f>
        <v>221</v>
      </c>
      <c r="I24" t="e">
        <f>AVERAGEIFS('Region 23'!$W$2:$W$468,'Region 23'!$A$2:$A$468,I$1,'Region 23'!$X$2:$X$468,$D24,'Region 23'!$S$2:$S$468,$A24)</f>
        <v>#DIV/0!</v>
      </c>
      <c r="J24" t="e">
        <f>AVERAGEIFS('Region 23'!$W$2:$W$468,'Region 23'!$A$2:$A$468,J$1,'Region 23'!$X$2:$X$468,$D24,'Region 23'!$S$2:$S$468,$A24)</f>
        <v>#DIV/0!</v>
      </c>
      <c r="K24" t="e">
        <f>AVERAGEIFS('Region 23'!$W$2:$W$468,'Region 23'!$A$2:$A$468,K$1,'Region 23'!$X$2:$X$468,$D24,'Region 23'!$S$2:$S$468,$A24)</f>
        <v>#DIV/0!</v>
      </c>
      <c r="L24" t="e">
        <f>AVERAGEIFS('Region 23'!$W$2:$W$468,'Region 23'!$A$2:$A$468,L$1,'Region 23'!$X$2:$X$468,$D24,'Region 23'!$S$2:$S$468,$A24)</f>
        <v>#DIV/0!</v>
      </c>
      <c r="M24" t="e">
        <f>AVERAGEIFS('Region 23'!$W$2:$W$468,'Region 23'!$A$2:$A$468,M$1,'Region 23'!$X$2:$X$468,$D24,'Region 23'!$S$2:$S$468,$A24)</f>
        <v>#DIV/0!</v>
      </c>
      <c r="N24" t="e">
        <f>AVERAGEIFS('Region 23'!$W$2:$W$468,'Region 23'!$A$2:$A$468,N$1,'Region 23'!$X$2:$X$468,$D24,'Region 23'!$S$2:$S$468,$A24)</f>
        <v>#DIV/0!</v>
      </c>
      <c r="Q24" t="str">
        <f t="shared" si="16"/>
        <v>Concrete</v>
      </c>
      <c r="R24" t="str">
        <f t="shared" si="17"/>
        <v>Detached</v>
      </c>
      <c r="S24">
        <f t="shared" si="18"/>
        <v>23</v>
      </c>
      <c r="T24" t="str">
        <f t="shared" si="6"/>
        <v>-</v>
      </c>
      <c r="U24">
        <f t="shared" si="7"/>
        <v>226.5</v>
      </c>
      <c r="V24" t="str">
        <f t="shared" si="8"/>
        <v>-</v>
      </c>
      <c r="W24">
        <f t="shared" si="9"/>
        <v>221</v>
      </c>
      <c r="X24" t="str">
        <f t="shared" si="10"/>
        <v>-</v>
      </c>
      <c r="Y24" t="str">
        <f t="shared" si="11"/>
        <v>-</v>
      </c>
      <c r="Z24" t="str">
        <f t="shared" si="12"/>
        <v>-</v>
      </c>
      <c r="AA24" t="str">
        <f t="shared" si="13"/>
        <v>-</v>
      </c>
      <c r="AB24" t="str">
        <f t="shared" si="14"/>
        <v>-</v>
      </c>
      <c r="AC24" t="str">
        <f t="shared" si="15"/>
        <v>-</v>
      </c>
    </row>
    <row r="25" spans="1:29" x14ac:dyDescent="0.3">
      <c r="A25" t="s">
        <v>65</v>
      </c>
      <c r="B25" t="s">
        <v>892</v>
      </c>
      <c r="C25">
        <v>24</v>
      </c>
      <c r="D25">
        <v>1</v>
      </c>
      <c r="E25">
        <f>AVERAGEIFS('Region 24'!$W$2:$W$454,'Region 24'!$A$2:$A$454,E$1,'Region 24'!$X$2:$X$454,$D25,'Region 24'!$S$2:$S$454,$A25)</f>
        <v>976.55351851851856</v>
      </c>
      <c r="F25">
        <f>AVERAGEIFS('Region 24'!$W$2:$W$454,'Region 24'!$A$2:$A$454,F$1,'Region 24'!$X$2:$X$454,$D25,'Region 24'!$S$2:$S$454,$A25)</f>
        <v>458.21261013845975</v>
      </c>
      <c r="G25">
        <f>AVERAGEIFS('Region 24'!$W$2:$W$454,'Region 24'!$A$2:$A$454,G$1,'Region 24'!$X$2:$X$454,$D25,'Region 24'!$S$2:$S$454,$A25)</f>
        <v>1186.9047619047619</v>
      </c>
      <c r="H25">
        <f>AVERAGEIFS('Region 24'!$W$2:$W$454,'Region 24'!$A$2:$A$454,H$1,'Region 24'!$X$2:$X$454,$D25,'Region 24'!$S$2:$S$454,$A25)</f>
        <v>103.8880516684607</v>
      </c>
      <c r="I25" t="e">
        <f>AVERAGEIFS('Region 24'!$W$2:$W$454,'Region 24'!$A$2:$A$454,I$1,'Region 24'!$X$2:$X$454,$D25,'Region 24'!$S$2:$S$454,$A25)</f>
        <v>#DIV/0!</v>
      </c>
      <c r="J25">
        <f>AVERAGEIFS('Region 24'!$W$2:$W$454,'Region 24'!$A$2:$A$454,J$1,'Region 24'!$X$2:$X$454,$D25,'Region 24'!$S$2:$S$454,$A25)</f>
        <v>588.88125000000002</v>
      </c>
      <c r="K25" t="e">
        <f>AVERAGEIFS('Region 24'!$W$2:$W$454,'Region 24'!$A$2:$A$454,K$1,'Region 24'!$X$2:$X$454,$D25,'Region 24'!$S$2:$S$454,$A25)</f>
        <v>#DIV/0!</v>
      </c>
      <c r="L25" t="e">
        <f>AVERAGEIFS('Region 24'!$W$2:$W$454,'Region 24'!$A$2:$A$454,L$1,'Region 24'!$X$2:$X$454,$D25,'Region 24'!$S$2:$S$454,$A25)</f>
        <v>#DIV/0!</v>
      </c>
      <c r="M25" t="e">
        <f>AVERAGEIFS('Region 24'!$W$2:$W$454,'Region 24'!$A$2:$A$454,M$1,'Region 24'!$X$2:$X$454,$D25,'Region 24'!$S$2:$S$454,$A25)</f>
        <v>#DIV/0!</v>
      </c>
      <c r="N25" t="e">
        <f>AVERAGEIFS('Region 24'!$W$2:$W$454,'Region 24'!$A$2:$A$454,N$1,'Region 24'!$X$2:$X$454,$D25,'Region 24'!$S$2:$S$454,$A25)</f>
        <v>#DIV/0!</v>
      </c>
      <c r="Q25" t="str">
        <f t="shared" si="16"/>
        <v>Concrete</v>
      </c>
      <c r="R25" t="str">
        <f t="shared" si="17"/>
        <v>Detached</v>
      </c>
      <c r="S25">
        <f t="shared" si="18"/>
        <v>24</v>
      </c>
      <c r="T25">
        <f t="shared" si="6"/>
        <v>976.55351851851856</v>
      </c>
      <c r="U25">
        <f t="shared" si="7"/>
        <v>458.21261013845975</v>
      </c>
      <c r="V25">
        <f t="shared" si="8"/>
        <v>1186.9047619047619</v>
      </c>
      <c r="W25">
        <f t="shared" si="9"/>
        <v>103.8880516684607</v>
      </c>
      <c r="X25" t="str">
        <f t="shared" si="10"/>
        <v>-</v>
      </c>
      <c r="Y25">
        <f t="shared" si="11"/>
        <v>588.88125000000002</v>
      </c>
      <c r="Z25" t="str">
        <f t="shared" si="12"/>
        <v>-</v>
      </c>
      <c r="AA25" t="str">
        <f t="shared" si="13"/>
        <v>-</v>
      </c>
      <c r="AB25" t="str">
        <f t="shared" si="14"/>
        <v>-</v>
      </c>
      <c r="AC25" t="str">
        <f t="shared" si="15"/>
        <v>-</v>
      </c>
    </row>
    <row r="26" spans="1:29" x14ac:dyDescent="0.3">
      <c r="A26" t="s">
        <v>65</v>
      </c>
      <c r="B26" t="s">
        <v>892</v>
      </c>
      <c r="C26">
        <v>25</v>
      </c>
      <c r="D26">
        <v>1</v>
      </c>
      <c r="E26" t="e">
        <f>AVERAGEIFS('Region 25'!$W$2:$W$499,'Region 25'!$A$2:$A$499,E$1,'Region 25'!$X$2:$X$499,$D26,'Region 25'!$S$2:$S$499,$A26)</f>
        <v>#DIV/0!</v>
      </c>
      <c r="F26" t="e">
        <f>AVERAGEIFS('Region 25'!$W$2:$W$499,'Region 25'!$A$2:$A$499,F$1,'Region 25'!$X$2:$X$499,$D26,'Region 25'!$S$2:$S$499,$A26)</f>
        <v>#DIV/0!</v>
      </c>
      <c r="G26" t="e">
        <f>AVERAGEIFS('Region 25'!$W$2:$W$499,'Region 25'!$A$2:$A$499,G$1,'Region 25'!$X$2:$X$499,$D26,'Region 25'!$S$2:$S$499,$A26)</f>
        <v>#DIV/0!</v>
      </c>
      <c r="H26" t="e">
        <f>AVERAGEIFS('Region 25'!$W$2:$W$499,'Region 25'!$A$2:$A$499,H$1,'Region 25'!$X$2:$X$499,$D26,'Region 25'!$S$2:$S$499,$A26)</f>
        <v>#DIV/0!</v>
      </c>
      <c r="I26" t="e">
        <f>AVERAGEIFS('Region 25'!$W$2:$W$499,'Region 25'!$A$2:$A$499,I$1,'Region 25'!$X$2:$X$499,$D26,'Region 25'!$S$2:$S$499,$A26)</f>
        <v>#DIV/0!</v>
      </c>
      <c r="J26" t="e">
        <f>AVERAGEIFS('Region 25'!$W$2:$W$499,'Region 25'!$A$2:$A$499,J$1,'Region 25'!$X$2:$X$499,$D26,'Region 25'!$S$2:$S$499,$A26)</f>
        <v>#DIV/0!</v>
      </c>
      <c r="K26" t="e">
        <f>AVERAGEIFS('Region 25'!$W$2:$W$499,'Region 25'!$A$2:$A$499,K$1,'Region 25'!$X$2:$X$499,$D26,'Region 25'!$S$2:$S$499,$A26)</f>
        <v>#DIV/0!</v>
      </c>
      <c r="L26" t="e">
        <f>AVERAGEIFS('Region 25'!$W$2:$W$499,'Region 25'!$A$2:$A$499,L$1,'Region 25'!$X$2:$X$499,$D26,'Region 25'!$S$2:$S$499,$A26)</f>
        <v>#DIV/0!</v>
      </c>
      <c r="M26" t="e">
        <f>AVERAGEIFS('Region 25'!$W$2:$W$499,'Region 25'!$A$2:$A$499,M$1,'Region 25'!$X$2:$X$499,$D26,'Region 25'!$S$2:$S$499,$A26)</f>
        <v>#DIV/0!</v>
      </c>
      <c r="N26" t="e">
        <f>AVERAGEIFS('Region 25'!$W$2:$W$499,'Region 25'!$A$2:$A$499,N$1,'Region 25'!$X$2:$X$499,$D26,'Region 25'!$S$2:$S$499,$A26)</f>
        <v>#DIV/0!</v>
      </c>
      <c r="Q26" t="str">
        <f t="shared" si="16"/>
        <v>Concrete</v>
      </c>
      <c r="R26" t="str">
        <f t="shared" si="17"/>
        <v>Detached</v>
      </c>
      <c r="S26">
        <f t="shared" si="18"/>
        <v>25</v>
      </c>
      <c r="T26" t="str">
        <f t="shared" si="6"/>
        <v>-</v>
      </c>
      <c r="U26" t="str">
        <f t="shared" si="7"/>
        <v>-</v>
      </c>
      <c r="V26" t="str">
        <f t="shared" si="8"/>
        <v>-</v>
      </c>
      <c r="W26" t="str">
        <f t="shared" si="9"/>
        <v>-</v>
      </c>
      <c r="X26" t="str">
        <f t="shared" si="10"/>
        <v>-</v>
      </c>
      <c r="Y26" t="str">
        <f t="shared" si="11"/>
        <v>-</v>
      </c>
      <c r="Z26" t="str">
        <f t="shared" si="12"/>
        <v>-</v>
      </c>
      <c r="AA26" t="str">
        <f t="shared" si="13"/>
        <v>-</v>
      </c>
      <c r="AB26" t="str">
        <f t="shared" si="14"/>
        <v>-</v>
      </c>
      <c r="AC26" t="str">
        <f t="shared" si="15"/>
        <v>-</v>
      </c>
    </row>
    <row r="27" spans="1:29" x14ac:dyDescent="0.3">
      <c r="A27" t="s">
        <v>65</v>
      </c>
      <c r="B27" t="s">
        <v>892</v>
      </c>
      <c r="C27">
        <v>26</v>
      </c>
      <c r="D27">
        <v>1</v>
      </c>
      <c r="E27" t="e">
        <f ca="1">AVERAGEIFS('Region 26'!$W$2:$W$500,'Region 26'!$A$2:$A$500,E$1,'Region 26'!$X$2:$X$500,$D27,'Region 26'!$S$2:$S$500,$A27)</f>
        <v>#DIV/0!</v>
      </c>
      <c r="F27" t="e">
        <f ca="1">AVERAGEIFS('Region 26'!$W$2:$W$500,'Region 26'!$A$2:$A$500,F$1,'Region 26'!$X$2:$X$500,$D27,'Region 26'!$S$2:$S$500,$A27)</f>
        <v>#DIV/0!</v>
      </c>
      <c r="G27" t="e">
        <f ca="1">AVERAGEIFS('Region 26'!$W$2:$W$500,'Region 26'!$A$2:$A$500,G$1,'Region 26'!$X$2:$X$500,$D27,'Region 26'!$S$2:$S$500,$A27)</f>
        <v>#DIV/0!</v>
      </c>
      <c r="H27" t="e">
        <f ca="1">AVERAGEIFS('Region 26'!$W$2:$W$500,'Region 26'!$A$2:$A$500,H$1,'Region 26'!$X$2:$X$500,$D27,'Region 26'!$S$2:$S$500,$A27)</f>
        <v>#DIV/0!</v>
      </c>
      <c r="I27" t="e">
        <f ca="1">AVERAGEIFS('Region 26'!$W$2:$W$500,'Region 26'!$A$2:$A$500,I$1,'Region 26'!$X$2:$X$500,$D27,'Region 26'!$S$2:$S$500,$A27)</f>
        <v>#DIV/0!</v>
      </c>
      <c r="J27" t="e">
        <f ca="1">AVERAGEIFS('Region 26'!$W$2:$W$500,'Region 26'!$A$2:$A$500,J$1,'Region 26'!$X$2:$X$500,$D27,'Region 26'!$S$2:$S$500,$A27)</f>
        <v>#DIV/0!</v>
      </c>
      <c r="K27" t="e">
        <f ca="1">AVERAGEIFS('Region 26'!$W$2:$W$500,'Region 26'!$A$2:$A$500,K$1,'Region 26'!$X$2:$X$500,$D27,'Region 26'!$S$2:$S$500,$A27)</f>
        <v>#DIV/0!</v>
      </c>
      <c r="L27" t="e">
        <f ca="1">AVERAGEIFS('Region 26'!$W$2:$W$500,'Region 26'!$A$2:$A$500,L$1,'Region 26'!$X$2:$X$500,$D27,'Region 26'!$S$2:$S$500,$A27)</f>
        <v>#DIV/0!</v>
      </c>
      <c r="M27" t="e">
        <f ca="1">AVERAGEIFS('Region 26'!$W$2:$W$500,'Region 26'!$A$2:$A$500,M$1,'Region 26'!$X$2:$X$500,$D27,'Region 26'!$S$2:$S$500,$A27)</f>
        <v>#DIV/0!</v>
      </c>
      <c r="N27" t="e">
        <f ca="1">AVERAGEIFS('Region 26'!$W$2:$W$500,'Region 26'!$A$2:$A$500,N$1,'Region 26'!$X$2:$X$500,$D27,'Region 26'!$S$2:$S$500,$A27)</f>
        <v>#DIV/0!</v>
      </c>
      <c r="Q27" t="str">
        <f t="shared" si="16"/>
        <v>Concrete</v>
      </c>
      <c r="R27" t="str">
        <f t="shared" si="17"/>
        <v>Detached</v>
      </c>
      <c r="S27">
        <f t="shared" si="18"/>
        <v>26</v>
      </c>
      <c r="T27" t="str">
        <f t="shared" ca="1" si="6"/>
        <v>-</v>
      </c>
      <c r="U27" t="str">
        <f t="shared" ca="1" si="7"/>
        <v>-</v>
      </c>
      <c r="V27" t="str">
        <f t="shared" ca="1" si="8"/>
        <v>-</v>
      </c>
      <c r="W27" t="str">
        <f t="shared" ca="1" si="9"/>
        <v>-</v>
      </c>
      <c r="X27" t="str">
        <f t="shared" ca="1" si="10"/>
        <v>-</v>
      </c>
      <c r="Y27" t="str">
        <f t="shared" ca="1" si="11"/>
        <v>-</v>
      </c>
      <c r="Z27" t="str">
        <f t="shared" ca="1" si="12"/>
        <v>-</v>
      </c>
      <c r="AA27" t="str">
        <f t="shared" ca="1" si="13"/>
        <v>-</v>
      </c>
      <c r="AB27" t="str">
        <f t="shared" ca="1" si="14"/>
        <v>-</v>
      </c>
      <c r="AC27" t="str">
        <f t="shared" ca="1" si="15"/>
        <v>-</v>
      </c>
    </row>
    <row r="28" spans="1:29" x14ac:dyDescent="0.3">
      <c r="A28" t="s">
        <v>65</v>
      </c>
      <c r="B28" t="s">
        <v>893</v>
      </c>
      <c r="C28">
        <f>C2</f>
        <v>1</v>
      </c>
      <c r="D28">
        <v>2</v>
      </c>
      <c r="E28" t="e">
        <f>AVERAGEIFS('Region 1'!$W$2:$W$498,'Region 1'!$A$2:$A$498,E$1,'Region 1'!$X$2:$X$498,$D28,'Region 1'!$S$2:$S$498,$A28)</f>
        <v>#DIV/0!</v>
      </c>
      <c r="F28" t="e">
        <f>AVERAGEIFS('Region 1'!$W$2:$W$498,'Region 1'!$A$2:$A$498,F$1,'Region 1'!$X$2:$X$498,$D28,'Region 1'!$S$2:$S$498,$A28)</f>
        <v>#DIV/0!</v>
      </c>
      <c r="G28" t="e">
        <f>AVERAGEIFS('Region 1'!$W$2:$W$498,'Region 1'!$A$2:$A$498,G$1,'Region 1'!$X$2:$X$498,$D28,'Region 1'!$S$2:$S$498,$A28)</f>
        <v>#DIV/0!</v>
      </c>
      <c r="H28" t="e">
        <f>AVERAGEIFS('Region 1'!$W$2:$W$498,'Region 1'!$A$2:$A$498,H$1,'Region 1'!$X$2:$X$498,$D28,'Region 1'!$S$2:$S$498,$A28)</f>
        <v>#DIV/0!</v>
      </c>
      <c r="I28" t="e">
        <f>AVERAGEIFS('Region 1'!$W$2:$W$498,'Region 1'!$A$2:$A$498,I$1,'Region 1'!$X$2:$X$498,$D28,'Region 1'!$S$2:$S$498,$A28)</f>
        <v>#DIV/0!</v>
      </c>
      <c r="J28" t="e">
        <f>AVERAGEIFS('Region 1'!$W$2:$W$498,'Region 1'!$A$2:$A$498,J$1,'Region 1'!$X$2:$X$498,$D28,'Region 1'!$S$2:$S$498,$A28)</f>
        <v>#DIV/0!</v>
      </c>
      <c r="K28" t="e">
        <f>AVERAGEIFS('Region 1'!$W$2:$W$498,'Region 1'!$A$2:$A$498,K$1,'Region 1'!$X$2:$X$498,$D28,'Region 1'!$S$2:$S$498,$A28)</f>
        <v>#DIV/0!</v>
      </c>
      <c r="L28" t="e">
        <f>AVERAGEIFS('Region 1'!$W$2:$W$498,'Region 1'!$A$2:$A$498,L$1,'Region 1'!$X$2:$X$498,$D28,'Region 1'!$S$2:$S$498,$A28)</f>
        <v>#DIV/0!</v>
      </c>
      <c r="M28" t="e">
        <f>AVERAGEIFS('Region 1'!$W$2:$W$498,'Region 1'!$A$2:$A$498,M$1,'Region 1'!$X$2:$X$498,$D28,'Region 1'!$S$2:$S$498,$A28)</f>
        <v>#DIV/0!</v>
      </c>
      <c r="N28" t="e">
        <f>AVERAGEIFS('Region 1'!$W$2:$W$498,'Region 1'!$A$2:$A$498,N$1,'Region 1'!$X$2:$X$498,$D28,'Region 1'!$S$2:$S$498,$A28)</f>
        <v>#DIV/0!</v>
      </c>
      <c r="Q28" t="str">
        <f t="shared" si="16"/>
        <v>Concrete</v>
      </c>
      <c r="R28" t="str">
        <f t="shared" si="17"/>
        <v>Semi-detached</v>
      </c>
      <c r="S28">
        <f t="shared" si="18"/>
        <v>1</v>
      </c>
      <c r="T28" t="str">
        <f t="shared" si="6"/>
        <v>-</v>
      </c>
      <c r="U28" t="str">
        <f t="shared" si="7"/>
        <v>-</v>
      </c>
      <c r="V28" t="str">
        <f t="shared" si="8"/>
        <v>-</v>
      </c>
      <c r="W28" t="str">
        <f t="shared" si="9"/>
        <v>-</v>
      </c>
      <c r="X28" t="str">
        <f t="shared" si="10"/>
        <v>-</v>
      </c>
      <c r="Y28" t="str">
        <f t="shared" si="11"/>
        <v>-</v>
      </c>
      <c r="Z28" t="str">
        <f t="shared" si="12"/>
        <v>-</v>
      </c>
      <c r="AA28" t="str">
        <f t="shared" si="13"/>
        <v>-</v>
      </c>
      <c r="AB28" t="str">
        <f t="shared" si="14"/>
        <v>-</v>
      </c>
      <c r="AC28" t="str">
        <f t="shared" si="15"/>
        <v>-</v>
      </c>
    </row>
    <row r="29" spans="1:29" x14ac:dyDescent="0.3">
      <c r="A29" t="s">
        <v>65</v>
      </c>
      <c r="B29" t="s">
        <v>893</v>
      </c>
      <c r="C29">
        <f t="shared" ref="C29:C53" si="19">C3</f>
        <v>2</v>
      </c>
      <c r="D29">
        <v>2</v>
      </c>
      <c r="E29" t="e">
        <f>AVERAGEIFS('Region 2'!$W$2:$W$498,'Region 2'!$A$2:$A$498,E$1,'Region 2'!$X$2:$X$498,$D29,'Region 2'!$S$2:$S$498,$A29)</f>
        <v>#DIV/0!</v>
      </c>
      <c r="F29" t="e">
        <f>AVERAGEIFS('Region 2'!$W$2:$W$498,'Region 2'!$A$2:$A$498,F$1,'Region 2'!$X$2:$X$498,$D29,'Region 2'!$S$2:$S$498,$A29)</f>
        <v>#DIV/0!</v>
      </c>
      <c r="G29" t="e">
        <f>AVERAGEIFS('Region 2'!$W$2:$W$498,'Region 2'!$A$2:$A$498,G$1,'Region 2'!$X$2:$X$498,$D29,'Region 2'!$S$2:$S$498,$A29)</f>
        <v>#DIV/0!</v>
      </c>
      <c r="H29" t="e">
        <f>AVERAGEIFS('Region 2'!$W$2:$W$498,'Region 2'!$A$2:$A$498,H$1,'Region 2'!$X$2:$X$498,$D29,'Region 2'!$S$2:$S$498,$A29)</f>
        <v>#DIV/0!</v>
      </c>
      <c r="I29" t="e">
        <f>AVERAGEIFS('Region 2'!$W$2:$W$498,'Region 2'!$A$2:$A$498,I$1,'Region 2'!$X$2:$X$498,$D29,'Region 2'!$S$2:$S$498,$A29)</f>
        <v>#DIV/0!</v>
      </c>
      <c r="J29" t="e">
        <f>AVERAGEIFS('Region 2'!$W$2:$W$498,'Region 2'!$A$2:$A$498,J$1,'Region 2'!$X$2:$X$498,$D29,'Region 2'!$S$2:$S$498,$A29)</f>
        <v>#DIV/0!</v>
      </c>
      <c r="K29" t="e">
        <f>AVERAGEIFS('Region 2'!$W$2:$W$498,'Region 2'!$A$2:$A$498,K$1,'Region 2'!$X$2:$X$498,$D29,'Region 2'!$S$2:$S$498,$A29)</f>
        <v>#DIV/0!</v>
      </c>
      <c r="L29" t="e">
        <f>AVERAGEIFS('Region 2'!$W$2:$W$498,'Region 2'!$A$2:$A$498,L$1,'Region 2'!$X$2:$X$498,$D29,'Region 2'!$S$2:$S$498,$A29)</f>
        <v>#DIV/0!</v>
      </c>
      <c r="M29" t="e">
        <f>AVERAGEIFS('Region 2'!$W$2:$W$498,'Region 2'!$A$2:$A$498,M$1,'Region 2'!$X$2:$X$498,$D29,'Region 2'!$S$2:$S$498,$A29)</f>
        <v>#DIV/0!</v>
      </c>
      <c r="N29" t="e">
        <f>AVERAGEIFS('Region 2'!$W$2:$W$498,'Region 2'!$A$2:$A$498,N$1,'Region 2'!$X$2:$X$498,$D29,'Region 2'!$S$2:$S$498,$A29)</f>
        <v>#DIV/0!</v>
      </c>
      <c r="Q29" t="str">
        <f t="shared" si="16"/>
        <v>Concrete</v>
      </c>
      <c r="R29" t="str">
        <f t="shared" si="17"/>
        <v>Semi-detached</v>
      </c>
      <c r="S29">
        <f t="shared" si="18"/>
        <v>2</v>
      </c>
      <c r="T29" t="str">
        <f t="shared" si="6"/>
        <v>-</v>
      </c>
      <c r="U29" t="str">
        <f t="shared" si="7"/>
        <v>-</v>
      </c>
      <c r="V29" t="str">
        <f t="shared" si="8"/>
        <v>-</v>
      </c>
      <c r="W29" t="str">
        <f t="shared" si="9"/>
        <v>-</v>
      </c>
      <c r="X29" t="str">
        <f t="shared" si="10"/>
        <v>-</v>
      </c>
      <c r="Y29" t="str">
        <f t="shared" si="11"/>
        <v>-</v>
      </c>
      <c r="Z29" t="str">
        <f t="shared" si="12"/>
        <v>-</v>
      </c>
      <c r="AA29" t="str">
        <f t="shared" si="13"/>
        <v>-</v>
      </c>
      <c r="AB29" t="str">
        <f t="shared" si="14"/>
        <v>-</v>
      </c>
      <c r="AC29" t="str">
        <f t="shared" si="15"/>
        <v>-</v>
      </c>
    </row>
    <row r="30" spans="1:29" x14ac:dyDescent="0.3">
      <c r="A30" t="s">
        <v>65</v>
      </c>
      <c r="B30" t="s">
        <v>893</v>
      </c>
      <c r="C30">
        <f t="shared" si="19"/>
        <v>3</v>
      </c>
      <c r="D30">
        <v>2</v>
      </c>
      <c r="E30" t="e">
        <f ca="1">AVERAGEIFS('Region 3'!$W$2:$W$500,'Region 3'!$A$2:$A$500,E$1,'Region 3'!$X$2:$X$500,$D30,'Region 3'!$S$2:$S$500,$A30)</f>
        <v>#DIV/0!</v>
      </c>
      <c r="F30" t="e">
        <f ca="1">AVERAGEIFS('Region 3'!$W$2:$W$500,'Region 3'!$A$2:$A$500,F$1,'Region 3'!$X$2:$X$500,$D30,'Region 3'!$S$2:$S$500,$A30)</f>
        <v>#DIV/0!</v>
      </c>
      <c r="G30" t="e">
        <f ca="1">AVERAGEIFS('Region 3'!$W$2:$W$500,'Region 3'!$A$2:$A$500,G$1,'Region 3'!$X$2:$X$500,$D30,'Region 3'!$S$2:$S$500,$A30)</f>
        <v>#DIV/0!</v>
      </c>
      <c r="H30" t="e">
        <f ca="1">AVERAGEIFS('Region 3'!$W$2:$W$500,'Region 3'!$A$2:$A$500,H$1,'Region 3'!$X$2:$X$500,$D30,'Region 3'!$S$2:$S$500,$A30)</f>
        <v>#DIV/0!</v>
      </c>
      <c r="I30" t="e">
        <f ca="1">AVERAGEIFS('Region 3'!$W$2:$W$500,'Region 3'!$A$2:$A$500,I$1,'Region 3'!$X$2:$X$500,$D30,'Region 3'!$S$2:$S$500,$A30)</f>
        <v>#DIV/0!</v>
      </c>
      <c r="J30" t="e">
        <f ca="1">AVERAGEIFS('Region 3'!$W$2:$W$500,'Region 3'!$A$2:$A$500,J$1,'Region 3'!$X$2:$X$500,$D30,'Region 3'!$S$2:$S$500,$A30)</f>
        <v>#DIV/0!</v>
      </c>
      <c r="K30" t="e">
        <f ca="1">AVERAGEIFS('Region 3'!$W$2:$W$500,'Region 3'!$A$2:$A$500,K$1,'Region 3'!$X$2:$X$500,$D30,'Region 3'!$S$2:$S$500,$A30)</f>
        <v>#DIV/0!</v>
      </c>
      <c r="L30" t="e">
        <f ca="1">AVERAGEIFS('Region 3'!$W$2:$W$500,'Region 3'!$A$2:$A$500,L$1,'Region 3'!$X$2:$X$500,$D30,'Region 3'!$S$2:$S$500,$A30)</f>
        <v>#DIV/0!</v>
      </c>
      <c r="M30" t="e">
        <f ca="1">AVERAGEIFS('Region 3'!$W$2:$W$500,'Region 3'!$A$2:$A$500,M$1,'Region 3'!$X$2:$X$500,$D30,'Region 3'!$S$2:$S$500,$A30)</f>
        <v>#DIV/0!</v>
      </c>
      <c r="N30" t="e">
        <f ca="1">AVERAGEIFS('Region 3'!$W$2:$W$500,'Region 3'!$A$2:$A$500,N$1,'Region 3'!$X$2:$X$500,$D30,'Region 3'!$S$2:$S$500,$A30)</f>
        <v>#DIV/0!</v>
      </c>
      <c r="Q30" t="str">
        <f t="shared" si="16"/>
        <v>Concrete</v>
      </c>
      <c r="R30" t="str">
        <f t="shared" si="17"/>
        <v>Semi-detached</v>
      </c>
      <c r="S30">
        <f t="shared" si="18"/>
        <v>3</v>
      </c>
      <c r="T30" t="str">
        <f t="shared" ca="1" si="6"/>
        <v>-</v>
      </c>
      <c r="U30" t="str">
        <f t="shared" ca="1" si="7"/>
        <v>-</v>
      </c>
      <c r="V30" t="str">
        <f t="shared" ca="1" si="8"/>
        <v>-</v>
      </c>
      <c r="W30" t="str">
        <f t="shared" ca="1" si="9"/>
        <v>-</v>
      </c>
      <c r="X30" t="str">
        <f t="shared" ca="1" si="10"/>
        <v>-</v>
      </c>
      <c r="Y30" t="str">
        <f t="shared" ca="1" si="11"/>
        <v>-</v>
      </c>
      <c r="Z30" t="str">
        <f t="shared" ca="1" si="12"/>
        <v>-</v>
      </c>
      <c r="AA30" t="str">
        <f t="shared" ca="1" si="13"/>
        <v>-</v>
      </c>
      <c r="AB30" t="str">
        <f t="shared" ca="1" si="14"/>
        <v>-</v>
      </c>
      <c r="AC30" t="str">
        <f t="shared" ca="1" si="15"/>
        <v>-</v>
      </c>
    </row>
    <row r="31" spans="1:29" x14ac:dyDescent="0.3">
      <c r="A31" t="s">
        <v>65</v>
      </c>
      <c r="B31" t="s">
        <v>893</v>
      </c>
      <c r="C31">
        <f t="shared" si="19"/>
        <v>4</v>
      </c>
      <c r="D31">
        <v>2</v>
      </c>
      <c r="E31">
        <f>AVERAGEIFS('Region 4'!$W$2:$W$10,'Region 4'!$A$2:$A$10,E$1,'Region 4'!$X$2:$X$10,$D31,'Region 4'!$S$2:$S$10,$A31)</f>
        <v>1315</v>
      </c>
      <c r="F31" t="e">
        <f>AVERAGEIFS('Region 4'!$W$2:$W$10,'Region 4'!$A$2:$A$10,F$1,'Region 4'!$X$2:$X$10,$D31,'Region 4'!$S$2:$S$10,$A31)</f>
        <v>#DIV/0!</v>
      </c>
      <c r="G31" t="e">
        <f>AVERAGEIFS('Region 4'!$W$2:$W$10,'Region 4'!$A$2:$A$10,G$1,'Region 4'!$X$2:$X$10,$D31,'Region 4'!$S$2:$S$10,$A31)</f>
        <v>#DIV/0!</v>
      </c>
      <c r="H31" t="e">
        <f>AVERAGEIFS('Region 4'!$W$2:$W$10,'Region 4'!$A$2:$A$10,H$1,'Region 4'!$X$2:$X$10,$D31,'Region 4'!$S$2:$S$10,$A31)</f>
        <v>#DIV/0!</v>
      </c>
      <c r="I31" t="e">
        <f>AVERAGEIFS('Region 4'!$W$2:$W$10,'Region 4'!$A$2:$A$10,I$1,'Region 4'!$X$2:$X$10,$D31,'Region 4'!$S$2:$S$10,$A31)</f>
        <v>#DIV/0!</v>
      </c>
      <c r="J31" t="e">
        <f>AVERAGEIFS('Region 4'!$W$2:$W$10,'Region 4'!$A$2:$A$10,J$1,'Region 4'!$X$2:$X$10,$D31,'Region 4'!$S$2:$S$10,$A31)</f>
        <v>#DIV/0!</v>
      </c>
      <c r="K31" t="e">
        <f>AVERAGEIFS('Region 4'!$W$2:$W$10,'Region 4'!$A$2:$A$10,K$1,'Region 4'!$X$2:$X$10,$D31,'Region 4'!$S$2:$S$10,$A31)</f>
        <v>#DIV/0!</v>
      </c>
      <c r="L31" t="e">
        <f>AVERAGEIFS('Region 4'!$W$2:$W$10,'Region 4'!$A$2:$A$10,L$1,'Region 4'!$X$2:$X$10,$D31,'Region 4'!$S$2:$S$10,$A31)</f>
        <v>#DIV/0!</v>
      </c>
      <c r="M31" t="e">
        <f>AVERAGEIFS('Region 4'!$W$2:$W$10,'Region 4'!$A$2:$A$10,M$1,'Region 4'!$X$2:$X$10,$D31,'Region 4'!$S$2:$S$10,$A31)</f>
        <v>#DIV/0!</v>
      </c>
      <c r="N31" t="e">
        <f>AVERAGEIFS('Region 4'!$W$2:$W$10,'Region 4'!$A$2:$A$10,N$1,'Region 4'!$X$2:$X$10,$D31,'Region 4'!$S$2:$S$10,$A31)</f>
        <v>#DIV/0!</v>
      </c>
      <c r="Q31" t="str">
        <f t="shared" si="16"/>
        <v>Concrete</v>
      </c>
      <c r="R31" t="str">
        <f t="shared" si="17"/>
        <v>Semi-detached</v>
      </c>
      <c r="S31">
        <f t="shared" si="18"/>
        <v>4</v>
      </c>
      <c r="T31">
        <f t="shared" si="6"/>
        <v>1315</v>
      </c>
      <c r="U31" t="str">
        <f t="shared" si="7"/>
        <v>-</v>
      </c>
      <c r="V31" t="str">
        <f t="shared" si="8"/>
        <v>-</v>
      </c>
      <c r="W31" t="str">
        <f t="shared" si="9"/>
        <v>-</v>
      </c>
      <c r="X31" t="str">
        <f t="shared" si="10"/>
        <v>-</v>
      </c>
      <c r="Y31" t="str">
        <f t="shared" si="11"/>
        <v>-</v>
      </c>
      <c r="Z31" t="str">
        <f t="shared" si="12"/>
        <v>-</v>
      </c>
      <c r="AA31" t="str">
        <f t="shared" si="13"/>
        <v>-</v>
      </c>
      <c r="AB31" t="str">
        <f t="shared" si="14"/>
        <v>-</v>
      </c>
      <c r="AC31" t="str">
        <f t="shared" si="15"/>
        <v>-</v>
      </c>
    </row>
    <row r="32" spans="1:29" x14ac:dyDescent="0.3">
      <c r="A32" t="s">
        <v>65</v>
      </c>
      <c r="B32" t="s">
        <v>893</v>
      </c>
      <c r="C32">
        <f t="shared" si="19"/>
        <v>5</v>
      </c>
      <c r="D32">
        <v>2</v>
      </c>
      <c r="E32" t="e">
        <f>AVERAGEIFS('Region 5'!$W$2:$W$496,'Region 5'!$A$2:$A$496,E$1,'Region 5'!$X$2:$X$496,$D32,'Region 5'!$S$2:$S$496,$A32)</f>
        <v>#DIV/0!</v>
      </c>
      <c r="F32" t="e">
        <f>AVERAGEIFS('Region 5'!$W$2:$W$496,'Region 5'!$A$2:$A$496,F$1,'Region 5'!$X$2:$X$496,$D32,'Region 5'!$S$2:$S$496,$A32)</f>
        <v>#DIV/0!</v>
      </c>
      <c r="G32" t="e">
        <f>AVERAGEIFS('Region 5'!$W$2:$W$496,'Region 5'!$A$2:$A$496,G$1,'Region 5'!$X$2:$X$496,$D32,'Region 5'!$S$2:$S$496,$A32)</f>
        <v>#DIV/0!</v>
      </c>
      <c r="H32" t="e">
        <f>AVERAGEIFS('Region 5'!$W$2:$W$496,'Region 5'!$A$2:$A$496,H$1,'Region 5'!$X$2:$X$496,$D32,'Region 5'!$S$2:$S$496,$A32)</f>
        <v>#DIV/0!</v>
      </c>
      <c r="I32" t="e">
        <f>AVERAGEIFS('Region 5'!$W$2:$W$496,'Region 5'!$A$2:$A$496,I$1,'Region 5'!$X$2:$X$496,$D32,'Region 5'!$S$2:$S$496,$A32)</f>
        <v>#DIV/0!</v>
      </c>
      <c r="J32" t="e">
        <f>AVERAGEIFS('Region 5'!$W$2:$W$496,'Region 5'!$A$2:$A$496,J$1,'Region 5'!$X$2:$X$496,$D32,'Region 5'!$S$2:$S$496,$A32)</f>
        <v>#DIV/0!</v>
      </c>
      <c r="K32" t="e">
        <f>AVERAGEIFS('Region 5'!$W$2:$W$496,'Region 5'!$A$2:$A$496,K$1,'Region 5'!$X$2:$X$496,$D32,'Region 5'!$S$2:$S$496,$A32)</f>
        <v>#DIV/0!</v>
      </c>
      <c r="L32" t="e">
        <f>AVERAGEIFS('Region 5'!$W$2:$W$496,'Region 5'!$A$2:$A$496,L$1,'Region 5'!$X$2:$X$496,$D32,'Region 5'!$S$2:$S$496,$A32)</f>
        <v>#DIV/0!</v>
      </c>
      <c r="M32" t="e">
        <f>AVERAGEIFS('Region 5'!$W$2:$W$496,'Region 5'!$A$2:$A$496,M$1,'Region 5'!$X$2:$X$496,$D32,'Region 5'!$S$2:$S$496,$A32)</f>
        <v>#DIV/0!</v>
      </c>
      <c r="N32" t="e">
        <f>AVERAGEIFS('Region 5'!$W$2:$W$496,'Region 5'!$A$2:$A$496,N$1,'Region 5'!$X$2:$X$496,$D32,'Region 5'!$S$2:$S$496,$A32)</f>
        <v>#DIV/0!</v>
      </c>
      <c r="Q32" t="str">
        <f t="shared" si="16"/>
        <v>Concrete</v>
      </c>
      <c r="R32" t="str">
        <f t="shared" si="17"/>
        <v>Semi-detached</v>
      </c>
      <c r="S32">
        <f t="shared" si="18"/>
        <v>5</v>
      </c>
      <c r="T32" t="str">
        <f t="shared" si="6"/>
        <v>-</v>
      </c>
      <c r="U32" t="str">
        <f t="shared" si="7"/>
        <v>-</v>
      </c>
      <c r="V32" t="str">
        <f t="shared" si="8"/>
        <v>-</v>
      </c>
      <c r="W32" t="str">
        <f t="shared" si="9"/>
        <v>-</v>
      </c>
      <c r="X32" t="str">
        <f t="shared" si="10"/>
        <v>-</v>
      </c>
      <c r="Y32" t="str">
        <f t="shared" si="11"/>
        <v>-</v>
      </c>
      <c r="Z32" t="str">
        <f t="shared" si="12"/>
        <v>-</v>
      </c>
      <c r="AA32" t="str">
        <f t="shared" si="13"/>
        <v>-</v>
      </c>
      <c r="AB32" t="str">
        <f t="shared" si="14"/>
        <v>-</v>
      </c>
      <c r="AC32" t="str">
        <f t="shared" si="15"/>
        <v>-</v>
      </c>
    </row>
    <row r="33" spans="1:29" x14ac:dyDescent="0.3">
      <c r="A33" t="s">
        <v>65</v>
      </c>
      <c r="B33" t="s">
        <v>893</v>
      </c>
      <c r="C33">
        <f t="shared" si="19"/>
        <v>6</v>
      </c>
      <c r="D33">
        <v>2</v>
      </c>
      <c r="E33" t="e">
        <f>AVERAGEIFS('Region 6'!$W$2:$W$496,'Region 6'!$A$2:$A$496,E$1,'Region 6'!$X$2:$X$496,$D33,'Region 6'!$S$2:$S$496,$A33)</f>
        <v>#DIV/0!</v>
      </c>
      <c r="F33" t="e">
        <f>AVERAGEIFS('Region 6'!$W$2:$W$496,'Region 6'!$A$2:$A$496,F$1,'Region 6'!$X$2:$X$496,$D33,'Region 6'!$S$2:$S$496,$A33)</f>
        <v>#DIV/0!</v>
      </c>
      <c r="G33">
        <f>AVERAGEIFS('Region 6'!$W$2:$W$496,'Region 6'!$A$2:$A$496,G$1,'Region 6'!$X$2:$X$496,$D33,'Region 6'!$S$2:$S$496,$A33)</f>
        <v>894.85714285714289</v>
      </c>
      <c r="H33" t="e">
        <f>AVERAGEIFS('Region 6'!$W$2:$W$496,'Region 6'!$A$2:$A$496,H$1,'Region 6'!$X$2:$X$496,$D33,'Region 6'!$S$2:$S$496,$A33)</f>
        <v>#DIV/0!</v>
      </c>
      <c r="I33" t="e">
        <f>AVERAGEIFS('Region 6'!$W$2:$W$496,'Region 6'!$A$2:$A$496,I$1,'Region 6'!$X$2:$X$496,$D33,'Region 6'!$S$2:$S$496,$A33)</f>
        <v>#DIV/0!</v>
      </c>
      <c r="J33" t="e">
        <f>AVERAGEIFS('Region 6'!$W$2:$W$496,'Region 6'!$A$2:$A$496,J$1,'Region 6'!$X$2:$X$496,$D33,'Region 6'!$S$2:$S$496,$A33)</f>
        <v>#DIV/0!</v>
      </c>
      <c r="K33" t="e">
        <f>AVERAGEIFS('Region 6'!$W$2:$W$496,'Region 6'!$A$2:$A$496,K$1,'Region 6'!$X$2:$X$496,$D33,'Region 6'!$S$2:$S$496,$A33)</f>
        <v>#DIV/0!</v>
      </c>
      <c r="L33" t="e">
        <f>AVERAGEIFS('Region 6'!$W$2:$W$496,'Region 6'!$A$2:$A$496,L$1,'Region 6'!$X$2:$X$496,$D33,'Region 6'!$S$2:$S$496,$A33)</f>
        <v>#DIV/0!</v>
      </c>
      <c r="M33" t="e">
        <f>AVERAGEIFS('Region 6'!$W$2:$W$496,'Region 6'!$A$2:$A$496,M$1,'Region 6'!$X$2:$X$496,$D33,'Region 6'!$S$2:$S$496,$A33)</f>
        <v>#DIV/0!</v>
      </c>
      <c r="N33" t="e">
        <f>AVERAGEIFS('Region 6'!$W$2:$W$496,'Region 6'!$A$2:$A$496,N$1,'Region 6'!$X$2:$X$496,$D33,'Region 6'!$S$2:$S$496,$A33)</f>
        <v>#DIV/0!</v>
      </c>
      <c r="Q33" t="str">
        <f t="shared" si="16"/>
        <v>Concrete</v>
      </c>
      <c r="R33" t="str">
        <f t="shared" si="17"/>
        <v>Semi-detached</v>
      </c>
      <c r="S33">
        <f t="shared" si="18"/>
        <v>6</v>
      </c>
      <c r="T33" t="str">
        <f t="shared" si="6"/>
        <v>-</v>
      </c>
      <c r="U33" t="str">
        <f t="shared" si="7"/>
        <v>-</v>
      </c>
      <c r="V33">
        <f t="shared" si="8"/>
        <v>894.85714285714289</v>
      </c>
      <c r="W33" t="str">
        <f t="shared" si="9"/>
        <v>-</v>
      </c>
      <c r="X33" t="str">
        <f t="shared" si="10"/>
        <v>-</v>
      </c>
      <c r="Y33" t="str">
        <f t="shared" si="11"/>
        <v>-</v>
      </c>
      <c r="Z33" t="str">
        <f t="shared" si="12"/>
        <v>-</v>
      </c>
      <c r="AA33" t="str">
        <f t="shared" si="13"/>
        <v>-</v>
      </c>
      <c r="AB33" t="str">
        <f t="shared" si="14"/>
        <v>-</v>
      </c>
      <c r="AC33" t="str">
        <f t="shared" si="15"/>
        <v>-</v>
      </c>
    </row>
    <row r="34" spans="1:29" x14ac:dyDescent="0.3">
      <c r="A34" t="s">
        <v>65</v>
      </c>
      <c r="B34" t="s">
        <v>893</v>
      </c>
      <c r="C34">
        <f t="shared" si="19"/>
        <v>7</v>
      </c>
      <c r="D34">
        <v>2</v>
      </c>
      <c r="E34" t="e">
        <f ca="1">AVERAGEIFS('Region 7'!$W$2:$W$500,'Region 7'!$A$2:$A$500,E$1,'Region 7'!$X$2:$X$500,$D34,'Region 7'!$S$2:$S$500,$A34)</f>
        <v>#DIV/0!</v>
      </c>
      <c r="F34" t="e">
        <f ca="1">AVERAGEIFS('Region 7'!$W$2:$W$500,'Region 7'!$A$2:$A$500,F$1,'Region 7'!$X$2:$X$500,$D34,'Region 7'!$S$2:$S$500,$A34)</f>
        <v>#DIV/0!</v>
      </c>
      <c r="G34" t="e">
        <f ca="1">AVERAGEIFS('Region 7'!$W$2:$W$500,'Region 7'!$A$2:$A$500,G$1,'Region 7'!$X$2:$X$500,$D34,'Region 7'!$S$2:$S$500,$A34)</f>
        <v>#DIV/0!</v>
      </c>
      <c r="H34" t="e">
        <f ca="1">AVERAGEIFS('Region 7'!$W$2:$W$500,'Region 7'!$A$2:$A$500,H$1,'Region 7'!$X$2:$X$500,$D34,'Region 7'!$S$2:$S$500,$A34)</f>
        <v>#DIV/0!</v>
      </c>
      <c r="I34" t="e">
        <f ca="1">AVERAGEIFS('Region 7'!$W$2:$W$500,'Region 7'!$A$2:$A$500,I$1,'Region 7'!$X$2:$X$500,$D34,'Region 7'!$S$2:$S$500,$A34)</f>
        <v>#DIV/0!</v>
      </c>
      <c r="J34" t="e">
        <f ca="1">AVERAGEIFS('Region 7'!$W$2:$W$500,'Region 7'!$A$2:$A$500,J$1,'Region 7'!$X$2:$X$500,$D34,'Region 7'!$S$2:$S$500,$A34)</f>
        <v>#DIV/0!</v>
      </c>
      <c r="K34" t="e">
        <f ca="1">AVERAGEIFS('Region 7'!$W$2:$W$500,'Region 7'!$A$2:$A$500,K$1,'Region 7'!$X$2:$X$500,$D34,'Region 7'!$S$2:$S$500,$A34)</f>
        <v>#DIV/0!</v>
      </c>
      <c r="L34" t="e">
        <f ca="1">AVERAGEIFS('Region 7'!$W$2:$W$500,'Region 7'!$A$2:$A$500,L$1,'Region 7'!$X$2:$X$500,$D34,'Region 7'!$S$2:$S$500,$A34)</f>
        <v>#DIV/0!</v>
      </c>
      <c r="M34" t="e">
        <f ca="1">AVERAGEIFS('Region 7'!$W$2:$W$500,'Region 7'!$A$2:$A$500,M$1,'Region 7'!$X$2:$X$500,$D34,'Region 7'!$S$2:$S$500,$A34)</f>
        <v>#DIV/0!</v>
      </c>
      <c r="N34" t="e">
        <f ca="1">AVERAGEIFS('Region 7'!$W$2:$W$500,'Region 7'!$A$2:$A$500,N$1,'Region 7'!$X$2:$X$500,$D34,'Region 7'!$S$2:$S$500,$A34)</f>
        <v>#DIV/0!</v>
      </c>
      <c r="Q34" t="str">
        <f t="shared" si="16"/>
        <v>Concrete</v>
      </c>
      <c r="R34" t="str">
        <f t="shared" si="17"/>
        <v>Semi-detached</v>
      </c>
      <c r="S34">
        <f t="shared" si="18"/>
        <v>7</v>
      </c>
      <c r="T34" t="str">
        <f t="shared" ca="1" si="6"/>
        <v>-</v>
      </c>
      <c r="U34" t="str">
        <f t="shared" ca="1" si="7"/>
        <v>-</v>
      </c>
      <c r="V34" t="str">
        <f t="shared" ca="1" si="8"/>
        <v>-</v>
      </c>
      <c r="W34" t="str">
        <f t="shared" ca="1" si="9"/>
        <v>-</v>
      </c>
      <c r="X34" t="str">
        <f t="shared" ca="1" si="10"/>
        <v>-</v>
      </c>
      <c r="Y34" t="str">
        <f t="shared" ca="1" si="11"/>
        <v>-</v>
      </c>
      <c r="Z34" t="str">
        <f t="shared" ca="1" si="12"/>
        <v>-</v>
      </c>
      <c r="AA34" t="str">
        <f t="shared" ca="1" si="13"/>
        <v>-</v>
      </c>
      <c r="AB34" t="str">
        <f t="shared" ca="1" si="14"/>
        <v>-</v>
      </c>
      <c r="AC34" t="str">
        <f t="shared" ca="1" si="15"/>
        <v>-</v>
      </c>
    </row>
    <row r="35" spans="1:29" x14ac:dyDescent="0.3">
      <c r="A35" t="s">
        <v>65</v>
      </c>
      <c r="B35" t="s">
        <v>893</v>
      </c>
      <c r="C35">
        <f t="shared" si="19"/>
        <v>8</v>
      </c>
      <c r="D35">
        <v>2</v>
      </c>
      <c r="E35" t="e">
        <f>AVERAGEIFS('Region 8'!$W$2:$W$497,'Region 8'!$A$2:$A$497,E$1,'Region 8'!$X$2:$X$497,$D35,'Region 8'!$S$2:$S$497,$A35)</f>
        <v>#DIV/0!</v>
      </c>
      <c r="F35" t="e">
        <f>AVERAGEIFS('Region 8'!$W$2:$W$497,'Region 8'!$A$2:$A$497,F$1,'Region 8'!$X$2:$X$497,$D35,'Region 8'!$S$2:$S$497,$A35)</f>
        <v>#DIV/0!</v>
      </c>
      <c r="G35" t="e">
        <f>AVERAGEIFS('Region 8'!$W$2:$W$497,'Region 8'!$A$2:$A$497,G$1,'Region 8'!$X$2:$X$497,$D35,'Region 8'!$S$2:$S$497,$A35)</f>
        <v>#DIV/0!</v>
      </c>
      <c r="H35" t="e">
        <f>AVERAGEIFS('Region 8'!$W$2:$W$497,'Region 8'!$A$2:$A$497,H$1,'Region 8'!$X$2:$X$497,$D35,'Region 8'!$S$2:$S$497,$A35)</f>
        <v>#DIV/0!</v>
      </c>
      <c r="I35" t="e">
        <f>AVERAGEIFS('Region 8'!$W$2:$W$497,'Region 8'!$A$2:$A$497,I$1,'Region 8'!$X$2:$X$497,$D35,'Region 8'!$S$2:$S$497,$A35)</f>
        <v>#DIV/0!</v>
      </c>
      <c r="J35" t="e">
        <f>AVERAGEIFS('Region 8'!$W$2:$W$497,'Region 8'!$A$2:$A$497,J$1,'Region 8'!$X$2:$X$497,$D35,'Region 8'!$S$2:$S$497,$A35)</f>
        <v>#DIV/0!</v>
      </c>
      <c r="K35" t="e">
        <f>AVERAGEIFS('Region 8'!$W$2:$W$497,'Region 8'!$A$2:$A$497,K$1,'Region 8'!$X$2:$X$497,$D35,'Region 8'!$S$2:$S$497,$A35)</f>
        <v>#DIV/0!</v>
      </c>
      <c r="L35" t="e">
        <f>AVERAGEIFS('Region 8'!$W$2:$W$497,'Region 8'!$A$2:$A$497,L$1,'Region 8'!$X$2:$X$497,$D35,'Region 8'!$S$2:$S$497,$A35)</f>
        <v>#DIV/0!</v>
      </c>
      <c r="M35" t="e">
        <f>AVERAGEIFS('Region 8'!$W$2:$W$497,'Region 8'!$A$2:$A$497,M$1,'Region 8'!$X$2:$X$497,$D35,'Region 8'!$S$2:$S$497,$A35)</f>
        <v>#DIV/0!</v>
      </c>
      <c r="N35" t="e">
        <f>AVERAGEIFS('Region 8'!$W$2:$W$497,'Region 8'!$A$2:$A$497,N$1,'Region 8'!$X$2:$X$497,$D35,'Region 8'!$S$2:$S$497,$A35)</f>
        <v>#DIV/0!</v>
      </c>
      <c r="Q35" t="str">
        <f t="shared" si="16"/>
        <v>Concrete</v>
      </c>
      <c r="R35" t="str">
        <f t="shared" si="17"/>
        <v>Semi-detached</v>
      </c>
      <c r="S35">
        <f t="shared" si="18"/>
        <v>8</v>
      </c>
      <c r="T35" t="str">
        <f t="shared" si="6"/>
        <v>-</v>
      </c>
      <c r="U35" t="str">
        <f t="shared" si="7"/>
        <v>-</v>
      </c>
      <c r="V35" t="str">
        <f t="shared" si="8"/>
        <v>-</v>
      </c>
      <c r="W35" t="str">
        <f t="shared" si="9"/>
        <v>-</v>
      </c>
      <c r="X35" t="str">
        <f t="shared" si="10"/>
        <v>-</v>
      </c>
      <c r="Y35" t="str">
        <f t="shared" si="11"/>
        <v>-</v>
      </c>
      <c r="Z35" t="str">
        <f t="shared" si="12"/>
        <v>-</v>
      </c>
      <c r="AA35" t="str">
        <f t="shared" si="13"/>
        <v>-</v>
      </c>
      <c r="AB35" t="str">
        <f t="shared" si="14"/>
        <v>-</v>
      </c>
      <c r="AC35" t="str">
        <f t="shared" si="15"/>
        <v>-</v>
      </c>
    </row>
    <row r="36" spans="1:29" x14ac:dyDescent="0.3">
      <c r="A36" t="s">
        <v>65</v>
      </c>
      <c r="B36" t="s">
        <v>893</v>
      </c>
      <c r="C36">
        <f t="shared" si="19"/>
        <v>9</v>
      </c>
      <c r="D36">
        <v>2</v>
      </c>
      <c r="E36" t="e">
        <f ca="1">AVERAGEIFS('Region 9'!$W$2:$W$500,'Region 9'!$A$2:$A$500,E$1,'Region 9'!$X$2:$X$500,$D36,'Region 9'!$S$2:$S$500,$A36)</f>
        <v>#DIV/0!</v>
      </c>
      <c r="F36" t="e">
        <f ca="1">AVERAGEIFS('Region 9'!$W$2:$W$500,'Region 9'!$A$2:$A$500,F$1,'Region 9'!$X$2:$X$500,$D36,'Region 9'!$S$2:$S$500,$A36)</f>
        <v>#DIV/0!</v>
      </c>
      <c r="G36" t="e">
        <f ca="1">AVERAGEIFS('Region 9'!$W$2:$W$500,'Region 9'!$A$2:$A$500,G$1,'Region 9'!$X$2:$X$500,$D36,'Region 9'!$S$2:$S$500,$A36)</f>
        <v>#DIV/0!</v>
      </c>
      <c r="H36" t="e">
        <f ca="1">AVERAGEIFS('Region 9'!$W$2:$W$500,'Region 9'!$A$2:$A$500,H$1,'Region 9'!$X$2:$X$500,$D36,'Region 9'!$S$2:$S$500,$A36)</f>
        <v>#DIV/0!</v>
      </c>
      <c r="I36" t="e">
        <f ca="1">AVERAGEIFS('Region 9'!$W$2:$W$500,'Region 9'!$A$2:$A$500,I$1,'Region 9'!$X$2:$X$500,$D36,'Region 9'!$S$2:$S$500,$A36)</f>
        <v>#DIV/0!</v>
      </c>
      <c r="J36" t="e">
        <f ca="1">AVERAGEIFS('Region 9'!$W$2:$W$500,'Region 9'!$A$2:$A$500,J$1,'Region 9'!$X$2:$X$500,$D36,'Region 9'!$S$2:$S$500,$A36)</f>
        <v>#DIV/0!</v>
      </c>
      <c r="K36" t="e">
        <f ca="1">AVERAGEIFS('Region 9'!$W$2:$W$500,'Region 9'!$A$2:$A$500,K$1,'Region 9'!$X$2:$X$500,$D36,'Region 9'!$S$2:$S$500,$A36)</f>
        <v>#DIV/0!</v>
      </c>
      <c r="L36" t="e">
        <f ca="1">AVERAGEIFS('Region 9'!$W$2:$W$500,'Region 9'!$A$2:$A$500,L$1,'Region 9'!$X$2:$X$500,$D36,'Region 9'!$S$2:$S$500,$A36)</f>
        <v>#DIV/0!</v>
      </c>
      <c r="M36" t="e">
        <f ca="1">AVERAGEIFS('Region 9'!$W$2:$W$500,'Region 9'!$A$2:$A$500,M$1,'Region 9'!$X$2:$X$500,$D36,'Region 9'!$S$2:$S$500,$A36)</f>
        <v>#DIV/0!</v>
      </c>
      <c r="N36" t="e">
        <f ca="1">AVERAGEIFS('Region 9'!$W$2:$W$500,'Region 9'!$A$2:$A$500,N$1,'Region 9'!$X$2:$X$500,$D36,'Region 9'!$S$2:$S$500,$A36)</f>
        <v>#DIV/0!</v>
      </c>
      <c r="Q36" t="str">
        <f t="shared" si="16"/>
        <v>Concrete</v>
      </c>
      <c r="R36" t="str">
        <f t="shared" si="17"/>
        <v>Semi-detached</v>
      </c>
      <c r="S36">
        <f t="shared" si="18"/>
        <v>9</v>
      </c>
      <c r="T36" t="str">
        <f t="shared" ca="1" si="6"/>
        <v>-</v>
      </c>
      <c r="U36" t="str">
        <f t="shared" ca="1" si="7"/>
        <v>-</v>
      </c>
      <c r="V36" t="str">
        <f t="shared" ca="1" si="8"/>
        <v>-</v>
      </c>
      <c r="W36" t="str">
        <f t="shared" ca="1" si="9"/>
        <v>-</v>
      </c>
      <c r="X36" t="str">
        <f t="shared" ca="1" si="10"/>
        <v>-</v>
      </c>
      <c r="Y36" t="str">
        <f t="shared" ca="1" si="11"/>
        <v>-</v>
      </c>
      <c r="Z36" t="str">
        <f t="shared" ca="1" si="12"/>
        <v>-</v>
      </c>
      <c r="AA36" t="str">
        <f t="shared" ca="1" si="13"/>
        <v>-</v>
      </c>
      <c r="AB36" t="str">
        <f t="shared" ca="1" si="14"/>
        <v>-</v>
      </c>
      <c r="AC36" t="str">
        <f t="shared" ca="1" si="15"/>
        <v>-</v>
      </c>
    </row>
    <row r="37" spans="1:29" x14ac:dyDescent="0.3">
      <c r="A37" t="s">
        <v>65</v>
      </c>
      <c r="B37" t="s">
        <v>893</v>
      </c>
      <c r="C37">
        <f t="shared" si="19"/>
        <v>10</v>
      </c>
      <c r="D37">
        <v>2</v>
      </c>
      <c r="E37" t="e">
        <f>AVERAGEIFS('Region 10'!$W$2:$W$500,'Region 10'!$A$2:$A$500,E$1,'Region 10'!$X$2:$X$500,$D37,'Region 10'!$S$2:$S$500,$A37)</f>
        <v>#DIV/0!</v>
      </c>
      <c r="F37" t="e">
        <f>AVERAGEIFS('Region 10'!$W$2:$W$500,'Region 10'!$A$2:$A$500,F$1,'Region 10'!$X$2:$X$500,$D37,'Region 10'!$S$2:$S$500,$A37)</f>
        <v>#DIV/0!</v>
      </c>
      <c r="G37" t="e">
        <f>AVERAGEIFS('Region 10'!$W$2:$W$500,'Region 10'!$A$2:$A$500,G$1,'Region 10'!$X$2:$X$500,$D37,'Region 10'!$S$2:$S$500,$A37)</f>
        <v>#DIV/0!</v>
      </c>
      <c r="H37" t="e">
        <f>AVERAGEIFS('Region 10'!$W$2:$W$500,'Region 10'!$A$2:$A$500,H$1,'Region 10'!$X$2:$X$500,$D37,'Region 10'!$S$2:$S$500,$A37)</f>
        <v>#DIV/0!</v>
      </c>
      <c r="I37" t="e">
        <f>AVERAGEIFS('Region 10'!$W$2:$W$500,'Region 10'!$A$2:$A$500,I$1,'Region 10'!$X$2:$X$500,$D37,'Region 10'!$S$2:$S$500,$A37)</f>
        <v>#DIV/0!</v>
      </c>
      <c r="J37" t="e">
        <f>AVERAGEIFS('Region 10'!$W$2:$W$500,'Region 10'!$A$2:$A$500,J$1,'Region 10'!$X$2:$X$500,$D37,'Region 10'!$S$2:$S$500,$A37)</f>
        <v>#DIV/0!</v>
      </c>
      <c r="K37" t="e">
        <f>AVERAGEIFS('Region 10'!$W$2:$W$500,'Region 10'!$A$2:$A$500,K$1,'Region 10'!$X$2:$X$500,$D37,'Region 10'!$S$2:$S$500,$A37)</f>
        <v>#DIV/0!</v>
      </c>
      <c r="L37" t="e">
        <f>AVERAGEIFS('Region 10'!$W$2:$W$500,'Region 10'!$A$2:$A$500,L$1,'Region 10'!$X$2:$X$500,$D37,'Region 10'!$S$2:$S$500,$A37)</f>
        <v>#DIV/0!</v>
      </c>
      <c r="M37" t="e">
        <f>AVERAGEIFS('Region 10'!$W$2:$W$500,'Region 10'!$A$2:$A$500,M$1,'Region 10'!$X$2:$X$500,$D37,'Region 10'!$S$2:$S$500,$A37)</f>
        <v>#DIV/0!</v>
      </c>
      <c r="N37" t="e">
        <f>AVERAGEIFS('Region 10'!$W$2:$W$500,'Region 10'!$A$2:$A$500,N$1,'Region 10'!$X$2:$X$500,$D37,'Region 10'!$S$2:$S$500,$A37)</f>
        <v>#DIV/0!</v>
      </c>
      <c r="Q37" t="str">
        <f t="shared" si="16"/>
        <v>Concrete</v>
      </c>
      <c r="R37" t="str">
        <f t="shared" si="17"/>
        <v>Semi-detached</v>
      </c>
      <c r="S37">
        <f t="shared" si="18"/>
        <v>10</v>
      </c>
      <c r="T37" t="str">
        <f t="shared" si="6"/>
        <v>-</v>
      </c>
      <c r="U37" t="str">
        <f t="shared" si="7"/>
        <v>-</v>
      </c>
      <c r="V37" t="str">
        <f t="shared" si="8"/>
        <v>-</v>
      </c>
      <c r="W37" t="str">
        <f t="shared" si="9"/>
        <v>-</v>
      </c>
      <c r="X37" t="str">
        <f t="shared" si="10"/>
        <v>-</v>
      </c>
      <c r="Y37" t="str">
        <f t="shared" si="11"/>
        <v>-</v>
      </c>
      <c r="Z37" t="str">
        <f t="shared" si="12"/>
        <v>-</v>
      </c>
      <c r="AA37" t="str">
        <f t="shared" si="13"/>
        <v>-</v>
      </c>
      <c r="AB37" t="str">
        <f t="shared" si="14"/>
        <v>-</v>
      </c>
      <c r="AC37" t="str">
        <f t="shared" si="15"/>
        <v>-</v>
      </c>
    </row>
    <row r="38" spans="1:29" x14ac:dyDescent="0.3">
      <c r="A38" t="s">
        <v>65</v>
      </c>
      <c r="B38" t="s">
        <v>893</v>
      </c>
      <c r="C38">
        <f t="shared" si="19"/>
        <v>11</v>
      </c>
      <c r="D38">
        <v>2</v>
      </c>
      <c r="E38" t="e">
        <f>AVERAGEIFS('Region 11'!$W$2:$W$391,'Region 11'!$A$2:$A$391,E$1,'Region 11'!$X$2:$X$391,$D38,'Region 11'!$S$2:$S$391,$A38)</f>
        <v>#DIV/0!</v>
      </c>
      <c r="F38">
        <f>AVERAGEIFS('Region 11'!$W$2:$W$391,'Region 11'!$A$2:$A$391,F$1,'Region 11'!$X$2:$X$391,$D38,'Region 11'!$S$2:$S$391,$A38)</f>
        <v>1211.1111111111111</v>
      </c>
      <c r="G38" t="e">
        <f>AVERAGEIFS('Region 11'!$W$2:$W$391,'Region 11'!$A$2:$A$391,G$1,'Region 11'!$X$2:$X$391,$D38,'Region 11'!$S$2:$S$391,$A38)</f>
        <v>#DIV/0!</v>
      </c>
      <c r="H38">
        <f>AVERAGEIFS('Region 11'!$W$2:$W$391,'Region 11'!$A$2:$A$391,H$1,'Region 11'!$X$2:$X$391,$D38,'Region 11'!$S$2:$S$391,$A38)</f>
        <v>462.52777777777783</v>
      </c>
      <c r="I38" t="e">
        <f>AVERAGEIFS('Region 11'!$W$2:$W$391,'Region 11'!$A$2:$A$391,I$1,'Region 11'!$X$2:$X$391,$D38,'Region 11'!$S$2:$S$391,$A38)</f>
        <v>#DIV/0!</v>
      </c>
      <c r="J38">
        <f>AVERAGEIFS('Region 11'!$W$2:$W$391,'Region 11'!$A$2:$A$391,J$1,'Region 11'!$X$2:$X$391,$D38,'Region 11'!$S$2:$S$391,$A38)</f>
        <v>1047.931623931624</v>
      </c>
      <c r="K38" t="e">
        <f>AVERAGEIFS('Region 11'!$W$2:$W$391,'Region 11'!$A$2:$A$391,K$1,'Region 11'!$X$2:$X$391,$D38,'Region 11'!$S$2:$S$391,$A38)</f>
        <v>#DIV/0!</v>
      </c>
      <c r="L38" t="e">
        <f>AVERAGEIFS('Region 11'!$W$2:$W$391,'Region 11'!$A$2:$A$391,L$1,'Region 11'!$X$2:$X$391,$D38,'Region 11'!$S$2:$S$391,$A38)</f>
        <v>#DIV/0!</v>
      </c>
      <c r="M38" t="e">
        <f>AVERAGEIFS('Region 11'!$W$2:$W$391,'Region 11'!$A$2:$A$391,M$1,'Region 11'!$X$2:$X$391,$D38,'Region 11'!$S$2:$S$391,$A38)</f>
        <v>#DIV/0!</v>
      </c>
      <c r="N38" t="e">
        <f>AVERAGEIFS('Region 11'!$W$2:$W$391,'Region 11'!$A$2:$A$391,N$1,'Region 11'!$X$2:$X$391,$D38,'Region 11'!$S$2:$S$391,$A38)</f>
        <v>#DIV/0!</v>
      </c>
      <c r="Q38" t="str">
        <f t="shared" si="16"/>
        <v>Concrete</v>
      </c>
      <c r="R38" t="str">
        <f t="shared" si="17"/>
        <v>Semi-detached</v>
      </c>
      <c r="S38">
        <f t="shared" si="18"/>
        <v>11</v>
      </c>
      <c r="T38" t="str">
        <f t="shared" si="6"/>
        <v>-</v>
      </c>
      <c r="U38">
        <f t="shared" si="7"/>
        <v>1211.1111111111111</v>
      </c>
      <c r="V38" t="str">
        <f t="shared" si="8"/>
        <v>-</v>
      </c>
      <c r="W38">
        <f t="shared" si="9"/>
        <v>462.52777777777783</v>
      </c>
      <c r="X38" t="str">
        <f t="shared" si="10"/>
        <v>-</v>
      </c>
      <c r="Y38">
        <f t="shared" si="11"/>
        <v>1047.931623931624</v>
      </c>
      <c r="Z38" t="str">
        <f t="shared" si="12"/>
        <v>-</v>
      </c>
      <c r="AA38" t="str">
        <f t="shared" si="13"/>
        <v>-</v>
      </c>
      <c r="AB38" t="str">
        <f t="shared" si="14"/>
        <v>-</v>
      </c>
      <c r="AC38" t="str">
        <f t="shared" si="15"/>
        <v>-</v>
      </c>
    </row>
    <row r="39" spans="1:29" x14ac:dyDescent="0.3">
      <c r="A39" t="s">
        <v>65</v>
      </c>
      <c r="B39" t="s">
        <v>893</v>
      </c>
      <c r="C39">
        <f t="shared" si="19"/>
        <v>12</v>
      </c>
      <c r="D39">
        <v>2</v>
      </c>
      <c r="E39" t="e">
        <f>AVERAGEIFS('Region 12'!$W$2:$W$459,'Region 12'!$A$2:$A$459,E$1,'Region 12'!$X$2:$X$459,$D39,'Region 12'!$S$2:$S$459,$A39)</f>
        <v>#DIV/0!</v>
      </c>
      <c r="F39" t="e">
        <f>AVERAGEIFS('Region 12'!$W$2:$W$459,'Region 12'!$A$2:$A$459,F$1,'Region 12'!$X$2:$X$459,$D39,'Region 12'!$S$2:$S$459,$A39)</f>
        <v>#DIV/0!</v>
      </c>
      <c r="G39" t="e">
        <f>AVERAGEIFS('Region 12'!$W$2:$W$459,'Region 12'!$A$2:$A$459,G$1,'Region 12'!$X$2:$X$459,$D39,'Region 12'!$S$2:$S$459,$A39)</f>
        <v>#DIV/0!</v>
      </c>
      <c r="H39" t="e">
        <f>AVERAGEIFS('Region 12'!$W$2:$W$459,'Region 12'!$A$2:$A$459,H$1,'Region 12'!$X$2:$X$459,$D39,'Region 12'!$S$2:$S$459,$A39)</f>
        <v>#DIV/0!</v>
      </c>
      <c r="I39" t="e">
        <f>AVERAGEIFS('Region 12'!$W$2:$W$459,'Region 12'!$A$2:$A$459,I$1,'Region 12'!$X$2:$X$459,$D39,'Region 12'!$S$2:$S$459,$A39)</f>
        <v>#DIV/0!</v>
      </c>
      <c r="J39" t="e">
        <f>AVERAGEIFS('Region 12'!$W$2:$W$459,'Region 12'!$A$2:$A$459,J$1,'Region 12'!$X$2:$X$459,$D39,'Region 12'!$S$2:$S$459,$A39)</f>
        <v>#DIV/0!</v>
      </c>
      <c r="K39" t="e">
        <f>AVERAGEIFS('Region 12'!$W$2:$W$459,'Region 12'!$A$2:$A$459,K$1,'Region 12'!$X$2:$X$459,$D39,'Region 12'!$S$2:$S$459,$A39)</f>
        <v>#DIV/0!</v>
      </c>
      <c r="L39" t="e">
        <f>AVERAGEIFS('Region 12'!$W$2:$W$459,'Region 12'!$A$2:$A$459,L$1,'Region 12'!$X$2:$X$459,$D39,'Region 12'!$S$2:$S$459,$A39)</f>
        <v>#DIV/0!</v>
      </c>
      <c r="M39" t="e">
        <f>AVERAGEIFS('Region 12'!$W$2:$W$459,'Region 12'!$A$2:$A$459,M$1,'Region 12'!$X$2:$X$459,$D39,'Region 12'!$S$2:$S$459,$A39)</f>
        <v>#DIV/0!</v>
      </c>
      <c r="N39" t="e">
        <f>AVERAGEIFS('Region 12'!$W$2:$W$459,'Region 12'!$A$2:$A$459,N$1,'Region 12'!$X$2:$X$459,$D39,'Region 12'!$S$2:$S$459,$A39)</f>
        <v>#DIV/0!</v>
      </c>
      <c r="Q39" t="str">
        <f t="shared" si="16"/>
        <v>Concrete</v>
      </c>
      <c r="R39" t="str">
        <f t="shared" si="17"/>
        <v>Semi-detached</v>
      </c>
      <c r="S39">
        <f t="shared" si="18"/>
        <v>12</v>
      </c>
      <c r="T39" t="str">
        <f t="shared" si="6"/>
        <v>-</v>
      </c>
      <c r="U39" t="str">
        <f t="shared" si="7"/>
        <v>-</v>
      </c>
      <c r="V39" t="str">
        <f t="shared" si="8"/>
        <v>-</v>
      </c>
      <c r="W39" t="str">
        <f t="shared" si="9"/>
        <v>-</v>
      </c>
      <c r="X39" t="str">
        <f t="shared" si="10"/>
        <v>-</v>
      </c>
      <c r="Y39" t="str">
        <f t="shared" si="11"/>
        <v>-</v>
      </c>
      <c r="Z39" t="str">
        <f t="shared" si="12"/>
        <v>-</v>
      </c>
      <c r="AA39" t="str">
        <f t="shared" si="13"/>
        <v>-</v>
      </c>
      <c r="AB39" t="str">
        <f t="shared" si="14"/>
        <v>-</v>
      </c>
      <c r="AC39" t="str">
        <f t="shared" si="15"/>
        <v>-</v>
      </c>
    </row>
    <row r="40" spans="1:29" x14ac:dyDescent="0.3">
      <c r="A40" t="s">
        <v>65</v>
      </c>
      <c r="B40" t="s">
        <v>893</v>
      </c>
      <c r="C40">
        <f t="shared" si="19"/>
        <v>13</v>
      </c>
      <c r="D40">
        <v>2</v>
      </c>
      <c r="E40" t="e">
        <f>AVERAGEIFS('Region 13'!$W$2:$W$500,'Region 13'!$A$2:$A$500,E$1,'Region 13'!$X$2:$X$500,$D40,'Region 13'!$S$2:$S$500,$A40)</f>
        <v>#DIV/0!</v>
      </c>
      <c r="F40" t="e">
        <f>AVERAGEIFS('Region 13'!$W$2:$W$500,'Region 13'!$A$2:$A$500,F$1,'Region 13'!$X$2:$X$500,$D40,'Region 13'!$S$2:$S$500,$A40)</f>
        <v>#DIV/0!</v>
      </c>
      <c r="G40" t="e">
        <f>AVERAGEIFS('Region 13'!$W$2:$W$500,'Region 13'!$A$2:$A$500,G$1,'Region 13'!$X$2:$X$500,$D40,'Region 13'!$S$2:$S$500,$A40)</f>
        <v>#DIV/0!</v>
      </c>
      <c r="H40" t="e">
        <f>AVERAGEIFS('Region 13'!$W$2:$W$500,'Region 13'!$A$2:$A$500,H$1,'Region 13'!$X$2:$X$500,$D40,'Region 13'!$S$2:$S$500,$A40)</f>
        <v>#DIV/0!</v>
      </c>
      <c r="I40" t="e">
        <f>AVERAGEIFS('Region 13'!$W$2:$W$500,'Region 13'!$A$2:$A$500,I$1,'Region 13'!$X$2:$X$500,$D40,'Region 13'!$S$2:$S$500,$A40)</f>
        <v>#DIV/0!</v>
      </c>
      <c r="J40" t="e">
        <f>AVERAGEIFS('Region 13'!$W$2:$W$500,'Region 13'!$A$2:$A$500,J$1,'Region 13'!$X$2:$X$500,$D40,'Region 13'!$S$2:$S$500,$A40)</f>
        <v>#DIV/0!</v>
      </c>
      <c r="K40" t="e">
        <f>AVERAGEIFS('Region 13'!$W$2:$W$500,'Region 13'!$A$2:$A$500,K$1,'Region 13'!$X$2:$X$500,$D40,'Region 13'!$S$2:$S$500,$A40)</f>
        <v>#DIV/0!</v>
      </c>
      <c r="L40" t="e">
        <f>AVERAGEIFS('Region 13'!$W$2:$W$500,'Region 13'!$A$2:$A$500,L$1,'Region 13'!$X$2:$X$500,$D40,'Region 13'!$S$2:$S$500,$A40)</f>
        <v>#DIV/0!</v>
      </c>
      <c r="M40" t="e">
        <f>AVERAGEIFS('Region 13'!$W$2:$W$500,'Region 13'!$A$2:$A$500,M$1,'Region 13'!$X$2:$X$500,$D40,'Region 13'!$S$2:$S$500,$A40)</f>
        <v>#DIV/0!</v>
      </c>
      <c r="N40" t="e">
        <f>AVERAGEIFS('Region 13'!$W$2:$W$500,'Region 13'!$A$2:$A$500,N$1,'Region 13'!$X$2:$X$500,$D40,'Region 13'!$S$2:$S$500,$A40)</f>
        <v>#DIV/0!</v>
      </c>
      <c r="Q40" t="str">
        <f t="shared" si="16"/>
        <v>Concrete</v>
      </c>
      <c r="R40" t="str">
        <f t="shared" si="17"/>
        <v>Semi-detached</v>
      </c>
      <c r="S40">
        <f t="shared" si="18"/>
        <v>13</v>
      </c>
      <c r="T40" t="str">
        <f t="shared" si="6"/>
        <v>-</v>
      </c>
      <c r="U40" t="str">
        <f t="shared" si="7"/>
        <v>-</v>
      </c>
      <c r="V40" t="str">
        <f t="shared" si="8"/>
        <v>-</v>
      </c>
      <c r="W40" t="str">
        <f t="shared" si="9"/>
        <v>-</v>
      </c>
      <c r="X40" t="str">
        <f t="shared" si="10"/>
        <v>-</v>
      </c>
      <c r="Y40" t="str">
        <f t="shared" si="11"/>
        <v>-</v>
      </c>
      <c r="Z40" t="str">
        <f t="shared" si="12"/>
        <v>-</v>
      </c>
      <c r="AA40" t="str">
        <f t="shared" si="13"/>
        <v>-</v>
      </c>
      <c r="AB40" t="str">
        <f t="shared" si="14"/>
        <v>-</v>
      </c>
      <c r="AC40" t="str">
        <f t="shared" si="15"/>
        <v>-</v>
      </c>
    </row>
    <row r="41" spans="1:29" x14ac:dyDescent="0.3">
      <c r="A41" t="s">
        <v>65</v>
      </c>
      <c r="B41" t="s">
        <v>893</v>
      </c>
      <c r="C41">
        <f t="shared" si="19"/>
        <v>14</v>
      </c>
      <c r="D41">
        <v>2</v>
      </c>
      <c r="E41" t="e">
        <f ca="1">AVERAGEIFS('Region 14'!$W$2:$W$500,'Region 14'!$A$2:$A$500,E$1,'Region 14'!$X$2:$X$500,$D41,'Region 14'!$S$2:$S$500,$A41)</f>
        <v>#DIV/0!</v>
      </c>
      <c r="F41" t="e">
        <f ca="1">AVERAGEIFS('Region 14'!$W$2:$W$500,'Region 14'!$A$2:$A$500,F$1,'Region 14'!$X$2:$X$500,$D41,'Region 14'!$S$2:$S$500,$A41)</f>
        <v>#DIV/0!</v>
      </c>
      <c r="G41" t="e">
        <f ca="1">AVERAGEIFS('Region 14'!$W$2:$W$500,'Region 14'!$A$2:$A$500,G$1,'Region 14'!$X$2:$X$500,$D41,'Region 14'!$S$2:$S$500,$A41)</f>
        <v>#DIV/0!</v>
      </c>
      <c r="H41" t="e">
        <f ca="1">AVERAGEIFS('Region 14'!$W$2:$W$500,'Region 14'!$A$2:$A$500,H$1,'Region 14'!$X$2:$X$500,$D41,'Region 14'!$S$2:$S$500,$A41)</f>
        <v>#DIV/0!</v>
      </c>
      <c r="I41" t="e">
        <f ca="1">AVERAGEIFS('Region 14'!$W$2:$W$500,'Region 14'!$A$2:$A$500,I$1,'Region 14'!$X$2:$X$500,$D41,'Region 14'!$S$2:$S$500,$A41)</f>
        <v>#DIV/0!</v>
      </c>
      <c r="J41" t="e">
        <f ca="1">AVERAGEIFS('Region 14'!$W$2:$W$500,'Region 14'!$A$2:$A$500,J$1,'Region 14'!$X$2:$X$500,$D41,'Region 14'!$S$2:$S$500,$A41)</f>
        <v>#DIV/0!</v>
      </c>
      <c r="K41" t="e">
        <f ca="1">AVERAGEIFS('Region 14'!$W$2:$W$500,'Region 14'!$A$2:$A$500,K$1,'Region 14'!$X$2:$X$500,$D41,'Region 14'!$S$2:$S$500,$A41)</f>
        <v>#DIV/0!</v>
      </c>
      <c r="L41" t="e">
        <f ca="1">AVERAGEIFS('Region 14'!$W$2:$W$500,'Region 14'!$A$2:$A$500,L$1,'Region 14'!$X$2:$X$500,$D41,'Region 14'!$S$2:$S$500,$A41)</f>
        <v>#DIV/0!</v>
      </c>
      <c r="M41" t="e">
        <f ca="1">AVERAGEIFS('Region 14'!$W$2:$W$500,'Region 14'!$A$2:$A$500,M$1,'Region 14'!$X$2:$X$500,$D41,'Region 14'!$S$2:$S$500,$A41)</f>
        <v>#DIV/0!</v>
      </c>
      <c r="N41" t="e">
        <f ca="1">AVERAGEIFS('Region 14'!$W$2:$W$500,'Region 14'!$A$2:$A$500,N$1,'Region 14'!$X$2:$X$500,$D41,'Region 14'!$S$2:$S$500,$A41)</f>
        <v>#DIV/0!</v>
      </c>
      <c r="Q41" t="str">
        <f t="shared" si="16"/>
        <v>Concrete</v>
      </c>
      <c r="R41" t="str">
        <f t="shared" si="17"/>
        <v>Semi-detached</v>
      </c>
      <c r="S41">
        <f t="shared" si="18"/>
        <v>14</v>
      </c>
      <c r="T41" t="str">
        <f t="shared" ca="1" si="6"/>
        <v>-</v>
      </c>
      <c r="U41" t="str">
        <f t="shared" ca="1" si="7"/>
        <v>-</v>
      </c>
      <c r="V41" t="str">
        <f t="shared" ca="1" si="8"/>
        <v>-</v>
      </c>
      <c r="W41" t="str">
        <f t="shared" ca="1" si="9"/>
        <v>-</v>
      </c>
      <c r="X41" t="str">
        <f t="shared" ca="1" si="10"/>
        <v>-</v>
      </c>
      <c r="Y41" t="str">
        <f t="shared" ca="1" si="11"/>
        <v>-</v>
      </c>
      <c r="Z41" t="str">
        <f t="shared" ca="1" si="12"/>
        <v>-</v>
      </c>
      <c r="AA41" t="str">
        <f t="shared" ca="1" si="13"/>
        <v>-</v>
      </c>
      <c r="AB41" t="str">
        <f t="shared" ca="1" si="14"/>
        <v>-</v>
      </c>
      <c r="AC41" t="str">
        <f t="shared" ca="1" si="15"/>
        <v>-</v>
      </c>
    </row>
    <row r="42" spans="1:29" x14ac:dyDescent="0.3">
      <c r="A42" t="s">
        <v>65</v>
      </c>
      <c r="B42" t="s">
        <v>893</v>
      </c>
      <c r="C42">
        <f t="shared" si="19"/>
        <v>15</v>
      </c>
      <c r="D42">
        <v>2</v>
      </c>
      <c r="E42" t="e">
        <f ca="1">AVERAGEIFS('Region 15'!$W$2:$W$500,'Region 15'!$A$2:$A$500,E$1,'Region 15'!$X$2:$X$500,$D42,'Region 15'!$S$2:$S$500,$A42)</f>
        <v>#DIV/0!</v>
      </c>
      <c r="F42" t="e">
        <f ca="1">AVERAGEIFS('Region 15'!$W$2:$W$500,'Region 15'!$A$2:$A$500,F$1,'Region 15'!$X$2:$X$500,$D42,'Region 15'!$S$2:$S$500,$A42)</f>
        <v>#DIV/0!</v>
      </c>
      <c r="G42" t="e">
        <f ca="1">AVERAGEIFS('Region 15'!$W$2:$W$500,'Region 15'!$A$2:$A$500,G$1,'Region 15'!$X$2:$X$500,$D42,'Region 15'!$S$2:$S$500,$A42)</f>
        <v>#DIV/0!</v>
      </c>
      <c r="H42" t="e">
        <f ca="1">AVERAGEIFS('Region 15'!$W$2:$W$500,'Region 15'!$A$2:$A$500,H$1,'Region 15'!$X$2:$X$500,$D42,'Region 15'!$S$2:$S$500,$A42)</f>
        <v>#DIV/0!</v>
      </c>
      <c r="I42" t="e">
        <f ca="1">AVERAGEIFS('Region 15'!$W$2:$W$500,'Region 15'!$A$2:$A$500,I$1,'Region 15'!$X$2:$X$500,$D42,'Region 15'!$S$2:$S$500,$A42)</f>
        <v>#DIV/0!</v>
      </c>
      <c r="J42" t="e">
        <f ca="1">AVERAGEIFS('Region 15'!$W$2:$W$500,'Region 15'!$A$2:$A$500,J$1,'Region 15'!$X$2:$X$500,$D42,'Region 15'!$S$2:$S$500,$A42)</f>
        <v>#DIV/0!</v>
      </c>
      <c r="K42" t="e">
        <f ca="1">AVERAGEIFS('Region 15'!$W$2:$W$500,'Region 15'!$A$2:$A$500,K$1,'Region 15'!$X$2:$X$500,$D42,'Region 15'!$S$2:$S$500,$A42)</f>
        <v>#DIV/0!</v>
      </c>
      <c r="L42" t="e">
        <f ca="1">AVERAGEIFS('Region 15'!$W$2:$W$500,'Region 15'!$A$2:$A$500,L$1,'Region 15'!$X$2:$X$500,$D42,'Region 15'!$S$2:$S$500,$A42)</f>
        <v>#DIV/0!</v>
      </c>
      <c r="M42" t="e">
        <f ca="1">AVERAGEIFS('Region 15'!$W$2:$W$500,'Region 15'!$A$2:$A$500,M$1,'Region 15'!$X$2:$X$500,$D42,'Region 15'!$S$2:$S$500,$A42)</f>
        <v>#DIV/0!</v>
      </c>
      <c r="N42" t="e">
        <f ca="1">AVERAGEIFS('Region 15'!$W$2:$W$500,'Region 15'!$A$2:$A$500,N$1,'Region 15'!$X$2:$X$500,$D42,'Region 15'!$S$2:$S$500,$A42)</f>
        <v>#DIV/0!</v>
      </c>
      <c r="Q42" t="str">
        <f t="shared" si="16"/>
        <v>Concrete</v>
      </c>
      <c r="R42" t="str">
        <f t="shared" si="17"/>
        <v>Semi-detached</v>
      </c>
      <c r="S42">
        <f t="shared" si="18"/>
        <v>15</v>
      </c>
      <c r="T42" t="str">
        <f t="shared" ca="1" si="6"/>
        <v>-</v>
      </c>
      <c r="U42" t="str">
        <f t="shared" ca="1" si="7"/>
        <v>-</v>
      </c>
      <c r="V42" t="str">
        <f t="shared" ca="1" si="8"/>
        <v>-</v>
      </c>
      <c r="W42" t="str">
        <f t="shared" ca="1" si="9"/>
        <v>-</v>
      </c>
      <c r="X42" t="str">
        <f t="shared" ca="1" si="10"/>
        <v>-</v>
      </c>
      <c r="Y42" t="str">
        <f t="shared" ca="1" si="11"/>
        <v>-</v>
      </c>
      <c r="Z42" t="str">
        <f t="shared" ca="1" si="12"/>
        <v>-</v>
      </c>
      <c r="AA42" t="str">
        <f t="shared" ca="1" si="13"/>
        <v>-</v>
      </c>
      <c r="AB42" t="str">
        <f t="shared" ca="1" si="14"/>
        <v>-</v>
      </c>
      <c r="AC42" t="str">
        <f t="shared" ca="1" si="15"/>
        <v>-</v>
      </c>
    </row>
    <row r="43" spans="1:29" x14ac:dyDescent="0.3">
      <c r="A43" t="s">
        <v>65</v>
      </c>
      <c r="B43" t="s">
        <v>893</v>
      </c>
      <c r="C43">
        <f t="shared" si="19"/>
        <v>16</v>
      </c>
      <c r="D43">
        <v>2</v>
      </c>
      <c r="E43" t="e">
        <f ca="1">AVERAGEIFS('Region 16'!$W$2:$W$500,'Region 16'!$A$2:$A$500,E$1,'Region 16'!$X$2:$X$500,$D43,'Region 16'!$S$2:$S$500,$A43)</f>
        <v>#DIV/0!</v>
      </c>
      <c r="F43" t="e">
        <f ca="1">AVERAGEIFS('Region 16'!$W$2:$W$500,'Region 16'!$A$2:$A$500,F$1,'Region 16'!$X$2:$X$500,$D43,'Region 16'!$S$2:$S$500,$A43)</f>
        <v>#DIV/0!</v>
      </c>
      <c r="G43" t="e">
        <f ca="1">AVERAGEIFS('Region 16'!$W$2:$W$500,'Region 16'!$A$2:$A$500,G$1,'Region 16'!$X$2:$X$500,$D43,'Region 16'!$S$2:$S$500,$A43)</f>
        <v>#DIV/0!</v>
      </c>
      <c r="H43" t="e">
        <f ca="1">AVERAGEIFS('Region 16'!$W$2:$W$500,'Region 16'!$A$2:$A$500,H$1,'Region 16'!$X$2:$X$500,$D43,'Region 16'!$S$2:$S$500,$A43)</f>
        <v>#DIV/0!</v>
      </c>
      <c r="I43" t="e">
        <f ca="1">AVERAGEIFS('Region 16'!$W$2:$W$500,'Region 16'!$A$2:$A$500,I$1,'Region 16'!$X$2:$X$500,$D43,'Region 16'!$S$2:$S$500,$A43)</f>
        <v>#DIV/0!</v>
      </c>
      <c r="J43" t="e">
        <f ca="1">AVERAGEIFS('Region 16'!$W$2:$W$500,'Region 16'!$A$2:$A$500,J$1,'Region 16'!$X$2:$X$500,$D43,'Region 16'!$S$2:$S$500,$A43)</f>
        <v>#DIV/0!</v>
      </c>
      <c r="K43" t="e">
        <f ca="1">AVERAGEIFS('Region 16'!$W$2:$W$500,'Region 16'!$A$2:$A$500,K$1,'Region 16'!$X$2:$X$500,$D43,'Region 16'!$S$2:$S$500,$A43)</f>
        <v>#DIV/0!</v>
      </c>
      <c r="L43" t="e">
        <f ca="1">AVERAGEIFS('Region 16'!$W$2:$W$500,'Region 16'!$A$2:$A$500,L$1,'Region 16'!$X$2:$X$500,$D43,'Region 16'!$S$2:$S$500,$A43)</f>
        <v>#DIV/0!</v>
      </c>
      <c r="M43" t="e">
        <f ca="1">AVERAGEIFS('Region 16'!$W$2:$W$500,'Region 16'!$A$2:$A$500,M$1,'Region 16'!$X$2:$X$500,$D43,'Region 16'!$S$2:$S$500,$A43)</f>
        <v>#DIV/0!</v>
      </c>
      <c r="N43" t="e">
        <f ca="1">AVERAGEIFS('Region 16'!$W$2:$W$500,'Region 16'!$A$2:$A$500,N$1,'Region 16'!$X$2:$X$500,$D43,'Region 16'!$S$2:$S$500,$A43)</f>
        <v>#DIV/0!</v>
      </c>
      <c r="Q43" t="str">
        <f t="shared" si="16"/>
        <v>Concrete</v>
      </c>
      <c r="R43" t="str">
        <f t="shared" si="17"/>
        <v>Semi-detached</v>
      </c>
      <c r="S43">
        <f t="shared" si="18"/>
        <v>16</v>
      </c>
      <c r="T43" t="str">
        <f t="shared" ca="1" si="6"/>
        <v>-</v>
      </c>
      <c r="U43" t="str">
        <f t="shared" ca="1" si="7"/>
        <v>-</v>
      </c>
      <c r="V43" t="str">
        <f t="shared" ca="1" si="8"/>
        <v>-</v>
      </c>
      <c r="W43" t="str">
        <f t="shared" ca="1" si="9"/>
        <v>-</v>
      </c>
      <c r="X43" t="str">
        <f t="shared" ca="1" si="10"/>
        <v>-</v>
      </c>
      <c r="Y43" t="str">
        <f t="shared" ca="1" si="11"/>
        <v>-</v>
      </c>
      <c r="Z43" t="str">
        <f t="shared" ca="1" si="12"/>
        <v>-</v>
      </c>
      <c r="AA43" t="str">
        <f t="shared" ca="1" si="13"/>
        <v>-</v>
      </c>
      <c r="AB43" t="str">
        <f t="shared" ca="1" si="14"/>
        <v>-</v>
      </c>
      <c r="AC43" t="str">
        <f t="shared" ca="1" si="15"/>
        <v>-</v>
      </c>
    </row>
    <row r="44" spans="1:29" x14ac:dyDescent="0.3">
      <c r="A44" t="s">
        <v>65</v>
      </c>
      <c r="B44" t="s">
        <v>893</v>
      </c>
      <c r="C44">
        <f t="shared" si="19"/>
        <v>17</v>
      </c>
      <c r="D44">
        <v>2</v>
      </c>
      <c r="E44" t="e">
        <f>AVERAGEIFS('Region 17'!$W$2:$W$498,'Region 17'!$A$2:$A$498,E$1,'Region 17'!$X$2:$X$498,$D44,'Region 17'!$S$2:$S$498,$A44)</f>
        <v>#DIV/0!</v>
      </c>
      <c r="F44" t="e">
        <f>AVERAGEIFS('Region 17'!$W$2:$W$498,'Region 17'!$A$2:$A$498,F$1,'Region 17'!$X$2:$X$498,$D44,'Region 17'!$S$2:$S$498,$A44)</f>
        <v>#DIV/0!</v>
      </c>
      <c r="G44" t="e">
        <f>AVERAGEIFS('Region 17'!$W$2:$W$498,'Region 17'!$A$2:$A$498,G$1,'Region 17'!$X$2:$X$498,$D44,'Region 17'!$S$2:$S$498,$A44)</f>
        <v>#DIV/0!</v>
      </c>
      <c r="H44" t="e">
        <f>AVERAGEIFS('Region 17'!$W$2:$W$498,'Region 17'!$A$2:$A$498,H$1,'Region 17'!$X$2:$X$498,$D44,'Region 17'!$S$2:$S$498,$A44)</f>
        <v>#DIV/0!</v>
      </c>
      <c r="I44" t="e">
        <f>AVERAGEIFS('Region 17'!$W$2:$W$498,'Region 17'!$A$2:$A$498,I$1,'Region 17'!$X$2:$X$498,$D44,'Region 17'!$S$2:$S$498,$A44)</f>
        <v>#DIV/0!</v>
      </c>
      <c r="J44" t="e">
        <f>AVERAGEIFS('Region 17'!$W$2:$W$498,'Region 17'!$A$2:$A$498,J$1,'Region 17'!$X$2:$X$498,$D44,'Region 17'!$S$2:$S$498,$A44)</f>
        <v>#DIV/0!</v>
      </c>
      <c r="K44" t="e">
        <f>AVERAGEIFS('Region 17'!$W$2:$W$498,'Region 17'!$A$2:$A$498,K$1,'Region 17'!$X$2:$X$498,$D44,'Region 17'!$S$2:$S$498,$A44)</f>
        <v>#DIV/0!</v>
      </c>
      <c r="L44" t="e">
        <f>AVERAGEIFS('Region 17'!$W$2:$W$498,'Region 17'!$A$2:$A$498,L$1,'Region 17'!$X$2:$X$498,$D44,'Region 17'!$S$2:$S$498,$A44)</f>
        <v>#DIV/0!</v>
      </c>
      <c r="M44" t="e">
        <f>AVERAGEIFS('Region 17'!$W$2:$W$498,'Region 17'!$A$2:$A$498,M$1,'Region 17'!$X$2:$X$498,$D44,'Region 17'!$S$2:$S$498,$A44)</f>
        <v>#DIV/0!</v>
      </c>
      <c r="N44" t="e">
        <f>AVERAGEIFS('Region 17'!$W$2:$W$498,'Region 17'!$A$2:$A$498,N$1,'Region 17'!$X$2:$X$498,$D44,'Region 17'!$S$2:$S$498,$A44)</f>
        <v>#DIV/0!</v>
      </c>
      <c r="Q44" t="str">
        <f t="shared" si="16"/>
        <v>Concrete</v>
      </c>
      <c r="R44" t="str">
        <f t="shared" si="17"/>
        <v>Semi-detached</v>
      </c>
      <c r="S44">
        <f t="shared" si="18"/>
        <v>17</v>
      </c>
      <c r="T44" t="str">
        <f t="shared" si="6"/>
        <v>-</v>
      </c>
      <c r="U44" t="str">
        <f t="shared" si="7"/>
        <v>-</v>
      </c>
      <c r="V44" t="str">
        <f t="shared" si="8"/>
        <v>-</v>
      </c>
      <c r="W44" t="str">
        <f t="shared" si="9"/>
        <v>-</v>
      </c>
      <c r="X44" t="str">
        <f t="shared" si="10"/>
        <v>-</v>
      </c>
      <c r="Y44" t="str">
        <f t="shared" si="11"/>
        <v>-</v>
      </c>
      <c r="Z44" t="str">
        <f t="shared" si="12"/>
        <v>-</v>
      </c>
      <c r="AA44" t="str">
        <f t="shared" si="13"/>
        <v>-</v>
      </c>
      <c r="AB44" t="str">
        <f t="shared" si="14"/>
        <v>-</v>
      </c>
      <c r="AC44" t="str">
        <f t="shared" si="15"/>
        <v>-</v>
      </c>
    </row>
    <row r="45" spans="1:29" x14ac:dyDescent="0.3">
      <c r="A45" t="s">
        <v>65</v>
      </c>
      <c r="B45" t="s">
        <v>893</v>
      </c>
      <c r="C45">
        <f t="shared" si="19"/>
        <v>18</v>
      </c>
      <c r="D45">
        <v>2</v>
      </c>
      <c r="E45" t="e">
        <f>AVERAGEIFS('Region 18'!$W$2:$W$468,'Region 18'!$A$2:$A$468,E$1,'Region 18'!$X$2:$X$468,$D45,'Region 18'!$S$2:$S$468,$A45)</f>
        <v>#DIV/0!</v>
      </c>
      <c r="F45" t="e">
        <f>AVERAGEIFS('Region 18'!$W$2:$W$468,'Region 18'!$A$2:$A$468,F$1,'Region 18'!$X$2:$X$468,$D45,'Region 18'!$S$2:$S$468,$A45)</f>
        <v>#DIV/0!</v>
      </c>
      <c r="G45" t="e">
        <f>AVERAGEIFS('Region 18'!$W$2:$W$468,'Region 18'!$A$2:$A$468,G$1,'Region 18'!$X$2:$X$468,$D45,'Region 18'!$S$2:$S$468,$A45)</f>
        <v>#DIV/0!</v>
      </c>
      <c r="H45" t="e">
        <f>AVERAGEIFS('Region 18'!$W$2:$W$468,'Region 18'!$A$2:$A$468,H$1,'Region 18'!$X$2:$X$468,$D45,'Region 18'!$S$2:$S$468,$A45)</f>
        <v>#DIV/0!</v>
      </c>
      <c r="I45" t="e">
        <f>AVERAGEIFS('Region 18'!$W$2:$W$468,'Region 18'!$A$2:$A$468,I$1,'Region 18'!$X$2:$X$468,$D45,'Region 18'!$S$2:$S$468,$A45)</f>
        <v>#DIV/0!</v>
      </c>
      <c r="J45" t="e">
        <f>AVERAGEIFS('Region 18'!$W$2:$W$468,'Region 18'!$A$2:$A$468,J$1,'Region 18'!$X$2:$X$468,$D45,'Region 18'!$S$2:$S$468,$A45)</f>
        <v>#DIV/0!</v>
      </c>
      <c r="K45" t="e">
        <f>AVERAGEIFS('Region 18'!$W$2:$W$468,'Region 18'!$A$2:$A$468,K$1,'Region 18'!$X$2:$X$468,$D45,'Region 18'!$S$2:$S$468,$A45)</f>
        <v>#DIV/0!</v>
      </c>
      <c r="L45" t="e">
        <f>AVERAGEIFS('Region 18'!$W$2:$W$468,'Region 18'!$A$2:$A$468,L$1,'Region 18'!$X$2:$X$468,$D45,'Region 18'!$S$2:$S$468,$A45)</f>
        <v>#DIV/0!</v>
      </c>
      <c r="M45" t="e">
        <f>AVERAGEIFS('Region 18'!$W$2:$W$468,'Region 18'!$A$2:$A$468,M$1,'Region 18'!$X$2:$X$468,$D45,'Region 18'!$S$2:$S$468,$A45)</f>
        <v>#DIV/0!</v>
      </c>
      <c r="N45" t="e">
        <f>AVERAGEIFS('Region 18'!$W$2:$W$468,'Region 18'!$A$2:$A$468,N$1,'Region 18'!$X$2:$X$468,$D45,'Region 18'!$S$2:$S$468,$A45)</f>
        <v>#DIV/0!</v>
      </c>
      <c r="Q45" t="str">
        <f t="shared" si="16"/>
        <v>Concrete</v>
      </c>
      <c r="R45" t="str">
        <f t="shared" si="17"/>
        <v>Semi-detached</v>
      </c>
      <c r="S45">
        <f t="shared" si="18"/>
        <v>18</v>
      </c>
      <c r="T45" t="str">
        <f t="shared" si="6"/>
        <v>-</v>
      </c>
      <c r="U45" t="str">
        <f t="shared" si="7"/>
        <v>-</v>
      </c>
      <c r="V45" t="str">
        <f t="shared" si="8"/>
        <v>-</v>
      </c>
      <c r="W45" t="str">
        <f t="shared" si="9"/>
        <v>-</v>
      </c>
      <c r="X45" t="str">
        <f t="shared" si="10"/>
        <v>-</v>
      </c>
      <c r="Y45" t="str">
        <f t="shared" si="11"/>
        <v>-</v>
      </c>
      <c r="Z45" t="str">
        <f t="shared" si="12"/>
        <v>-</v>
      </c>
      <c r="AA45" t="str">
        <f t="shared" si="13"/>
        <v>-</v>
      </c>
      <c r="AB45" t="str">
        <f t="shared" si="14"/>
        <v>-</v>
      </c>
      <c r="AC45" t="str">
        <f t="shared" si="15"/>
        <v>-</v>
      </c>
    </row>
    <row r="46" spans="1:29" x14ac:dyDescent="0.3">
      <c r="A46" t="s">
        <v>65</v>
      </c>
      <c r="B46" t="s">
        <v>893</v>
      </c>
      <c r="C46">
        <f t="shared" si="19"/>
        <v>19</v>
      </c>
      <c r="D46">
        <v>2</v>
      </c>
      <c r="E46" t="e">
        <f>AVERAGEIFS('Region 19'!$W$2:$W$494,'Region 19'!$A$2:$A$494,E$1,'Region 19'!$X$2:$X$494,$D46,'Region 19'!$S$2:$S$494,$A46)</f>
        <v>#DIV/0!</v>
      </c>
      <c r="F46" t="e">
        <f>AVERAGEIFS('Region 19'!$W$2:$W$494,'Region 19'!$A$2:$A$494,F$1,'Region 19'!$X$2:$X$494,$D46,'Region 19'!$S$2:$S$494,$A46)</f>
        <v>#DIV/0!</v>
      </c>
      <c r="G46" t="e">
        <f>AVERAGEIFS('Region 19'!$W$2:$W$494,'Region 19'!$A$2:$A$494,G$1,'Region 19'!$X$2:$X$494,$D46,'Region 19'!$S$2:$S$494,$A46)</f>
        <v>#DIV/0!</v>
      </c>
      <c r="H46" t="e">
        <f>AVERAGEIFS('Region 19'!$W$2:$W$494,'Region 19'!$A$2:$A$494,H$1,'Region 19'!$X$2:$X$494,$D46,'Region 19'!$S$2:$S$494,$A46)</f>
        <v>#DIV/0!</v>
      </c>
      <c r="I46" t="e">
        <f>AVERAGEIFS('Region 19'!$W$2:$W$494,'Region 19'!$A$2:$A$494,I$1,'Region 19'!$X$2:$X$494,$D46,'Region 19'!$S$2:$S$494,$A46)</f>
        <v>#DIV/0!</v>
      </c>
      <c r="J46" t="e">
        <f>AVERAGEIFS('Region 19'!$W$2:$W$494,'Region 19'!$A$2:$A$494,J$1,'Region 19'!$X$2:$X$494,$D46,'Region 19'!$S$2:$S$494,$A46)</f>
        <v>#DIV/0!</v>
      </c>
      <c r="K46" t="e">
        <f>AVERAGEIFS('Region 19'!$W$2:$W$494,'Region 19'!$A$2:$A$494,K$1,'Region 19'!$X$2:$X$494,$D46,'Region 19'!$S$2:$S$494,$A46)</f>
        <v>#DIV/0!</v>
      </c>
      <c r="L46" t="e">
        <f>AVERAGEIFS('Region 19'!$W$2:$W$494,'Region 19'!$A$2:$A$494,L$1,'Region 19'!$X$2:$X$494,$D46,'Region 19'!$S$2:$S$494,$A46)</f>
        <v>#DIV/0!</v>
      </c>
      <c r="M46" t="e">
        <f>AVERAGEIFS('Region 19'!$W$2:$W$494,'Region 19'!$A$2:$A$494,M$1,'Region 19'!$X$2:$X$494,$D46,'Region 19'!$S$2:$S$494,$A46)</f>
        <v>#DIV/0!</v>
      </c>
      <c r="N46" t="e">
        <f>AVERAGEIFS('Region 19'!$W$2:$W$494,'Region 19'!$A$2:$A$494,N$1,'Region 19'!$X$2:$X$494,$D46,'Region 19'!$S$2:$S$494,$A46)</f>
        <v>#DIV/0!</v>
      </c>
      <c r="Q46" t="str">
        <f t="shared" si="16"/>
        <v>Concrete</v>
      </c>
      <c r="R46" t="str">
        <f t="shared" si="17"/>
        <v>Semi-detached</v>
      </c>
      <c r="S46">
        <f t="shared" si="18"/>
        <v>19</v>
      </c>
      <c r="T46" t="str">
        <f t="shared" si="6"/>
        <v>-</v>
      </c>
      <c r="U46" t="str">
        <f t="shared" si="7"/>
        <v>-</v>
      </c>
      <c r="V46" t="str">
        <f t="shared" si="8"/>
        <v>-</v>
      </c>
      <c r="W46" t="str">
        <f t="shared" si="9"/>
        <v>-</v>
      </c>
      <c r="X46" t="str">
        <f t="shared" si="10"/>
        <v>-</v>
      </c>
      <c r="Y46" t="str">
        <f t="shared" si="11"/>
        <v>-</v>
      </c>
      <c r="Z46" t="str">
        <f t="shared" si="12"/>
        <v>-</v>
      </c>
      <c r="AA46" t="str">
        <f t="shared" si="13"/>
        <v>-</v>
      </c>
      <c r="AB46" t="str">
        <f t="shared" si="14"/>
        <v>-</v>
      </c>
      <c r="AC46" t="str">
        <f t="shared" si="15"/>
        <v>-</v>
      </c>
    </row>
    <row r="47" spans="1:29" x14ac:dyDescent="0.3">
      <c r="A47" t="s">
        <v>65</v>
      </c>
      <c r="B47" t="s">
        <v>893</v>
      </c>
      <c r="C47">
        <f t="shared" si="19"/>
        <v>20</v>
      </c>
      <c r="D47">
        <v>2</v>
      </c>
      <c r="E47" t="e">
        <f>AVERAGEIFS('Region 20'!$W$2:$W$269,'Region 20'!$A$2:$A$269,E$1,'Region 20'!$X$2:$X$269,$D47,'Region 20'!$S$2:$S$269,$A47)</f>
        <v>#DIV/0!</v>
      </c>
      <c r="F47" t="e">
        <f>AVERAGEIFS('Region 20'!$W$2:$W$269,'Region 20'!$A$2:$A$269,F$1,'Region 20'!$X$2:$X$269,$D47,'Region 20'!$S$2:$S$269,$A47)</f>
        <v>#DIV/0!</v>
      </c>
      <c r="G47" t="e">
        <f>AVERAGEIFS('Region 20'!$W$2:$W$269,'Region 20'!$A$2:$A$269,G$1,'Region 20'!$X$2:$X$269,$D47,'Region 20'!$S$2:$S$269,$A47)</f>
        <v>#DIV/0!</v>
      </c>
      <c r="H47" t="e">
        <f>AVERAGEIFS('Region 20'!$W$2:$W$269,'Region 20'!$A$2:$A$269,H$1,'Region 20'!$X$2:$X$269,$D47,'Region 20'!$S$2:$S$269,$A47)</f>
        <v>#DIV/0!</v>
      </c>
      <c r="I47" t="e">
        <f>AVERAGEIFS('Region 20'!$W$2:$W$269,'Region 20'!$A$2:$A$269,I$1,'Region 20'!$X$2:$X$269,$D47,'Region 20'!$S$2:$S$269,$A47)</f>
        <v>#DIV/0!</v>
      </c>
      <c r="J47" t="e">
        <f>AVERAGEIFS('Region 20'!$W$2:$W$269,'Region 20'!$A$2:$A$269,J$1,'Region 20'!$X$2:$X$269,$D47,'Region 20'!$S$2:$S$269,$A47)</f>
        <v>#DIV/0!</v>
      </c>
      <c r="K47" t="e">
        <f>AVERAGEIFS('Region 20'!$W$2:$W$269,'Region 20'!$A$2:$A$269,K$1,'Region 20'!$X$2:$X$269,$D47,'Region 20'!$S$2:$S$269,$A47)</f>
        <v>#DIV/0!</v>
      </c>
      <c r="L47" t="e">
        <f>AVERAGEIFS('Region 20'!$W$2:$W$269,'Region 20'!$A$2:$A$269,L$1,'Region 20'!$X$2:$X$269,$D47,'Region 20'!$S$2:$S$269,$A47)</f>
        <v>#DIV/0!</v>
      </c>
      <c r="M47" t="e">
        <f>AVERAGEIFS('Region 20'!$W$2:$W$269,'Region 20'!$A$2:$A$269,M$1,'Region 20'!$X$2:$X$269,$D47,'Region 20'!$S$2:$S$269,$A47)</f>
        <v>#DIV/0!</v>
      </c>
      <c r="N47" t="e">
        <f>AVERAGEIFS('Region 20'!$W$2:$W$269,'Region 20'!$A$2:$A$269,N$1,'Region 20'!$X$2:$X$269,$D47,'Region 20'!$S$2:$S$269,$A47)</f>
        <v>#DIV/0!</v>
      </c>
      <c r="Q47" t="str">
        <f t="shared" si="16"/>
        <v>Concrete</v>
      </c>
      <c r="R47" t="str">
        <f t="shared" si="17"/>
        <v>Semi-detached</v>
      </c>
      <c r="S47">
        <f t="shared" si="18"/>
        <v>20</v>
      </c>
      <c r="T47" t="str">
        <f t="shared" si="6"/>
        <v>-</v>
      </c>
      <c r="U47" t="str">
        <f t="shared" si="7"/>
        <v>-</v>
      </c>
      <c r="V47" t="str">
        <f t="shared" si="8"/>
        <v>-</v>
      </c>
      <c r="W47" t="str">
        <f t="shared" si="9"/>
        <v>-</v>
      </c>
      <c r="X47" t="str">
        <f t="shared" si="10"/>
        <v>-</v>
      </c>
      <c r="Y47" t="str">
        <f t="shared" si="11"/>
        <v>-</v>
      </c>
      <c r="Z47" t="str">
        <f t="shared" si="12"/>
        <v>-</v>
      </c>
      <c r="AA47" t="str">
        <f t="shared" si="13"/>
        <v>-</v>
      </c>
      <c r="AB47" t="str">
        <f t="shared" si="14"/>
        <v>-</v>
      </c>
      <c r="AC47" t="str">
        <f t="shared" si="15"/>
        <v>-</v>
      </c>
    </row>
    <row r="48" spans="1:29" x14ac:dyDescent="0.3">
      <c r="A48" t="s">
        <v>65</v>
      </c>
      <c r="B48" t="s">
        <v>893</v>
      </c>
      <c r="C48">
        <f t="shared" si="19"/>
        <v>21</v>
      </c>
      <c r="D48">
        <v>2</v>
      </c>
      <c r="E48" t="e">
        <f>AVERAGEIFS('Region 21'!$W$2:$W$497,'Region 21'!$A$2:$A$497,E$1,'Region 21'!$X$2:$X$497,$D48,'Region 21'!$S$2:$S$497,$A48)</f>
        <v>#DIV/0!</v>
      </c>
      <c r="F48">
        <f>AVERAGEIFS('Region 21'!$W$2:$W$497,'Region 21'!$A$2:$A$497,F$1,'Region 21'!$X$2:$X$497,$D48,'Region 21'!$S$2:$S$497,$A48)</f>
        <v>2729.510388437217</v>
      </c>
      <c r="G48" t="e">
        <f>AVERAGEIFS('Region 21'!$W$2:$W$497,'Region 21'!$A$2:$A$497,G$1,'Region 21'!$X$2:$X$497,$D48,'Region 21'!$S$2:$S$497,$A48)</f>
        <v>#DIV/0!</v>
      </c>
      <c r="H48" t="e">
        <f>AVERAGEIFS('Region 21'!$W$2:$W$497,'Region 21'!$A$2:$A$497,H$1,'Region 21'!$X$2:$X$497,$D48,'Region 21'!$S$2:$S$497,$A48)</f>
        <v>#DIV/0!</v>
      </c>
      <c r="I48" t="e">
        <f>AVERAGEIFS('Region 21'!$W$2:$W$497,'Region 21'!$A$2:$A$497,I$1,'Region 21'!$X$2:$X$497,$D48,'Region 21'!$S$2:$S$497,$A48)</f>
        <v>#DIV/0!</v>
      </c>
      <c r="J48" t="e">
        <f>AVERAGEIFS('Region 21'!$W$2:$W$497,'Region 21'!$A$2:$A$497,J$1,'Region 21'!$X$2:$X$497,$D48,'Region 21'!$S$2:$S$497,$A48)</f>
        <v>#DIV/0!</v>
      </c>
      <c r="K48" t="e">
        <f>AVERAGEIFS('Region 21'!$W$2:$W$497,'Region 21'!$A$2:$A$497,K$1,'Region 21'!$X$2:$X$497,$D48,'Region 21'!$S$2:$S$497,$A48)</f>
        <v>#DIV/0!</v>
      </c>
      <c r="L48" t="e">
        <f>AVERAGEIFS('Region 21'!$W$2:$W$497,'Region 21'!$A$2:$A$497,L$1,'Region 21'!$X$2:$X$497,$D48,'Region 21'!$S$2:$S$497,$A48)</f>
        <v>#DIV/0!</v>
      </c>
      <c r="M48" t="e">
        <f>AVERAGEIFS('Region 21'!$W$2:$W$497,'Region 21'!$A$2:$A$497,M$1,'Region 21'!$X$2:$X$497,$D48,'Region 21'!$S$2:$S$497,$A48)</f>
        <v>#DIV/0!</v>
      </c>
      <c r="N48" t="e">
        <f>AVERAGEIFS('Region 21'!$W$2:$W$497,'Region 21'!$A$2:$A$497,N$1,'Region 21'!$X$2:$X$497,$D48,'Region 21'!$S$2:$S$497,$A48)</f>
        <v>#DIV/0!</v>
      </c>
      <c r="Q48" t="str">
        <f t="shared" si="16"/>
        <v>Concrete</v>
      </c>
      <c r="R48" t="str">
        <f t="shared" si="17"/>
        <v>Semi-detached</v>
      </c>
      <c r="S48">
        <f t="shared" si="18"/>
        <v>21</v>
      </c>
      <c r="T48" t="str">
        <f t="shared" si="6"/>
        <v>-</v>
      </c>
      <c r="U48">
        <f t="shared" si="7"/>
        <v>2729.510388437217</v>
      </c>
      <c r="V48" t="str">
        <f t="shared" si="8"/>
        <v>-</v>
      </c>
      <c r="W48" t="str">
        <f t="shared" si="9"/>
        <v>-</v>
      </c>
      <c r="X48" t="str">
        <f t="shared" si="10"/>
        <v>-</v>
      </c>
      <c r="Y48" t="str">
        <f t="shared" si="11"/>
        <v>-</v>
      </c>
      <c r="Z48" t="str">
        <f t="shared" si="12"/>
        <v>-</v>
      </c>
      <c r="AA48" t="str">
        <f t="shared" si="13"/>
        <v>-</v>
      </c>
      <c r="AB48" t="str">
        <f t="shared" si="14"/>
        <v>-</v>
      </c>
      <c r="AC48" t="str">
        <f t="shared" si="15"/>
        <v>-</v>
      </c>
    </row>
    <row r="49" spans="1:29" x14ac:dyDescent="0.3">
      <c r="A49" t="s">
        <v>65</v>
      </c>
      <c r="B49" t="s">
        <v>893</v>
      </c>
      <c r="C49">
        <f t="shared" si="19"/>
        <v>22</v>
      </c>
      <c r="D49">
        <v>2</v>
      </c>
      <c r="E49" t="e">
        <f>AVERAGEIFS('Region 22'!$W$2:$W$510,'Region 22'!$A$2:$A$510,E$1,'Region 22'!$X$2:$X$510,$D49,'Region 22'!$S$2:$S$510,$A49)</f>
        <v>#DIV/0!</v>
      </c>
      <c r="F49" t="e">
        <f>AVERAGEIFS('Region 22'!$W$2:$W$510,'Region 22'!$A$2:$A$510,F$1,'Region 22'!$X$2:$X$510,$D49,'Region 22'!$S$2:$S$510,$A49)</f>
        <v>#DIV/0!</v>
      </c>
      <c r="G49" t="e">
        <f>AVERAGEIFS('Region 22'!$W$2:$W$510,'Region 22'!$A$2:$A$510,G$1,'Region 22'!$X$2:$X$510,$D49,'Region 22'!$S$2:$S$510,$A49)</f>
        <v>#DIV/0!</v>
      </c>
      <c r="H49" t="e">
        <f>AVERAGEIFS('Region 22'!$W$2:$W$510,'Region 22'!$A$2:$A$510,H$1,'Region 22'!$X$2:$X$510,$D49,'Region 22'!$S$2:$S$510,$A49)</f>
        <v>#DIV/0!</v>
      </c>
      <c r="I49" t="e">
        <f>AVERAGEIFS('Region 22'!$W$2:$W$510,'Region 22'!$A$2:$A$510,I$1,'Region 22'!$X$2:$X$510,$D49,'Region 22'!$S$2:$S$510,$A49)</f>
        <v>#DIV/0!</v>
      </c>
      <c r="J49" t="e">
        <f>AVERAGEIFS('Region 22'!$W$2:$W$510,'Region 22'!$A$2:$A$510,J$1,'Region 22'!$X$2:$X$510,$D49,'Region 22'!$S$2:$S$510,$A49)</f>
        <v>#DIV/0!</v>
      </c>
      <c r="K49" t="e">
        <f>AVERAGEIFS('Region 22'!$W$2:$W$510,'Region 22'!$A$2:$A$510,K$1,'Region 22'!$X$2:$X$510,$D49,'Region 22'!$S$2:$S$510,$A49)</f>
        <v>#DIV/0!</v>
      </c>
      <c r="L49" t="e">
        <f>AVERAGEIFS('Region 22'!$W$2:$W$510,'Region 22'!$A$2:$A$510,L$1,'Region 22'!$X$2:$X$510,$D49,'Region 22'!$S$2:$S$510,$A49)</f>
        <v>#DIV/0!</v>
      </c>
      <c r="M49" t="e">
        <f>AVERAGEIFS('Region 22'!$W$2:$W$510,'Region 22'!$A$2:$A$510,M$1,'Region 22'!$X$2:$X$510,$D49,'Region 22'!$S$2:$S$510,$A49)</f>
        <v>#DIV/0!</v>
      </c>
      <c r="N49" t="e">
        <f>AVERAGEIFS('Region 22'!$W$2:$W$510,'Region 22'!$A$2:$A$510,N$1,'Region 22'!$X$2:$X$510,$D49,'Region 22'!$S$2:$S$510,$A49)</f>
        <v>#DIV/0!</v>
      </c>
      <c r="Q49" t="str">
        <f t="shared" si="16"/>
        <v>Concrete</v>
      </c>
      <c r="R49" t="str">
        <f t="shared" si="17"/>
        <v>Semi-detached</v>
      </c>
      <c r="S49">
        <f t="shared" si="18"/>
        <v>22</v>
      </c>
      <c r="T49" t="str">
        <f t="shared" si="6"/>
        <v>-</v>
      </c>
      <c r="U49" t="str">
        <f t="shared" si="7"/>
        <v>-</v>
      </c>
      <c r="V49" t="str">
        <f t="shared" si="8"/>
        <v>-</v>
      </c>
      <c r="W49" t="str">
        <f t="shared" si="9"/>
        <v>-</v>
      </c>
      <c r="X49" t="str">
        <f t="shared" si="10"/>
        <v>-</v>
      </c>
      <c r="Y49" t="str">
        <f t="shared" si="11"/>
        <v>-</v>
      </c>
      <c r="Z49" t="str">
        <f t="shared" si="12"/>
        <v>-</v>
      </c>
      <c r="AA49" t="str">
        <f t="shared" si="13"/>
        <v>-</v>
      </c>
      <c r="AB49" t="str">
        <f t="shared" si="14"/>
        <v>-</v>
      </c>
      <c r="AC49" t="str">
        <f t="shared" si="15"/>
        <v>-</v>
      </c>
    </row>
    <row r="50" spans="1:29" x14ac:dyDescent="0.3">
      <c r="A50" t="s">
        <v>65</v>
      </c>
      <c r="B50" t="s">
        <v>893</v>
      </c>
      <c r="C50">
        <f t="shared" si="19"/>
        <v>23</v>
      </c>
      <c r="D50">
        <v>2</v>
      </c>
      <c r="E50" t="e">
        <f>AVERAGEIFS('Region 23'!$W$2:$W$468,'Region 23'!$A$2:$A$468,E$1,'Region 23'!$X$2:$X$468,$D50,'Region 23'!$S$2:$S$468,$A50)</f>
        <v>#DIV/0!</v>
      </c>
      <c r="F50" t="e">
        <f>AVERAGEIFS('Region 23'!$W$2:$W$468,'Region 23'!$A$2:$A$468,F$1,'Region 23'!$X$2:$X$468,$D50,'Region 23'!$S$2:$S$468,$A50)</f>
        <v>#DIV/0!</v>
      </c>
      <c r="G50" t="e">
        <f>AVERAGEIFS('Region 23'!$W$2:$W$468,'Region 23'!$A$2:$A$468,G$1,'Region 23'!$X$2:$X$468,$D50,'Region 23'!$S$2:$S$468,$A50)</f>
        <v>#DIV/0!</v>
      </c>
      <c r="H50" t="e">
        <f>AVERAGEIFS('Region 23'!$W$2:$W$468,'Region 23'!$A$2:$A$468,H$1,'Region 23'!$X$2:$X$468,$D50,'Region 23'!$S$2:$S$468,$A50)</f>
        <v>#DIV/0!</v>
      </c>
      <c r="I50" t="e">
        <f>AVERAGEIFS('Region 23'!$W$2:$W$468,'Region 23'!$A$2:$A$468,I$1,'Region 23'!$X$2:$X$468,$D50,'Region 23'!$S$2:$S$468,$A50)</f>
        <v>#DIV/0!</v>
      </c>
      <c r="J50" t="e">
        <f>AVERAGEIFS('Region 23'!$W$2:$W$468,'Region 23'!$A$2:$A$468,J$1,'Region 23'!$X$2:$X$468,$D50,'Region 23'!$S$2:$S$468,$A50)</f>
        <v>#DIV/0!</v>
      </c>
      <c r="K50" t="e">
        <f>AVERAGEIFS('Region 23'!$W$2:$W$468,'Region 23'!$A$2:$A$468,K$1,'Region 23'!$X$2:$X$468,$D50,'Region 23'!$S$2:$S$468,$A50)</f>
        <v>#DIV/0!</v>
      </c>
      <c r="L50" t="e">
        <f>AVERAGEIFS('Region 23'!$W$2:$W$468,'Region 23'!$A$2:$A$468,L$1,'Region 23'!$X$2:$X$468,$D50,'Region 23'!$S$2:$S$468,$A50)</f>
        <v>#DIV/0!</v>
      </c>
      <c r="M50" t="e">
        <f>AVERAGEIFS('Region 23'!$W$2:$W$468,'Region 23'!$A$2:$A$468,M$1,'Region 23'!$X$2:$X$468,$D50,'Region 23'!$S$2:$S$468,$A50)</f>
        <v>#DIV/0!</v>
      </c>
      <c r="N50" t="e">
        <f>AVERAGEIFS('Region 23'!$W$2:$W$468,'Region 23'!$A$2:$A$468,N$1,'Region 23'!$X$2:$X$468,$D50,'Region 23'!$S$2:$S$468,$A50)</f>
        <v>#DIV/0!</v>
      </c>
      <c r="Q50" t="str">
        <f t="shared" si="16"/>
        <v>Concrete</v>
      </c>
      <c r="R50" t="str">
        <f t="shared" si="17"/>
        <v>Semi-detached</v>
      </c>
      <c r="S50">
        <f t="shared" si="18"/>
        <v>23</v>
      </c>
      <c r="T50" t="str">
        <f t="shared" si="6"/>
        <v>-</v>
      </c>
      <c r="U50" t="str">
        <f t="shared" si="7"/>
        <v>-</v>
      </c>
      <c r="V50" t="str">
        <f t="shared" si="8"/>
        <v>-</v>
      </c>
      <c r="W50" t="str">
        <f t="shared" si="9"/>
        <v>-</v>
      </c>
      <c r="X50" t="str">
        <f t="shared" si="10"/>
        <v>-</v>
      </c>
      <c r="Y50" t="str">
        <f t="shared" si="11"/>
        <v>-</v>
      </c>
      <c r="Z50" t="str">
        <f t="shared" si="12"/>
        <v>-</v>
      </c>
      <c r="AA50" t="str">
        <f t="shared" si="13"/>
        <v>-</v>
      </c>
      <c r="AB50" t="str">
        <f t="shared" si="14"/>
        <v>-</v>
      </c>
      <c r="AC50" t="str">
        <f t="shared" si="15"/>
        <v>-</v>
      </c>
    </row>
    <row r="51" spans="1:29" x14ac:dyDescent="0.3">
      <c r="A51" t="s">
        <v>65</v>
      </c>
      <c r="B51" t="s">
        <v>893</v>
      </c>
      <c r="C51">
        <f t="shared" si="19"/>
        <v>24</v>
      </c>
      <c r="D51">
        <v>2</v>
      </c>
      <c r="E51">
        <f>AVERAGEIFS('Region 24'!$W$2:$W$454,'Region 24'!$A$2:$A$454,E$1,'Region 24'!$X$2:$X$454,$D51,'Region 24'!$S$2:$S$454,$A51)</f>
        <v>795.98095238095232</v>
      </c>
      <c r="F51" t="e">
        <f>AVERAGEIFS('Region 24'!$W$2:$W$454,'Region 24'!$A$2:$A$454,F$1,'Region 24'!$X$2:$X$454,$D51,'Region 24'!$S$2:$S$454,$A51)</f>
        <v>#DIV/0!</v>
      </c>
      <c r="G51" t="e">
        <f>AVERAGEIFS('Region 24'!$W$2:$W$454,'Region 24'!$A$2:$A$454,G$1,'Region 24'!$X$2:$X$454,$D51,'Region 24'!$S$2:$S$454,$A51)</f>
        <v>#DIV/0!</v>
      </c>
      <c r="H51" t="e">
        <f>AVERAGEIFS('Region 24'!$W$2:$W$454,'Region 24'!$A$2:$A$454,H$1,'Region 24'!$X$2:$X$454,$D51,'Region 24'!$S$2:$S$454,$A51)</f>
        <v>#DIV/0!</v>
      </c>
      <c r="I51" t="e">
        <f>AVERAGEIFS('Region 24'!$W$2:$W$454,'Region 24'!$A$2:$A$454,I$1,'Region 24'!$X$2:$X$454,$D51,'Region 24'!$S$2:$S$454,$A51)</f>
        <v>#DIV/0!</v>
      </c>
      <c r="J51" t="e">
        <f>AVERAGEIFS('Region 24'!$W$2:$W$454,'Region 24'!$A$2:$A$454,J$1,'Region 24'!$X$2:$X$454,$D51,'Region 24'!$S$2:$S$454,$A51)</f>
        <v>#DIV/0!</v>
      </c>
      <c r="K51" t="e">
        <f>AVERAGEIFS('Region 24'!$W$2:$W$454,'Region 24'!$A$2:$A$454,K$1,'Region 24'!$X$2:$X$454,$D51,'Region 24'!$S$2:$S$454,$A51)</f>
        <v>#DIV/0!</v>
      </c>
      <c r="L51" t="e">
        <f>AVERAGEIFS('Region 24'!$W$2:$W$454,'Region 24'!$A$2:$A$454,L$1,'Region 24'!$X$2:$X$454,$D51,'Region 24'!$S$2:$S$454,$A51)</f>
        <v>#DIV/0!</v>
      </c>
      <c r="M51" t="e">
        <f>AVERAGEIFS('Region 24'!$W$2:$W$454,'Region 24'!$A$2:$A$454,M$1,'Region 24'!$X$2:$X$454,$D51,'Region 24'!$S$2:$S$454,$A51)</f>
        <v>#DIV/0!</v>
      </c>
      <c r="N51" t="e">
        <f>AVERAGEIFS('Region 24'!$W$2:$W$454,'Region 24'!$A$2:$A$454,N$1,'Region 24'!$X$2:$X$454,$D51,'Region 24'!$S$2:$S$454,$A51)</f>
        <v>#DIV/0!</v>
      </c>
      <c r="Q51" t="str">
        <f t="shared" si="16"/>
        <v>Concrete</v>
      </c>
      <c r="R51" t="str">
        <f t="shared" si="17"/>
        <v>Semi-detached</v>
      </c>
      <c r="S51">
        <f t="shared" si="18"/>
        <v>24</v>
      </c>
      <c r="T51">
        <f t="shared" si="6"/>
        <v>795.98095238095232</v>
      </c>
      <c r="U51" t="str">
        <f t="shared" si="7"/>
        <v>-</v>
      </c>
      <c r="V51" t="str">
        <f t="shared" si="8"/>
        <v>-</v>
      </c>
      <c r="W51" t="str">
        <f t="shared" si="9"/>
        <v>-</v>
      </c>
      <c r="X51" t="str">
        <f t="shared" si="10"/>
        <v>-</v>
      </c>
      <c r="Y51" t="str">
        <f t="shared" si="11"/>
        <v>-</v>
      </c>
      <c r="Z51" t="str">
        <f t="shared" si="12"/>
        <v>-</v>
      </c>
      <c r="AA51" t="str">
        <f t="shared" si="13"/>
        <v>-</v>
      </c>
      <c r="AB51" t="str">
        <f t="shared" si="14"/>
        <v>-</v>
      </c>
      <c r="AC51" t="str">
        <f t="shared" si="15"/>
        <v>-</v>
      </c>
    </row>
    <row r="52" spans="1:29" x14ac:dyDescent="0.3">
      <c r="A52" t="s">
        <v>65</v>
      </c>
      <c r="B52" t="s">
        <v>893</v>
      </c>
      <c r="C52">
        <f t="shared" si="19"/>
        <v>25</v>
      </c>
      <c r="D52">
        <v>2</v>
      </c>
      <c r="E52" t="e">
        <f>AVERAGEIFS('Region 25'!$W$2:$W$499,'Region 25'!$A$2:$A$499,E$1,'Region 25'!$X$2:$X$499,$D52,'Region 25'!$S$2:$S$499,$A52)</f>
        <v>#DIV/0!</v>
      </c>
      <c r="F52" t="e">
        <f>AVERAGEIFS('Region 25'!$W$2:$W$499,'Region 25'!$A$2:$A$499,F$1,'Region 25'!$X$2:$X$499,$D52,'Region 25'!$S$2:$S$499,$A52)</f>
        <v>#DIV/0!</v>
      </c>
      <c r="G52" t="e">
        <f>AVERAGEIFS('Region 25'!$W$2:$W$499,'Region 25'!$A$2:$A$499,G$1,'Region 25'!$X$2:$X$499,$D52,'Region 25'!$S$2:$S$499,$A52)</f>
        <v>#DIV/0!</v>
      </c>
      <c r="H52" t="e">
        <f>AVERAGEIFS('Region 25'!$W$2:$W$499,'Region 25'!$A$2:$A$499,H$1,'Region 25'!$X$2:$X$499,$D52,'Region 25'!$S$2:$S$499,$A52)</f>
        <v>#DIV/0!</v>
      </c>
      <c r="I52" t="e">
        <f>AVERAGEIFS('Region 25'!$W$2:$W$499,'Region 25'!$A$2:$A$499,I$1,'Region 25'!$X$2:$X$499,$D52,'Region 25'!$S$2:$S$499,$A52)</f>
        <v>#DIV/0!</v>
      </c>
      <c r="J52" t="e">
        <f>AVERAGEIFS('Region 25'!$W$2:$W$499,'Region 25'!$A$2:$A$499,J$1,'Region 25'!$X$2:$X$499,$D52,'Region 25'!$S$2:$S$499,$A52)</f>
        <v>#DIV/0!</v>
      </c>
      <c r="K52" t="e">
        <f>AVERAGEIFS('Region 25'!$W$2:$W$499,'Region 25'!$A$2:$A$499,K$1,'Region 25'!$X$2:$X$499,$D52,'Region 25'!$S$2:$S$499,$A52)</f>
        <v>#DIV/0!</v>
      </c>
      <c r="L52" t="e">
        <f>AVERAGEIFS('Region 25'!$W$2:$W$499,'Region 25'!$A$2:$A$499,L$1,'Region 25'!$X$2:$X$499,$D52,'Region 25'!$S$2:$S$499,$A52)</f>
        <v>#DIV/0!</v>
      </c>
      <c r="M52" t="e">
        <f>AVERAGEIFS('Region 25'!$W$2:$W$499,'Region 25'!$A$2:$A$499,M$1,'Region 25'!$X$2:$X$499,$D52,'Region 25'!$S$2:$S$499,$A52)</f>
        <v>#DIV/0!</v>
      </c>
      <c r="N52" t="e">
        <f>AVERAGEIFS('Region 25'!$W$2:$W$499,'Region 25'!$A$2:$A$499,N$1,'Region 25'!$X$2:$X$499,$D52,'Region 25'!$S$2:$S$499,$A52)</f>
        <v>#DIV/0!</v>
      </c>
      <c r="Q52" t="str">
        <f t="shared" si="16"/>
        <v>Concrete</v>
      </c>
      <c r="R52" t="str">
        <f t="shared" si="17"/>
        <v>Semi-detached</v>
      </c>
      <c r="S52">
        <f t="shared" si="18"/>
        <v>25</v>
      </c>
      <c r="T52" t="str">
        <f t="shared" si="6"/>
        <v>-</v>
      </c>
      <c r="U52" t="str">
        <f t="shared" si="7"/>
        <v>-</v>
      </c>
      <c r="V52" t="str">
        <f t="shared" si="8"/>
        <v>-</v>
      </c>
      <c r="W52" t="str">
        <f t="shared" si="9"/>
        <v>-</v>
      </c>
      <c r="X52" t="str">
        <f t="shared" si="10"/>
        <v>-</v>
      </c>
      <c r="Y52" t="str">
        <f t="shared" si="11"/>
        <v>-</v>
      </c>
      <c r="Z52" t="str">
        <f t="shared" si="12"/>
        <v>-</v>
      </c>
      <c r="AA52" t="str">
        <f t="shared" si="13"/>
        <v>-</v>
      </c>
      <c r="AB52" t="str">
        <f t="shared" si="14"/>
        <v>-</v>
      </c>
      <c r="AC52" t="str">
        <f t="shared" si="15"/>
        <v>-</v>
      </c>
    </row>
    <row r="53" spans="1:29" x14ac:dyDescent="0.3">
      <c r="A53" t="s">
        <v>65</v>
      </c>
      <c r="B53" t="s">
        <v>893</v>
      </c>
      <c r="C53">
        <f t="shared" si="19"/>
        <v>26</v>
      </c>
      <c r="D53">
        <v>2</v>
      </c>
      <c r="E53" t="e">
        <f ca="1">AVERAGEIFS('Region 26'!$W$2:$W$500,'Region 26'!$A$2:$A$500,E$1,'Region 26'!$X$2:$X$500,$D53,'Region 26'!$S$2:$S$500,$A53)</f>
        <v>#DIV/0!</v>
      </c>
      <c r="F53" t="e">
        <f ca="1">AVERAGEIFS('Region 26'!$W$2:$W$500,'Region 26'!$A$2:$A$500,F$1,'Region 26'!$X$2:$X$500,$D53,'Region 26'!$S$2:$S$500,$A53)</f>
        <v>#DIV/0!</v>
      </c>
      <c r="G53" t="e">
        <f ca="1">AVERAGEIFS('Region 26'!$W$2:$W$500,'Region 26'!$A$2:$A$500,G$1,'Region 26'!$X$2:$X$500,$D53,'Region 26'!$S$2:$S$500,$A53)</f>
        <v>#DIV/0!</v>
      </c>
      <c r="H53" t="e">
        <f ca="1">AVERAGEIFS('Region 26'!$W$2:$W$500,'Region 26'!$A$2:$A$500,H$1,'Region 26'!$X$2:$X$500,$D53,'Region 26'!$S$2:$S$500,$A53)</f>
        <v>#DIV/0!</v>
      </c>
      <c r="I53" t="e">
        <f ca="1">AVERAGEIFS('Region 26'!$W$2:$W$500,'Region 26'!$A$2:$A$500,I$1,'Region 26'!$X$2:$X$500,$D53,'Region 26'!$S$2:$S$500,$A53)</f>
        <v>#DIV/0!</v>
      </c>
      <c r="J53" t="e">
        <f ca="1">AVERAGEIFS('Region 26'!$W$2:$W$500,'Region 26'!$A$2:$A$500,J$1,'Region 26'!$X$2:$X$500,$D53,'Region 26'!$S$2:$S$500,$A53)</f>
        <v>#DIV/0!</v>
      </c>
      <c r="K53" t="e">
        <f ca="1">AVERAGEIFS('Region 26'!$W$2:$W$500,'Region 26'!$A$2:$A$500,K$1,'Region 26'!$X$2:$X$500,$D53,'Region 26'!$S$2:$S$500,$A53)</f>
        <v>#DIV/0!</v>
      </c>
      <c r="L53" t="e">
        <f ca="1">AVERAGEIFS('Region 26'!$W$2:$W$500,'Region 26'!$A$2:$A$500,L$1,'Region 26'!$X$2:$X$500,$D53,'Region 26'!$S$2:$S$500,$A53)</f>
        <v>#DIV/0!</v>
      </c>
      <c r="M53" t="e">
        <f ca="1">AVERAGEIFS('Region 26'!$W$2:$W$500,'Region 26'!$A$2:$A$500,M$1,'Region 26'!$X$2:$X$500,$D53,'Region 26'!$S$2:$S$500,$A53)</f>
        <v>#DIV/0!</v>
      </c>
      <c r="N53" t="e">
        <f ca="1">AVERAGEIFS('Region 26'!$W$2:$W$500,'Region 26'!$A$2:$A$500,N$1,'Region 26'!$X$2:$X$500,$D53,'Region 26'!$S$2:$S$500,$A53)</f>
        <v>#DIV/0!</v>
      </c>
      <c r="Q53" t="str">
        <f t="shared" si="16"/>
        <v>Concrete</v>
      </c>
      <c r="R53" t="str">
        <f t="shared" si="17"/>
        <v>Semi-detached</v>
      </c>
      <c r="S53">
        <f t="shared" si="18"/>
        <v>26</v>
      </c>
      <c r="T53" t="str">
        <f t="shared" ca="1" si="6"/>
        <v>-</v>
      </c>
      <c r="U53" t="str">
        <f t="shared" ca="1" si="7"/>
        <v>-</v>
      </c>
      <c r="V53" t="str">
        <f t="shared" ca="1" si="8"/>
        <v>-</v>
      </c>
      <c r="W53" t="str">
        <f t="shared" ca="1" si="9"/>
        <v>-</v>
      </c>
      <c r="X53" t="str">
        <f t="shared" ca="1" si="10"/>
        <v>-</v>
      </c>
      <c r="Y53" t="str">
        <f t="shared" ca="1" si="11"/>
        <v>-</v>
      </c>
      <c r="Z53" t="str">
        <f t="shared" ca="1" si="12"/>
        <v>-</v>
      </c>
      <c r="AA53" t="str">
        <f t="shared" ca="1" si="13"/>
        <v>-</v>
      </c>
      <c r="AB53" t="str">
        <f t="shared" ca="1" si="14"/>
        <v>-</v>
      </c>
      <c r="AC53" t="str">
        <f t="shared" ca="1" si="15"/>
        <v>-</v>
      </c>
    </row>
    <row r="54" spans="1:29" x14ac:dyDescent="0.3">
      <c r="A54" t="s">
        <v>65</v>
      </c>
      <c r="B54" t="s">
        <v>894</v>
      </c>
      <c r="C54">
        <f>C28</f>
        <v>1</v>
      </c>
      <c r="D54">
        <v>3</v>
      </c>
      <c r="E54" t="e">
        <f>AVERAGEIFS('Region 1'!$W$2:$W$498,'Region 1'!$A$2:$A$498,E$1,'Region 1'!$X$2:$X$498,$D54,'Region 1'!$S$2:$S$498,$A54)</f>
        <v>#DIV/0!</v>
      </c>
      <c r="F54" t="e">
        <f>AVERAGEIFS('Region 1'!$W$2:$W$498,'Region 1'!$A$2:$A$498,F$1,'Region 1'!$X$2:$X$498,$D54,'Region 1'!$S$2:$S$498,$A54)</f>
        <v>#DIV/0!</v>
      </c>
      <c r="G54" t="e">
        <f>AVERAGEIFS('Region 1'!$W$2:$W$498,'Region 1'!$A$2:$A$498,G$1,'Region 1'!$X$2:$X$498,$D54,'Region 1'!$S$2:$S$498,$A54)</f>
        <v>#DIV/0!</v>
      </c>
      <c r="H54" t="e">
        <f>AVERAGEIFS('Region 1'!$W$2:$W$498,'Region 1'!$A$2:$A$498,H$1,'Region 1'!$X$2:$X$498,$D54,'Region 1'!$S$2:$S$498,$A54)</f>
        <v>#DIV/0!</v>
      </c>
      <c r="I54" t="e">
        <f>AVERAGEIFS('Region 1'!$W$2:$W$498,'Region 1'!$A$2:$A$498,I$1,'Region 1'!$X$2:$X$498,$D54,'Region 1'!$S$2:$S$498,$A54)</f>
        <v>#DIV/0!</v>
      </c>
      <c r="J54" t="e">
        <f>AVERAGEIFS('Region 1'!$W$2:$W$498,'Region 1'!$A$2:$A$498,J$1,'Region 1'!$X$2:$X$498,$D54,'Region 1'!$S$2:$S$498,$A54)</f>
        <v>#DIV/0!</v>
      </c>
      <c r="K54" t="e">
        <f>AVERAGEIFS('Region 1'!$W$2:$W$498,'Region 1'!$A$2:$A$498,K$1,'Region 1'!$X$2:$X$498,$D54,'Region 1'!$S$2:$S$498,$A54)</f>
        <v>#DIV/0!</v>
      </c>
      <c r="L54" t="e">
        <f>AVERAGEIFS('Region 1'!$W$2:$W$498,'Region 1'!$A$2:$A$498,L$1,'Region 1'!$X$2:$X$498,$D54,'Region 1'!$S$2:$S$498,$A54)</f>
        <v>#DIV/0!</v>
      </c>
      <c r="M54" t="e">
        <f>AVERAGEIFS('Region 1'!$W$2:$W$498,'Region 1'!$A$2:$A$498,M$1,'Region 1'!$X$2:$X$498,$D54,'Region 1'!$S$2:$S$498,$A54)</f>
        <v>#DIV/0!</v>
      </c>
      <c r="N54" t="e">
        <f>AVERAGEIFS('Region 1'!$W$2:$W$498,'Region 1'!$A$2:$A$498,N$1,'Region 1'!$X$2:$X$498,$D54,'Region 1'!$S$2:$S$498,$A54)</f>
        <v>#DIV/0!</v>
      </c>
      <c r="Q54" t="str">
        <f t="shared" si="16"/>
        <v>Concrete</v>
      </c>
      <c r="R54" t="str">
        <f t="shared" si="17"/>
        <v>Appartments</v>
      </c>
      <c r="S54">
        <f t="shared" si="18"/>
        <v>1</v>
      </c>
      <c r="T54" t="str">
        <f t="shared" si="6"/>
        <v>-</v>
      </c>
      <c r="U54" t="str">
        <f t="shared" si="7"/>
        <v>-</v>
      </c>
      <c r="V54" t="str">
        <f t="shared" si="8"/>
        <v>-</v>
      </c>
      <c r="W54" t="str">
        <f t="shared" si="9"/>
        <v>-</v>
      </c>
      <c r="X54" t="str">
        <f t="shared" si="10"/>
        <v>-</v>
      </c>
      <c r="Y54" t="str">
        <f t="shared" si="11"/>
        <v>-</v>
      </c>
      <c r="Z54" t="str">
        <f t="shared" si="12"/>
        <v>-</v>
      </c>
      <c r="AA54" t="str">
        <f t="shared" si="13"/>
        <v>-</v>
      </c>
      <c r="AB54" t="str">
        <f t="shared" si="14"/>
        <v>-</v>
      </c>
      <c r="AC54" t="str">
        <f t="shared" si="15"/>
        <v>-</v>
      </c>
    </row>
    <row r="55" spans="1:29" x14ac:dyDescent="0.3">
      <c r="A55" t="s">
        <v>65</v>
      </c>
      <c r="B55" t="s">
        <v>894</v>
      </c>
      <c r="C55">
        <f t="shared" ref="C55:C105" si="20">C29</f>
        <v>2</v>
      </c>
      <c r="D55">
        <v>3</v>
      </c>
      <c r="E55" t="e">
        <f>AVERAGEIFS('Region 2'!$W$2:$W$498,'Region 2'!$A$2:$A$498,E$1,'Region 2'!$X$2:$X$498,$D55,'Region 2'!$S$2:$S$498,$A55)</f>
        <v>#DIV/0!</v>
      </c>
      <c r="F55" t="e">
        <f>AVERAGEIFS('Region 2'!$W$2:$W$498,'Region 2'!$A$2:$A$498,F$1,'Region 2'!$X$2:$X$498,$D55,'Region 2'!$S$2:$S$498,$A55)</f>
        <v>#DIV/0!</v>
      </c>
      <c r="G55">
        <f>AVERAGEIFS('Region 2'!$W$2:$W$498,'Region 2'!$A$2:$A$498,G$1,'Region 2'!$X$2:$X$498,$D55,'Region 2'!$S$2:$S$498,$A55)</f>
        <v>57.68855726207731</v>
      </c>
      <c r="H55" t="e">
        <f>AVERAGEIFS('Region 2'!$W$2:$W$498,'Region 2'!$A$2:$A$498,H$1,'Region 2'!$X$2:$X$498,$D55,'Region 2'!$S$2:$S$498,$A55)</f>
        <v>#DIV/0!</v>
      </c>
      <c r="I55" t="e">
        <f>AVERAGEIFS('Region 2'!$W$2:$W$498,'Region 2'!$A$2:$A$498,I$1,'Region 2'!$X$2:$X$498,$D55,'Region 2'!$S$2:$S$498,$A55)</f>
        <v>#DIV/0!</v>
      </c>
      <c r="J55" t="e">
        <f>AVERAGEIFS('Region 2'!$W$2:$W$498,'Region 2'!$A$2:$A$498,J$1,'Region 2'!$X$2:$X$498,$D55,'Region 2'!$S$2:$S$498,$A55)</f>
        <v>#DIV/0!</v>
      </c>
      <c r="K55" t="e">
        <f>AVERAGEIFS('Region 2'!$W$2:$W$498,'Region 2'!$A$2:$A$498,K$1,'Region 2'!$X$2:$X$498,$D55,'Region 2'!$S$2:$S$498,$A55)</f>
        <v>#DIV/0!</v>
      </c>
      <c r="L55" t="e">
        <f>AVERAGEIFS('Region 2'!$W$2:$W$498,'Region 2'!$A$2:$A$498,L$1,'Region 2'!$X$2:$X$498,$D55,'Region 2'!$S$2:$S$498,$A55)</f>
        <v>#DIV/0!</v>
      </c>
      <c r="M55" t="e">
        <f>AVERAGEIFS('Region 2'!$W$2:$W$498,'Region 2'!$A$2:$A$498,M$1,'Region 2'!$X$2:$X$498,$D55,'Region 2'!$S$2:$S$498,$A55)</f>
        <v>#DIV/0!</v>
      </c>
      <c r="N55" t="e">
        <f>AVERAGEIFS('Region 2'!$W$2:$W$498,'Region 2'!$A$2:$A$498,N$1,'Region 2'!$X$2:$X$498,$D55,'Region 2'!$S$2:$S$498,$A55)</f>
        <v>#DIV/0!</v>
      </c>
      <c r="Q55" t="str">
        <f t="shared" si="16"/>
        <v>Concrete</v>
      </c>
      <c r="R55" t="str">
        <f t="shared" si="17"/>
        <v>Appartments</v>
      </c>
      <c r="S55">
        <f t="shared" si="18"/>
        <v>2</v>
      </c>
      <c r="T55" t="str">
        <f t="shared" si="6"/>
        <v>-</v>
      </c>
      <c r="U55" t="str">
        <f t="shared" si="7"/>
        <v>-</v>
      </c>
      <c r="V55">
        <f t="shared" si="8"/>
        <v>57.68855726207731</v>
      </c>
      <c r="W55" t="str">
        <f t="shared" si="9"/>
        <v>-</v>
      </c>
      <c r="X55" t="str">
        <f t="shared" si="10"/>
        <v>-</v>
      </c>
      <c r="Y55" t="str">
        <f t="shared" si="11"/>
        <v>-</v>
      </c>
      <c r="Z55" t="str">
        <f t="shared" si="12"/>
        <v>-</v>
      </c>
      <c r="AA55" t="str">
        <f t="shared" si="13"/>
        <v>-</v>
      </c>
      <c r="AB55" t="str">
        <f t="shared" si="14"/>
        <v>-</v>
      </c>
      <c r="AC55" t="str">
        <f t="shared" si="15"/>
        <v>-</v>
      </c>
    </row>
    <row r="56" spans="1:29" x14ac:dyDescent="0.3">
      <c r="A56" t="s">
        <v>65</v>
      </c>
      <c r="B56" t="s">
        <v>894</v>
      </c>
      <c r="C56">
        <f t="shared" si="20"/>
        <v>3</v>
      </c>
      <c r="D56">
        <v>3</v>
      </c>
      <c r="E56" t="e">
        <f ca="1">AVERAGEIFS('Region 3'!$W$2:$W$500,'Region 3'!$A$2:$A$500,E$1,'Region 3'!$X$2:$X$500,$D56,'Region 3'!$S$2:$S$500,$A56)</f>
        <v>#DIV/0!</v>
      </c>
      <c r="F56" t="e">
        <f ca="1">AVERAGEIFS('Region 3'!$W$2:$W$500,'Region 3'!$A$2:$A$500,F$1,'Region 3'!$X$2:$X$500,$D56,'Region 3'!$S$2:$S$500,$A56)</f>
        <v>#DIV/0!</v>
      </c>
      <c r="G56" t="e">
        <f ca="1">AVERAGEIFS('Region 3'!$W$2:$W$500,'Region 3'!$A$2:$A$500,G$1,'Region 3'!$X$2:$X$500,$D56,'Region 3'!$S$2:$S$500,$A56)</f>
        <v>#DIV/0!</v>
      </c>
      <c r="H56" t="e">
        <f ca="1">AVERAGEIFS('Region 3'!$W$2:$W$500,'Region 3'!$A$2:$A$500,H$1,'Region 3'!$X$2:$X$500,$D56,'Region 3'!$S$2:$S$500,$A56)</f>
        <v>#DIV/0!</v>
      </c>
      <c r="I56" t="e">
        <f ca="1">AVERAGEIFS('Region 3'!$W$2:$W$500,'Region 3'!$A$2:$A$500,I$1,'Region 3'!$X$2:$X$500,$D56,'Region 3'!$S$2:$S$500,$A56)</f>
        <v>#DIV/0!</v>
      </c>
      <c r="J56" t="e">
        <f ca="1">AVERAGEIFS('Region 3'!$W$2:$W$500,'Region 3'!$A$2:$A$500,J$1,'Region 3'!$X$2:$X$500,$D56,'Region 3'!$S$2:$S$500,$A56)</f>
        <v>#DIV/0!</v>
      </c>
      <c r="K56" t="e">
        <f ca="1">AVERAGEIFS('Region 3'!$W$2:$W$500,'Region 3'!$A$2:$A$500,K$1,'Region 3'!$X$2:$X$500,$D56,'Region 3'!$S$2:$S$500,$A56)</f>
        <v>#DIV/0!</v>
      </c>
      <c r="L56" t="e">
        <f ca="1">AVERAGEIFS('Region 3'!$W$2:$W$500,'Region 3'!$A$2:$A$500,L$1,'Region 3'!$X$2:$X$500,$D56,'Region 3'!$S$2:$S$500,$A56)</f>
        <v>#DIV/0!</v>
      </c>
      <c r="M56" t="e">
        <f ca="1">AVERAGEIFS('Region 3'!$W$2:$W$500,'Region 3'!$A$2:$A$500,M$1,'Region 3'!$X$2:$X$500,$D56,'Region 3'!$S$2:$S$500,$A56)</f>
        <v>#DIV/0!</v>
      </c>
      <c r="N56" t="e">
        <f ca="1">AVERAGEIFS('Region 3'!$W$2:$W$500,'Region 3'!$A$2:$A$500,N$1,'Region 3'!$X$2:$X$500,$D56,'Region 3'!$S$2:$S$500,$A56)</f>
        <v>#DIV/0!</v>
      </c>
      <c r="Q56" t="str">
        <f t="shared" si="16"/>
        <v>Concrete</v>
      </c>
      <c r="R56" t="str">
        <f t="shared" si="17"/>
        <v>Appartments</v>
      </c>
      <c r="S56">
        <f t="shared" si="18"/>
        <v>3</v>
      </c>
      <c r="T56" t="str">
        <f t="shared" ca="1" si="6"/>
        <v>-</v>
      </c>
      <c r="U56" t="str">
        <f t="shared" ca="1" si="7"/>
        <v>-</v>
      </c>
      <c r="V56" t="str">
        <f t="shared" ca="1" si="8"/>
        <v>-</v>
      </c>
      <c r="W56" t="str">
        <f t="shared" ca="1" si="9"/>
        <v>-</v>
      </c>
      <c r="X56" t="str">
        <f t="shared" ca="1" si="10"/>
        <v>-</v>
      </c>
      <c r="Y56" t="str">
        <f t="shared" ca="1" si="11"/>
        <v>-</v>
      </c>
      <c r="Z56" t="str">
        <f t="shared" ca="1" si="12"/>
        <v>-</v>
      </c>
      <c r="AA56" t="str">
        <f t="shared" ca="1" si="13"/>
        <v>-</v>
      </c>
      <c r="AB56" t="str">
        <f t="shared" ca="1" si="14"/>
        <v>-</v>
      </c>
      <c r="AC56" t="str">
        <f t="shared" ca="1" si="15"/>
        <v>-</v>
      </c>
    </row>
    <row r="57" spans="1:29" x14ac:dyDescent="0.3">
      <c r="A57" t="s">
        <v>65</v>
      </c>
      <c r="B57" t="s">
        <v>894</v>
      </c>
      <c r="C57">
        <f t="shared" si="20"/>
        <v>4</v>
      </c>
      <c r="D57">
        <v>3</v>
      </c>
      <c r="E57" t="e">
        <f>AVERAGEIFS('Region 4'!$W$2:$W$10,'Region 4'!$A$2:$A$10,E$1,'Region 4'!$X$2:$X$10,$D57,'Region 4'!$S$2:$S$10,$A57)</f>
        <v>#DIV/0!</v>
      </c>
      <c r="F57" t="e">
        <f>AVERAGEIFS('Region 4'!$W$2:$W$10,'Region 4'!$A$2:$A$10,F$1,'Region 4'!$X$2:$X$10,$D57,'Region 4'!$S$2:$S$10,$A57)</f>
        <v>#DIV/0!</v>
      </c>
      <c r="G57" t="e">
        <f>AVERAGEIFS('Region 4'!$W$2:$W$10,'Region 4'!$A$2:$A$10,G$1,'Region 4'!$X$2:$X$10,$D57,'Region 4'!$S$2:$S$10,$A57)</f>
        <v>#DIV/0!</v>
      </c>
      <c r="H57" t="e">
        <f>AVERAGEIFS('Region 4'!$W$2:$W$10,'Region 4'!$A$2:$A$10,H$1,'Region 4'!$X$2:$X$10,$D57,'Region 4'!$S$2:$S$10,$A57)</f>
        <v>#DIV/0!</v>
      </c>
      <c r="I57" t="e">
        <f>AVERAGEIFS('Region 4'!$W$2:$W$10,'Region 4'!$A$2:$A$10,I$1,'Region 4'!$X$2:$X$10,$D57,'Region 4'!$S$2:$S$10,$A57)</f>
        <v>#DIV/0!</v>
      </c>
      <c r="J57" t="e">
        <f>AVERAGEIFS('Region 4'!$W$2:$W$10,'Region 4'!$A$2:$A$10,J$1,'Region 4'!$X$2:$X$10,$D57,'Region 4'!$S$2:$S$10,$A57)</f>
        <v>#DIV/0!</v>
      </c>
      <c r="K57" t="e">
        <f>AVERAGEIFS('Region 4'!$W$2:$W$10,'Region 4'!$A$2:$A$10,K$1,'Region 4'!$X$2:$X$10,$D57,'Region 4'!$S$2:$S$10,$A57)</f>
        <v>#DIV/0!</v>
      </c>
      <c r="L57" t="e">
        <f>AVERAGEIFS('Region 4'!$W$2:$W$10,'Region 4'!$A$2:$A$10,L$1,'Region 4'!$X$2:$X$10,$D57,'Region 4'!$S$2:$S$10,$A57)</f>
        <v>#DIV/0!</v>
      </c>
      <c r="M57" t="e">
        <f>AVERAGEIFS('Region 4'!$W$2:$W$10,'Region 4'!$A$2:$A$10,M$1,'Region 4'!$X$2:$X$10,$D57,'Region 4'!$S$2:$S$10,$A57)</f>
        <v>#DIV/0!</v>
      </c>
      <c r="N57" t="e">
        <f>AVERAGEIFS('Region 4'!$W$2:$W$10,'Region 4'!$A$2:$A$10,N$1,'Region 4'!$X$2:$X$10,$D57,'Region 4'!$S$2:$S$10,$A57)</f>
        <v>#DIV/0!</v>
      </c>
      <c r="Q57" t="str">
        <f t="shared" si="16"/>
        <v>Concrete</v>
      </c>
      <c r="R57" t="str">
        <f t="shared" si="17"/>
        <v>Appartments</v>
      </c>
      <c r="S57">
        <f t="shared" si="18"/>
        <v>4</v>
      </c>
      <c r="T57" t="str">
        <f t="shared" si="6"/>
        <v>-</v>
      </c>
      <c r="U57" t="str">
        <f t="shared" si="7"/>
        <v>-</v>
      </c>
      <c r="V57" t="str">
        <f t="shared" si="8"/>
        <v>-</v>
      </c>
      <c r="W57" t="str">
        <f t="shared" si="9"/>
        <v>-</v>
      </c>
      <c r="X57" t="str">
        <f t="shared" si="10"/>
        <v>-</v>
      </c>
      <c r="Y57" t="str">
        <f t="shared" si="11"/>
        <v>-</v>
      </c>
      <c r="Z57" t="str">
        <f t="shared" si="12"/>
        <v>-</v>
      </c>
      <c r="AA57" t="str">
        <f t="shared" si="13"/>
        <v>-</v>
      </c>
      <c r="AB57" t="str">
        <f t="shared" si="14"/>
        <v>-</v>
      </c>
      <c r="AC57" t="str">
        <f t="shared" si="15"/>
        <v>-</v>
      </c>
    </row>
    <row r="58" spans="1:29" x14ac:dyDescent="0.3">
      <c r="A58" t="s">
        <v>65</v>
      </c>
      <c r="B58" t="s">
        <v>894</v>
      </c>
      <c r="C58">
        <f t="shared" si="20"/>
        <v>5</v>
      </c>
      <c r="D58">
        <v>3</v>
      </c>
      <c r="E58" t="e">
        <f>AVERAGEIFS('Region 5'!$W$2:$W$496,'Region 5'!$A$2:$A$496,E$1,'Region 5'!$X$2:$X$496,$D58,'Region 5'!$S$2:$S$496,$A58)</f>
        <v>#DIV/0!</v>
      </c>
      <c r="F58" t="e">
        <f>AVERAGEIFS('Region 5'!$W$2:$W$496,'Region 5'!$A$2:$A$496,F$1,'Region 5'!$X$2:$X$496,$D58,'Region 5'!$S$2:$S$496,$A58)</f>
        <v>#DIV/0!</v>
      </c>
      <c r="G58" t="e">
        <f>AVERAGEIFS('Region 5'!$W$2:$W$496,'Region 5'!$A$2:$A$496,G$1,'Region 5'!$X$2:$X$496,$D58,'Region 5'!$S$2:$S$496,$A58)</f>
        <v>#DIV/0!</v>
      </c>
      <c r="H58" t="e">
        <f>AVERAGEIFS('Region 5'!$W$2:$W$496,'Region 5'!$A$2:$A$496,H$1,'Region 5'!$X$2:$X$496,$D58,'Region 5'!$S$2:$S$496,$A58)</f>
        <v>#DIV/0!</v>
      </c>
      <c r="I58" t="e">
        <f>AVERAGEIFS('Region 5'!$W$2:$W$496,'Region 5'!$A$2:$A$496,I$1,'Region 5'!$X$2:$X$496,$D58,'Region 5'!$S$2:$S$496,$A58)</f>
        <v>#DIV/0!</v>
      </c>
      <c r="J58" t="e">
        <f>AVERAGEIFS('Region 5'!$W$2:$W$496,'Region 5'!$A$2:$A$496,J$1,'Region 5'!$X$2:$X$496,$D58,'Region 5'!$S$2:$S$496,$A58)</f>
        <v>#DIV/0!</v>
      </c>
      <c r="K58" t="e">
        <f>AVERAGEIFS('Region 5'!$W$2:$W$496,'Region 5'!$A$2:$A$496,K$1,'Region 5'!$X$2:$X$496,$D58,'Region 5'!$S$2:$S$496,$A58)</f>
        <v>#DIV/0!</v>
      </c>
      <c r="L58" t="e">
        <f>AVERAGEIFS('Region 5'!$W$2:$W$496,'Region 5'!$A$2:$A$496,L$1,'Region 5'!$X$2:$X$496,$D58,'Region 5'!$S$2:$S$496,$A58)</f>
        <v>#DIV/0!</v>
      </c>
      <c r="M58" t="e">
        <f>AVERAGEIFS('Region 5'!$W$2:$W$496,'Region 5'!$A$2:$A$496,M$1,'Region 5'!$X$2:$X$496,$D58,'Region 5'!$S$2:$S$496,$A58)</f>
        <v>#DIV/0!</v>
      </c>
      <c r="N58" t="e">
        <f>AVERAGEIFS('Region 5'!$W$2:$W$496,'Region 5'!$A$2:$A$496,N$1,'Region 5'!$X$2:$X$496,$D58,'Region 5'!$S$2:$S$496,$A58)</f>
        <v>#DIV/0!</v>
      </c>
      <c r="Q58" t="str">
        <f t="shared" si="16"/>
        <v>Concrete</v>
      </c>
      <c r="R58" t="str">
        <f t="shared" si="17"/>
        <v>Appartments</v>
      </c>
      <c r="S58">
        <f t="shared" si="18"/>
        <v>5</v>
      </c>
      <c r="T58" t="str">
        <f t="shared" si="6"/>
        <v>-</v>
      </c>
      <c r="U58" t="str">
        <f t="shared" si="7"/>
        <v>-</v>
      </c>
      <c r="V58" t="str">
        <f t="shared" si="8"/>
        <v>-</v>
      </c>
      <c r="W58" t="str">
        <f t="shared" si="9"/>
        <v>-</v>
      </c>
      <c r="X58" t="str">
        <f t="shared" si="10"/>
        <v>-</v>
      </c>
      <c r="Y58" t="str">
        <f t="shared" si="11"/>
        <v>-</v>
      </c>
      <c r="Z58" t="str">
        <f t="shared" si="12"/>
        <v>-</v>
      </c>
      <c r="AA58" t="str">
        <f t="shared" si="13"/>
        <v>-</v>
      </c>
      <c r="AB58" t="str">
        <f t="shared" si="14"/>
        <v>-</v>
      </c>
      <c r="AC58" t="str">
        <f t="shared" si="15"/>
        <v>-</v>
      </c>
    </row>
    <row r="59" spans="1:29" x14ac:dyDescent="0.3">
      <c r="A59" t="s">
        <v>65</v>
      </c>
      <c r="B59" t="s">
        <v>894</v>
      </c>
      <c r="C59">
        <f t="shared" si="20"/>
        <v>6</v>
      </c>
      <c r="D59">
        <v>3</v>
      </c>
      <c r="E59">
        <f>AVERAGEIFS('Region 6'!$W$2:$W$496,'Region 6'!$A$2:$A$496,E$1,'Region 6'!$X$2:$X$496,$D59,'Region 6'!$S$2:$S$496,$A59)</f>
        <v>933</v>
      </c>
      <c r="F59" t="e">
        <f>AVERAGEIFS('Region 6'!$W$2:$W$496,'Region 6'!$A$2:$A$496,F$1,'Region 6'!$X$2:$X$496,$D59,'Region 6'!$S$2:$S$496,$A59)</f>
        <v>#DIV/0!</v>
      </c>
      <c r="G59" t="e">
        <f>AVERAGEIFS('Region 6'!$W$2:$W$496,'Region 6'!$A$2:$A$496,G$1,'Region 6'!$X$2:$X$496,$D59,'Region 6'!$S$2:$S$496,$A59)</f>
        <v>#DIV/0!</v>
      </c>
      <c r="H59" t="e">
        <f>AVERAGEIFS('Region 6'!$W$2:$W$496,'Region 6'!$A$2:$A$496,H$1,'Region 6'!$X$2:$X$496,$D59,'Region 6'!$S$2:$S$496,$A59)</f>
        <v>#DIV/0!</v>
      </c>
      <c r="I59" t="e">
        <f>AVERAGEIFS('Region 6'!$W$2:$W$496,'Region 6'!$A$2:$A$496,I$1,'Region 6'!$X$2:$X$496,$D59,'Region 6'!$S$2:$S$496,$A59)</f>
        <v>#DIV/0!</v>
      </c>
      <c r="J59" t="e">
        <f>AVERAGEIFS('Region 6'!$W$2:$W$496,'Region 6'!$A$2:$A$496,J$1,'Region 6'!$X$2:$X$496,$D59,'Region 6'!$S$2:$S$496,$A59)</f>
        <v>#DIV/0!</v>
      </c>
      <c r="K59" t="e">
        <f>AVERAGEIFS('Region 6'!$W$2:$W$496,'Region 6'!$A$2:$A$496,K$1,'Region 6'!$X$2:$X$496,$D59,'Region 6'!$S$2:$S$496,$A59)</f>
        <v>#DIV/0!</v>
      </c>
      <c r="L59" t="e">
        <f>AVERAGEIFS('Region 6'!$W$2:$W$496,'Region 6'!$A$2:$A$496,L$1,'Region 6'!$X$2:$X$496,$D59,'Region 6'!$S$2:$S$496,$A59)</f>
        <v>#DIV/0!</v>
      </c>
      <c r="M59" t="e">
        <f>AVERAGEIFS('Region 6'!$W$2:$W$496,'Region 6'!$A$2:$A$496,M$1,'Region 6'!$X$2:$X$496,$D59,'Region 6'!$S$2:$S$496,$A59)</f>
        <v>#DIV/0!</v>
      </c>
      <c r="N59" t="e">
        <f>AVERAGEIFS('Region 6'!$W$2:$W$496,'Region 6'!$A$2:$A$496,N$1,'Region 6'!$X$2:$X$496,$D59,'Region 6'!$S$2:$S$496,$A59)</f>
        <v>#DIV/0!</v>
      </c>
      <c r="Q59" t="str">
        <f t="shared" si="16"/>
        <v>Concrete</v>
      </c>
      <c r="R59" t="str">
        <f t="shared" si="17"/>
        <v>Appartments</v>
      </c>
      <c r="S59">
        <f t="shared" si="18"/>
        <v>6</v>
      </c>
      <c r="T59">
        <f t="shared" si="6"/>
        <v>933</v>
      </c>
      <c r="U59" t="str">
        <f t="shared" si="7"/>
        <v>-</v>
      </c>
      <c r="V59" t="str">
        <f t="shared" si="8"/>
        <v>-</v>
      </c>
      <c r="W59" t="str">
        <f t="shared" si="9"/>
        <v>-</v>
      </c>
      <c r="X59" t="str">
        <f t="shared" si="10"/>
        <v>-</v>
      </c>
      <c r="Y59" t="str">
        <f t="shared" si="11"/>
        <v>-</v>
      </c>
      <c r="Z59" t="str">
        <f t="shared" si="12"/>
        <v>-</v>
      </c>
      <c r="AA59" t="str">
        <f t="shared" si="13"/>
        <v>-</v>
      </c>
      <c r="AB59" t="str">
        <f t="shared" si="14"/>
        <v>-</v>
      </c>
      <c r="AC59" t="str">
        <f t="shared" si="15"/>
        <v>-</v>
      </c>
    </row>
    <row r="60" spans="1:29" x14ac:dyDescent="0.3">
      <c r="A60" t="s">
        <v>65</v>
      </c>
      <c r="B60" t="s">
        <v>894</v>
      </c>
      <c r="C60">
        <f t="shared" si="20"/>
        <v>7</v>
      </c>
      <c r="D60">
        <v>3</v>
      </c>
      <c r="E60" t="e">
        <f ca="1">AVERAGEIFS('Region 7'!$W$2:$W$500,'Region 7'!$A$2:$A$500,E$1,'Region 7'!$X$2:$X$500,$D60,'Region 7'!$S$2:$S$500,$A60)</f>
        <v>#DIV/0!</v>
      </c>
      <c r="F60" t="e">
        <f ca="1">AVERAGEIFS('Region 7'!$W$2:$W$500,'Region 7'!$A$2:$A$500,F$1,'Region 7'!$X$2:$X$500,$D60,'Region 7'!$S$2:$S$500,$A60)</f>
        <v>#DIV/0!</v>
      </c>
      <c r="G60" t="e">
        <f ca="1">AVERAGEIFS('Region 7'!$W$2:$W$500,'Region 7'!$A$2:$A$500,G$1,'Region 7'!$X$2:$X$500,$D60,'Region 7'!$S$2:$S$500,$A60)</f>
        <v>#DIV/0!</v>
      </c>
      <c r="H60" t="e">
        <f ca="1">AVERAGEIFS('Region 7'!$W$2:$W$500,'Region 7'!$A$2:$A$500,H$1,'Region 7'!$X$2:$X$500,$D60,'Region 7'!$S$2:$S$500,$A60)</f>
        <v>#DIV/0!</v>
      </c>
      <c r="I60" t="e">
        <f ca="1">AVERAGEIFS('Region 7'!$W$2:$W$500,'Region 7'!$A$2:$A$500,I$1,'Region 7'!$X$2:$X$500,$D60,'Region 7'!$S$2:$S$500,$A60)</f>
        <v>#DIV/0!</v>
      </c>
      <c r="J60" t="e">
        <f ca="1">AVERAGEIFS('Region 7'!$W$2:$W$500,'Region 7'!$A$2:$A$500,J$1,'Region 7'!$X$2:$X$500,$D60,'Region 7'!$S$2:$S$500,$A60)</f>
        <v>#DIV/0!</v>
      </c>
      <c r="K60" t="e">
        <f ca="1">AVERAGEIFS('Region 7'!$W$2:$W$500,'Region 7'!$A$2:$A$500,K$1,'Region 7'!$X$2:$X$500,$D60,'Region 7'!$S$2:$S$500,$A60)</f>
        <v>#DIV/0!</v>
      </c>
      <c r="L60" t="e">
        <f ca="1">AVERAGEIFS('Region 7'!$W$2:$W$500,'Region 7'!$A$2:$A$500,L$1,'Region 7'!$X$2:$X$500,$D60,'Region 7'!$S$2:$S$500,$A60)</f>
        <v>#DIV/0!</v>
      </c>
      <c r="M60" t="e">
        <f ca="1">AVERAGEIFS('Region 7'!$W$2:$W$500,'Region 7'!$A$2:$A$500,M$1,'Region 7'!$X$2:$X$500,$D60,'Region 7'!$S$2:$S$500,$A60)</f>
        <v>#DIV/0!</v>
      </c>
      <c r="N60" t="e">
        <f ca="1">AVERAGEIFS('Region 7'!$W$2:$W$500,'Region 7'!$A$2:$A$500,N$1,'Region 7'!$X$2:$X$500,$D60,'Region 7'!$S$2:$S$500,$A60)</f>
        <v>#DIV/0!</v>
      </c>
      <c r="Q60" t="str">
        <f t="shared" si="16"/>
        <v>Concrete</v>
      </c>
      <c r="R60" t="str">
        <f t="shared" si="17"/>
        <v>Appartments</v>
      </c>
      <c r="S60">
        <f t="shared" si="18"/>
        <v>7</v>
      </c>
      <c r="T60" t="str">
        <f t="shared" ca="1" si="6"/>
        <v>-</v>
      </c>
      <c r="U60" t="str">
        <f t="shared" ca="1" si="7"/>
        <v>-</v>
      </c>
      <c r="V60" t="str">
        <f t="shared" ca="1" si="8"/>
        <v>-</v>
      </c>
      <c r="W60" t="str">
        <f t="shared" ca="1" si="9"/>
        <v>-</v>
      </c>
      <c r="X60" t="str">
        <f t="shared" ca="1" si="10"/>
        <v>-</v>
      </c>
      <c r="Y60" t="str">
        <f t="shared" ca="1" si="11"/>
        <v>-</v>
      </c>
      <c r="Z60" t="str">
        <f t="shared" ca="1" si="12"/>
        <v>-</v>
      </c>
      <c r="AA60" t="str">
        <f t="shared" ca="1" si="13"/>
        <v>-</v>
      </c>
      <c r="AB60" t="str">
        <f t="shared" ca="1" si="14"/>
        <v>-</v>
      </c>
      <c r="AC60" t="str">
        <f t="shared" ca="1" si="15"/>
        <v>-</v>
      </c>
    </row>
    <row r="61" spans="1:29" x14ac:dyDescent="0.3">
      <c r="A61" t="s">
        <v>65</v>
      </c>
      <c r="B61" t="s">
        <v>894</v>
      </c>
      <c r="C61">
        <f t="shared" si="20"/>
        <v>8</v>
      </c>
      <c r="D61">
        <v>3</v>
      </c>
      <c r="E61" t="e">
        <f>AVERAGEIFS('Region 8'!$W$2:$W$497,'Region 8'!$A$2:$A$497,E$1,'Region 8'!$X$2:$X$497,$D61,'Region 8'!$S$2:$S$497,$A61)</f>
        <v>#DIV/0!</v>
      </c>
      <c r="F61" t="e">
        <f>AVERAGEIFS('Region 8'!$W$2:$W$497,'Region 8'!$A$2:$A$497,F$1,'Region 8'!$X$2:$X$497,$D61,'Region 8'!$S$2:$S$497,$A61)</f>
        <v>#DIV/0!</v>
      </c>
      <c r="G61" t="e">
        <f>AVERAGEIFS('Region 8'!$W$2:$W$497,'Region 8'!$A$2:$A$497,G$1,'Region 8'!$X$2:$X$497,$D61,'Region 8'!$S$2:$S$497,$A61)</f>
        <v>#DIV/0!</v>
      </c>
      <c r="H61" t="e">
        <f>AVERAGEIFS('Region 8'!$W$2:$W$497,'Region 8'!$A$2:$A$497,H$1,'Region 8'!$X$2:$X$497,$D61,'Region 8'!$S$2:$S$497,$A61)</f>
        <v>#DIV/0!</v>
      </c>
      <c r="I61" t="e">
        <f>AVERAGEIFS('Region 8'!$W$2:$W$497,'Region 8'!$A$2:$A$497,I$1,'Region 8'!$X$2:$X$497,$D61,'Region 8'!$S$2:$S$497,$A61)</f>
        <v>#DIV/0!</v>
      </c>
      <c r="J61" t="e">
        <f>AVERAGEIFS('Region 8'!$W$2:$W$497,'Region 8'!$A$2:$A$497,J$1,'Region 8'!$X$2:$X$497,$D61,'Region 8'!$S$2:$S$497,$A61)</f>
        <v>#DIV/0!</v>
      </c>
      <c r="K61" t="e">
        <f>AVERAGEIFS('Region 8'!$W$2:$W$497,'Region 8'!$A$2:$A$497,K$1,'Region 8'!$X$2:$X$497,$D61,'Region 8'!$S$2:$S$497,$A61)</f>
        <v>#DIV/0!</v>
      </c>
      <c r="L61" t="e">
        <f>AVERAGEIFS('Region 8'!$W$2:$W$497,'Region 8'!$A$2:$A$497,L$1,'Region 8'!$X$2:$X$497,$D61,'Region 8'!$S$2:$S$497,$A61)</f>
        <v>#DIV/0!</v>
      </c>
      <c r="M61" t="e">
        <f>AVERAGEIFS('Region 8'!$W$2:$W$497,'Region 8'!$A$2:$A$497,M$1,'Region 8'!$X$2:$X$497,$D61,'Region 8'!$S$2:$S$497,$A61)</f>
        <v>#DIV/0!</v>
      </c>
      <c r="N61" t="e">
        <f>AVERAGEIFS('Region 8'!$W$2:$W$497,'Region 8'!$A$2:$A$497,N$1,'Region 8'!$X$2:$X$497,$D61,'Region 8'!$S$2:$S$497,$A61)</f>
        <v>#DIV/0!</v>
      </c>
      <c r="Q61" t="str">
        <f t="shared" si="16"/>
        <v>Concrete</v>
      </c>
      <c r="R61" t="str">
        <f t="shared" si="17"/>
        <v>Appartments</v>
      </c>
      <c r="S61">
        <f t="shared" si="18"/>
        <v>8</v>
      </c>
      <c r="T61" t="str">
        <f t="shared" si="6"/>
        <v>-</v>
      </c>
      <c r="U61" t="str">
        <f t="shared" si="7"/>
        <v>-</v>
      </c>
      <c r="V61" t="str">
        <f t="shared" si="8"/>
        <v>-</v>
      </c>
      <c r="W61" t="str">
        <f t="shared" si="9"/>
        <v>-</v>
      </c>
      <c r="X61" t="str">
        <f t="shared" si="10"/>
        <v>-</v>
      </c>
      <c r="Y61" t="str">
        <f t="shared" si="11"/>
        <v>-</v>
      </c>
      <c r="Z61" t="str">
        <f t="shared" si="12"/>
        <v>-</v>
      </c>
      <c r="AA61" t="str">
        <f t="shared" si="13"/>
        <v>-</v>
      </c>
      <c r="AB61" t="str">
        <f t="shared" si="14"/>
        <v>-</v>
      </c>
      <c r="AC61" t="str">
        <f t="shared" si="15"/>
        <v>-</v>
      </c>
    </row>
    <row r="62" spans="1:29" x14ac:dyDescent="0.3">
      <c r="A62" t="s">
        <v>65</v>
      </c>
      <c r="B62" t="s">
        <v>894</v>
      </c>
      <c r="C62">
        <f t="shared" si="20"/>
        <v>9</v>
      </c>
      <c r="D62">
        <v>3</v>
      </c>
      <c r="E62" t="e">
        <f ca="1">AVERAGEIFS('Region 9'!$W$2:$W$500,'Region 9'!$A$2:$A$500,E$1,'Region 9'!$X$2:$X$500,$D62,'Region 9'!$S$2:$S$500,$A62)</f>
        <v>#DIV/0!</v>
      </c>
      <c r="F62" t="e">
        <f ca="1">AVERAGEIFS('Region 9'!$W$2:$W$500,'Region 9'!$A$2:$A$500,F$1,'Region 9'!$X$2:$X$500,$D62,'Region 9'!$S$2:$S$500,$A62)</f>
        <v>#DIV/0!</v>
      </c>
      <c r="G62" t="e">
        <f ca="1">AVERAGEIFS('Region 9'!$W$2:$W$500,'Region 9'!$A$2:$A$500,G$1,'Region 9'!$X$2:$X$500,$D62,'Region 9'!$S$2:$S$500,$A62)</f>
        <v>#DIV/0!</v>
      </c>
      <c r="H62" t="e">
        <f ca="1">AVERAGEIFS('Region 9'!$W$2:$W$500,'Region 9'!$A$2:$A$500,H$1,'Region 9'!$X$2:$X$500,$D62,'Region 9'!$S$2:$S$500,$A62)</f>
        <v>#DIV/0!</v>
      </c>
      <c r="I62" t="e">
        <f ca="1">AVERAGEIFS('Region 9'!$W$2:$W$500,'Region 9'!$A$2:$A$500,I$1,'Region 9'!$X$2:$X$500,$D62,'Region 9'!$S$2:$S$500,$A62)</f>
        <v>#DIV/0!</v>
      </c>
      <c r="J62" t="e">
        <f ca="1">AVERAGEIFS('Region 9'!$W$2:$W$500,'Region 9'!$A$2:$A$500,J$1,'Region 9'!$X$2:$X$500,$D62,'Region 9'!$S$2:$S$500,$A62)</f>
        <v>#DIV/0!</v>
      </c>
      <c r="K62" t="e">
        <f ca="1">AVERAGEIFS('Region 9'!$W$2:$W$500,'Region 9'!$A$2:$A$500,K$1,'Region 9'!$X$2:$X$500,$D62,'Region 9'!$S$2:$S$500,$A62)</f>
        <v>#DIV/0!</v>
      </c>
      <c r="L62" t="e">
        <f ca="1">AVERAGEIFS('Region 9'!$W$2:$W$500,'Region 9'!$A$2:$A$500,L$1,'Region 9'!$X$2:$X$500,$D62,'Region 9'!$S$2:$S$500,$A62)</f>
        <v>#DIV/0!</v>
      </c>
      <c r="M62" t="e">
        <f ca="1">AVERAGEIFS('Region 9'!$W$2:$W$500,'Region 9'!$A$2:$A$500,M$1,'Region 9'!$X$2:$X$500,$D62,'Region 9'!$S$2:$S$500,$A62)</f>
        <v>#DIV/0!</v>
      </c>
      <c r="N62" t="e">
        <f ca="1">AVERAGEIFS('Region 9'!$W$2:$W$500,'Region 9'!$A$2:$A$500,N$1,'Region 9'!$X$2:$X$500,$D62,'Region 9'!$S$2:$S$500,$A62)</f>
        <v>#DIV/0!</v>
      </c>
      <c r="Q62" t="str">
        <f t="shared" si="16"/>
        <v>Concrete</v>
      </c>
      <c r="R62" t="str">
        <f t="shared" si="17"/>
        <v>Appartments</v>
      </c>
      <c r="S62">
        <f t="shared" si="18"/>
        <v>9</v>
      </c>
      <c r="T62" t="str">
        <f t="shared" ca="1" si="6"/>
        <v>-</v>
      </c>
      <c r="U62" t="str">
        <f t="shared" ca="1" si="7"/>
        <v>-</v>
      </c>
      <c r="V62" t="str">
        <f t="shared" ca="1" si="8"/>
        <v>-</v>
      </c>
      <c r="W62" t="str">
        <f t="shared" ca="1" si="9"/>
        <v>-</v>
      </c>
      <c r="X62" t="str">
        <f t="shared" ca="1" si="10"/>
        <v>-</v>
      </c>
      <c r="Y62" t="str">
        <f t="shared" ca="1" si="11"/>
        <v>-</v>
      </c>
      <c r="Z62" t="str">
        <f t="shared" ca="1" si="12"/>
        <v>-</v>
      </c>
      <c r="AA62" t="str">
        <f t="shared" ca="1" si="13"/>
        <v>-</v>
      </c>
      <c r="AB62" t="str">
        <f t="shared" ca="1" si="14"/>
        <v>-</v>
      </c>
      <c r="AC62" t="str">
        <f t="shared" ca="1" si="15"/>
        <v>-</v>
      </c>
    </row>
    <row r="63" spans="1:29" x14ac:dyDescent="0.3">
      <c r="A63" t="s">
        <v>65</v>
      </c>
      <c r="B63" t="s">
        <v>894</v>
      </c>
      <c r="C63">
        <f t="shared" si="20"/>
        <v>10</v>
      </c>
      <c r="D63">
        <v>3</v>
      </c>
      <c r="E63" t="e">
        <f>AVERAGEIFS('Region 10'!$W$2:$W$500,'Region 10'!$A$2:$A$500,E$1,'Region 10'!$X$2:$X$500,$D63,'Region 10'!$S$2:$S$500,$A63)</f>
        <v>#DIV/0!</v>
      </c>
      <c r="F63" t="e">
        <f>AVERAGEIFS('Region 10'!$W$2:$W$500,'Region 10'!$A$2:$A$500,F$1,'Region 10'!$X$2:$X$500,$D63,'Region 10'!$S$2:$S$500,$A63)</f>
        <v>#DIV/0!</v>
      </c>
      <c r="G63" t="e">
        <f>AVERAGEIFS('Region 10'!$W$2:$W$500,'Region 10'!$A$2:$A$500,G$1,'Region 10'!$X$2:$X$500,$D63,'Region 10'!$S$2:$S$500,$A63)</f>
        <v>#DIV/0!</v>
      </c>
      <c r="H63" t="e">
        <f>AVERAGEIFS('Region 10'!$W$2:$W$500,'Region 10'!$A$2:$A$500,H$1,'Region 10'!$X$2:$X$500,$D63,'Region 10'!$S$2:$S$500,$A63)</f>
        <v>#DIV/0!</v>
      </c>
      <c r="I63" t="e">
        <f>AVERAGEIFS('Region 10'!$W$2:$W$500,'Region 10'!$A$2:$A$500,I$1,'Region 10'!$X$2:$X$500,$D63,'Region 10'!$S$2:$S$500,$A63)</f>
        <v>#DIV/0!</v>
      </c>
      <c r="J63" t="e">
        <f>AVERAGEIFS('Region 10'!$W$2:$W$500,'Region 10'!$A$2:$A$500,J$1,'Region 10'!$X$2:$X$500,$D63,'Region 10'!$S$2:$S$500,$A63)</f>
        <v>#DIV/0!</v>
      </c>
      <c r="K63" t="e">
        <f>AVERAGEIFS('Region 10'!$W$2:$W$500,'Region 10'!$A$2:$A$500,K$1,'Region 10'!$X$2:$X$500,$D63,'Region 10'!$S$2:$S$500,$A63)</f>
        <v>#DIV/0!</v>
      </c>
      <c r="L63" t="e">
        <f>AVERAGEIFS('Region 10'!$W$2:$W$500,'Region 10'!$A$2:$A$500,L$1,'Region 10'!$X$2:$X$500,$D63,'Region 10'!$S$2:$S$500,$A63)</f>
        <v>#DIV/0!</v>
      </c>
      <c r="M63" t="e">
        <f>AVERAGEIFS('Region 10'!$W$2:$W$500,'Region 10'!$A$2:$A$500,M$1,'Region 10'!$X$2:$X$500,$D63,'Region 10'!$S$2:$S$500,$A63)</f>
        <v>#DIV/0!</v>
      </c>
      <c r="N63" t="e">
        <f>AVERAGEIFS('Region 10'!$W$2:$W$500,'Region 10'!$A$2:$A$500,N$1,'Region 10'!$X$2:$X$500,$D63,'Region 10'!$S$2:$S$500,$A63)</f>
        <v>#DIV/0!</v>
      </c>
      <c r="Q63" t="str">
        <f t="shared" si="16"/>
        <v>Concrete</v>
      </c>
      <c r="R63" t="str">
        <f t="shared" si="17"/>
        <v>Appartments</v>
      </c>
      <c r="S63">
        <f t="shared" si="18"/>
        <v>10</v>
      </c>
      <c r="T63" t="str">
        <f t="shared" si="6"/>
        <v>-</v>
      </c>
      <c r="U63" t="str">
        <f t="shared" si="7"/>
        <v>-</v>
      </c>
      <c r="V63" t="str">
        <f t="shared" si="8"/>
        <v>-</v>
      </c>
      <c r="W63" t="str">
        <f t="shared" si="9"/>
        <v>-</v>
      </c>
      <c r="X63" t="str">
        <f t="shared" si="10"/>
        <v>-</v>
      </c>
      <c r="Y63" t="str">
        <f t="shared" si="11"/>
        <v>-</v>
      </c>
      <c r="Z63" t="str">
        <f t="shared" si="12"/>
        <v>-</v>
      </c>
      <c r="AA63" t="str">
        <f t="shared" si="13"/>
        <v>-</v>
      </c>
      <c r="AB63" t="str">
        <f t="shared" si="14"/>
        <v>-</v>
      </c>
      <c r="AC63" t="str">
        <f t="shared" si="15"/>
        <v>-</v>
      </c>
    </row>
    <row r="64" spans="1:29" x14ac:dyDescent="0.3">
      <c r="A64" t="s">
        <v>65</v>
      </c>
      <c r="B64" t="s">
        <v>894</v>
      </c>
      <c r="C64">
        <f t="shared" si="20"/>
        <v>11</v>
      </c>
      <c r="D64">
        <v>3</v>
      </c>
      <c r="E64">
        <f>AVERAGEIFS('Region 11'!$W$2:$W$391,'Region 11'!$A$2:$A$391,E$1,'Region 11'!$X$2:$X$391,$D64,'Region 11'!$S$2:$S$391,$A64)</f>
        <v>851.60209092373941</v>
      </c>
      <c r="F64" t="e">
        <f>AVERAGEIFS('Region 11'!$W$2:$W$391,'Region 11'!$A$2:$A$391,F$1,'Region 11'!$X$2:$X$391,$D64,'Region 11'!$S$2:$S$391,$A64)</f>
        <v>#DIV/0!</v>
      </c>
      <c r="G64" t="e">
        <f>AVERAGEIFS('Region 11'!$W$2:$W$391,'Region 11'!$A$2:$A$391,G$1,'Region 11'!$X$2:$X$391,$D64,'Region 11'!$S$2:$S$391,$A64)</f>
        <v>#DIV/0!</v>
      </c>
      <c r="H64" t="e">
        <f>AVERAGEIFS('Region 11'!$W$2:$W$391,'Region 11'!$A$2:$A$391,H$1,'Region 11'!$X$2:$X$391,$D64,'Region 11'!$S$2:$S$391,$A64)</f>
        <v>#DIV/0!</v>
      </c>
      <c r="I64" t="e">
        <f>AVERAGEIFS('Region 11'!$W$2:$W$391,'Region 11'!$A$2:$A$391,I$1,'Region 11'!$X$2:$X$391,$D64,'Region 11'!$S$2:$S$391,$A64)</f>
        <v>#DIV/0!</v>
      </c>
      <c r="J64" t="e">
        <f>AVERAGEIFS('Region 11'!$W$2:$W$391,'Region 11'!$A$2:$A$391,J$1,'Region 11'!$X$2:$X$391,$D64,'Region 11'!$S$2:$S$391,$A64)</f>
        <v>#DIV/0!</v>
      </c>
      <c r="K64">
        <f>AVERAGEIFS('Region 11'!$W$2:$W$391,'Region 11'!$A$2:$A$391,K$1,'Region 11'!$X$2:$X$391,$D64,'Region 11'!$S$2:$S$391,$A64)</f>
        <v>509.07142857142856</v>
      </c>
      <c r="L64">
        <f>AVERAGEIFS('Region 11'!$W$2:$W$391,'Region 11'!$A$2:$A$391,L$1,'Region 11'!$X$2:$X$391,$D64,'Region 11'!$S$2:$S$391,$A64)</f>
        <v>1113</v>
      </c>
      <c r="M64">
        <f>AVERAGEIFS('Region 11'!$W$2:$W$391,'Region 11'!$A$2:$A$391,M$1,'Region 11'!$X$2:$X$391,$D64,'Region 11'!$S$2:$S$391,$A64)</f>
        <v>47.515166079615383</v>
      </c>
      <c r="N64" t="e">
        <f>AVERAGEIFS('Region 11'!$W$2:$W$391,'Region 11'!$A$2:$A$391,N$1,'Region 11'!$X$2:$X$391,$D64,'Region 11'!$S$2:$S$391,$A64)</f>
        <v>#DIV/0!</v>
      </c>
      <c r="Q64" t="str">
        <f t="shared" si="16"/>
        <v>Concrete</v>
      </c>
      <c r="R64" t="str">
        <f t="shared" si="17"/>
        <v>Appartments</v>
      </c>
      <c r="S64">
        <f t="shared" si="18"/>
        <v>11</v>
      </c>
      <c r="T64">
        <f t="shared" si="6"/>
        <v>851.60209092373941</v>
      </c>
      <c r="U64" t="str">
        <f t="shared" si="7"/>
        <v>-</v>
      </c>
      <c r="V64" t="str">
        <f t="shared" si="8"/>
        <v>-</v>
      </c>
      <c r="W64" t="str">
        <f t="shared" si="9"/>
        <v>-</v>
      </c>
      <c r="X64" t="str">
        <f t="shared" si="10"/>
        <v>-</v>
      </c>
      <c r="Y64" t="str">
        <f t="shared" si="11"/>
        <v>-</v>
      </c>
      <c r="Z64">
        <f t="shared" si="12"/>
        <v>509.07142857142856</v>
      </c>
      <c r="AA64">
        <f t="shared" si="13"/>
        <v>1113</v>
      </c>
      <c r="AB64">
        <f t="shared" si="14"/>
        <v>47.515166079615383</v>
      </c>
      <c r="AC64" t="str">
        <f t="shared" si="15"/>
        <v>-</v>
      </c>
    </row>
    <row r="65" spans="1:29" x14ac:dyDescent="0.3">
      <c r="A65" t="s">
        <v>65</v>
      </c>
      <c r="B65" t="s">
        <v>894</v>
      </c>
      <c r="C65">
        <f t="shared" si="20"/>
        <v>12</v>
      </c>
      <c r="D65">
        <v>3</v>
      </c>
      <c r="E65" t="e">
        <f>AVERAGEIFS('Region 12'!$W$2:$W$459,'Region 12'!$A$2:$A$459,E$1,'Region 12'!$X$2:$X$459,$D65,'Region 12'!$S$2:$S$459,$A65)</f>
        <v>#DIV/0!</v>
      </c>
      <c r="F65">
        <f>AVERAGEIFS('Region 12'!$W$2:$W$459,'Region 12'!$A$2:$A$459,F$1,'Region 12'!$X$2:$X$459,$D65,'Region 12'!$S$2:$S$459,$A65)</f>
        <v>810.85825300217118</v>
      </c>
      <c r="G65" t="e">
        <f>AVERAGEIFS('Region 12'!$W$2:$W$459,'Region 12'!$A$2:$A$459,G$1,'Region 12'!$X$2:$X$459,$D65,'Region 12'!$S$2:$S$459,$A65)</f>
        <v>#DIV/0!</v>
      </c>
      <c r="H65" t="e">
        <f>AVERAGEIFS('Region 12'!$W$2:$W$459,'Region 12'!$A$2:$A$459,H$1,'Region 12'!$X$2:$X$459,$D65,'Region 12'!$S$2:$S$459,$A65)</f>
        <v>#DIV/0!</v>
      </c>
      <c r="I65" t="e">
        <f>AVERAGEIFS('Region 12'!$W$2:$W$459,'Region 12'!$A$2:$A$459,I$1,'Region 12'!$X$2:$X$459,$D65,'Region 12'!$S$2:$S$459,$A65)</f>
        <v>#DIV/0!</v>
      </c>
      <c r="J65" t="e">
        <f>AVERAGEIFS('Region 12'!$W$2:$W$459,'Region 12'!$A$2:$A$459,J$1,'Region 12'!$X$2:$X$459,$D65,'Region 12'!$S$2:$S$459,$A65)</f>
        <v>#DIV/0!</v>
      </c>
      <c r="K65" t="e">
        <f>AVERAGEIFS('Region 12'!$W$2:$W$459,'Region 12'!$A$2:$A$459,K$1,'Region 12'!$X$2:$X$459,$D65,'Region 12'!$S$2:$S$459,$A65)</f>
        <v>#DIV/0!</v>
      </c>
      <c r="L65" t="e">
        <f>AVERAGEIFS('Region 12'!$W$2:$W$459,'Region 12'!$A$2:$A$459,L$1,'Region 12'!$X$2:$X$459,$D65,'Region 12'!$S$2:$S$459,$A65)</f>
        <v>#DIV/0!</v>
      </c>
      <c r="M65" t="e">
        <f>AVERAGEIFS('Region 12'!$W$2:$W$459,'Region 12'!$A$2:$A$459,M$1,'Region 12'!$X$2:$X$459,$D65,'Region 12'!$S$2:$S$459,$A65)</f>
        <v>#DIV/0!</v>
      </c>
      <c r="N65" t="e">
        <f>AVERAGEIFS('Region 12'!$W$2:$W$459,'Region 12'!$A$2:$A$459,N$1,'Region 12'!$X$2:$X$459,$D65,'Region 12'!$S$2:$S$459,$A65)</f>
        <v>#DIV/0!</v>
      </c>
      <c r="Q65" t="str">
        <f t="shared" si="16"/>
        <v>Concrete</v>
      </c>
      <c r="R65" t="str">
        <f t="shared" si="17"/>
        <v>Appartments</v>
      </c>
      <c r="S65">
        <f t="shared" si="18"/>
        <v>12</v>
      </c>
      <c r="T65" t="str">
        <f t="shared" si="6"/>
        <v>-</v>
      </c>
      <c r="U65">
        <f t="shared" si="7"/>
        <v>810.85825300217118</v>
      </c>
      <c r="V65" t="str">
        <f t="shared" si="8"/>
        <v>-</v>
      </c>
      <c r="W65" t="str">
        <f t="shared" si="9"/>
        <v>-</v>
      </c>
      <c r="X65" t="str">
        <f t="shared" si="10"/>
        <v>-</v>
      </c>
      <c r="Y65" t="str">
        <f t="shared" si="11"/>
        <v>-</v>
      </c>
      <c r="Z65" t="str">
        <f t="shared" si="12"/>
        <v>-</v>
      </c>
      <c r="AA65" t="str">
        <f t="shared" si="13"/>
        <v>-</v>
      </c>
      <c r="AB65" t="str">
        <f t="shared" si="14"/>
        <v>-</v>
      </c>
      <c r="AC65" t="str">
        <f t="shared" si="15"/>
        <v>-</v>
      </c>
    </row>
    <row r="66" spans="1:29" x14ac:dyDescent="0.3">
      <c r="A66" t="s">
        <v>65</v>
      </c>
      <c r="B66" t="s">
        <v>894</v>
      </c>
      <c r="C66">
        <f t="shared" si="20"/>
        <v>13</v>
      </c>
      <c r="D66">
        <v>3</v>
      </c>
      <c r="E66">
        <f>AVERAGEIFS('Region 13'!$W$2:$W$500,'Region 13'!$A$2:$A$500,E$1,'Region 13'!$X$2:$X$500,$D66,'Region 13'!$S$2:$S$500,$A66)</f>
        <v>1507.6363636363637</v>
      </c>
      <c r="F66" t="e">
        <f>AVERAGEIFS('Region 13'!$W$2:$W$500,'Region 13'!$A$2:$A$500,F$1,'Region 13'!$X$2:$X$500,$D66,'Region 13'!$S$2:$S$500,$A66)</f>
        <v>#DIV/0!</v>
      </c>
      <c r="G66" t="e">
        <f>AVERAGEIFS('Region 13'!$W$2:$W$500,'Region 13'!$A$2:$A$500,G$1,'Region 13'!$X$2:$X$500,$D66,'Region 13'!$S$2:$S$500,$A66)</f>
        <v>#DIV/0!</v>
      </c>
      <c r="H66" t="e">
        <f>AVERAGEIFS('Region 13'!$W$2:$W$500,'Region 13'!$A$2:$A$500,H$1,'Region 13'!$X$2:$X$500,$D66,'Region 13'!$S$2:$S$500,$A66)</f>
        <v>#DIV/0!</v>
      </c>
      <c r="I66" t="e">
        <f>AVERAGEIFS('Region 13'!$W$2:$W$500,'Region 13'!$A$2:$A$500,I$1,'Region 13'!$X$2:$X$500,$D66,'Region 13'!$S$2:$S$500,$A66)</f>
        <v>#DIV/0!</v>
      </c>
      <c r="J66" t="e">
        <f>AVERAGEIFS('Region 13'!$W$2:$W$500,'Region 13'!$A$2:$A$500,J$1,'Region 13'!$X$2:$X$500,$D66,'Region 13'!$S$2:$S$500,$A66)</f>
        <v>#DIV/0!</v>
      </c>
      <c r="K66" t="e">
        <f>AVERAGEIFS('Region 13'!$W$2:$W$500,'Region 13'!$A$2:$A$500,K$1,'Region 13'!$X$2:$X$500,$D66,'Region 13'!$S$2:$S$500,$A66)</f>
        <v>#DIV/0!</v>
      </c>
      <c r="L66" t="e">
        <f>AVERAGEIFS('Region 13'!$W$2:$W$500,'Region 13'!$A$2:$A$500,L$1,'Region 13'!$X$2:$X$500,$D66,'Region 13'!$S$2:$S$500,$A66)</f>
        <v>#DIV/0!</v>
      </c>
      <c r="M66" t="e">
        <f>AVERAGEIFS('Region 13'!$W$2:$W$500,'Region 13'!$A$2:$A$500,M$1,'Region 13'!$X$2:$X$500,$D66,'Region 13'!$S$2:$S$500,$A66)</f>
        <v>#DIV/0!</v>
      </c>
      <c r="N66" t="e">
        <f>AVERAGEIFS('Region 13'!$W$2:$W$500,'Region 13'!$A$2:$A$500,N$1,'Region 13'!$X$2:$X$500,$D66,'Region 13'!$S$2:$S$500,$A66)</f>
        <v>#DIV/0!</v>
      </c>
      <c r="Q66" t="str">
        <f t="shared" si="16"/>
        <v>Concrete</v>
      </c>
      <c r="R66" t="str">
        <f t="shared" si="17"/>
        <v>Appartments</v>
      </c>
      <c r="S66">
        <f t="shared" si="18"/>
        <v>13</v>
      </c>
      <c r="T66">
        <f t="shared" si="6"/>
        <v>1507.6363636363637</v>
      </c>
      <c r="U66" t="str">
        <f t="shared" si="7"/>
        <v>-</v>
      </c>
      <c r="V66" t="str">
        <f t="shared" si="8"/>
        <v>-</v>
      </c>
      <c r="W66" t="str">
        <f t="shared" si="9"/>
        <v>-</v>
      </c>
      <c r="X66" t="str">
        <f t="shared" si="10"/>
        <v>-</v>
      </c>
      <c r="Y66" t="str">
        <f t="shared" si="11"/>
        <v>-</v>
      </c>
      <c r="Z66" t="str">
        <f t="shared" si="12"/>
        <v>-</v>
      </c>
      <c r="AA66" t="str">
        <f t="shared" si="13"/>
        <v>-</v>
      </c>
      <c r="AB66" t="str">
        <f t="shared" si="14"/>
        <v>-</v>
      </c>
      <c r="AC66" t="str">
        <f t="shared" si="15"/>
        <v>-</v>
      </c>
    </row>
    <row r="67" spans="1:29" x14ac:dyDescent="0.3">
      <c r="A67" t="s">
        <v>65</v>
      </c>
      <c r="B67" t="s">
        <v>894</v>
      </c>
      <c r="C67">
        <f t="shared" si="20"/>
        <v>14</v>
      </c>
      <c r="D67">
        <v>3</v>
      </c>
      <c r="E67" t="e">
        <f ca="1">AVERAGEIFS('Region 14'!$W$2:$W$500,'Region 14'!$A$2:$A$500,E$1,'Region 14'!$X$2:$X$500,$D67,'Region 14'!$S$2:$S$500,$A67)</f>
        <v>#DIV/0!</v>
      </c>
      <c r="F67" t="e">
        <f ca="1">AVERAGEIFS('Region 14'!$W$2:$W$500,'Region 14'!$A$2:$A$500,F$1,'Region 14'!$X$2:$X$500,$D67,'Region 14'!$S$2:$S$500,$A67)</f>
        <v>#DIV/0!</v>
      </c>
      <c r="G67" t="e">
        <f ca="1">AVERAGEIFS('Region 14'!$W$2:$W$500,'Region 14'!$A$2:$A$500,G$1,'Region 14'!$X$2:$X$500,$D67,'Region 14'!$S$2:$S$500,$A67)</f>
        <v>#DIV/0!</v>
      </c>
      <c r="H67" t="e">
        <f ca="1">AVERAGEIFS('Region 14'!$W$2:$W$500,'Region 14'!$A$2:$A$500,H$1,'Region 14'!$X$2:$X$500,$D67,'Region 14'!$S$2:$S$500,$A67)</f>
        <v>#DIV/0!</v>
      </c>
      <c r="I67" t="e">
        <f ca="1">AVERAGEIFS('Region 14'!$W$2:$W$500,'Region 14'!$A$2:$A$500,I$1,'Region 14'!$X$2:$X$500,$D67,'Region 14'!$S$2:$S$500,$A67)</f>
        <v>#DIV/0!</v>
      </c>
      <c r="J67" t="e">
        <f ca="1">AVERAGEIFS('Region 14'!$W$2:$W$500,'Region 14'!$A$2:$A$500,J$1,'Region 14'!$X$2:$X$500,$D67,'Region 14'!$S$2:$S$500,$A67)</f>
        <v>#DIV/0!</v>
      </c>
      <c r="K67" t="e">
        <f ca="1">AVERAGEIFS('Region 14'!$W$2:$W$500,'Region 14'!$A$2:$A$500,K$1,'Region 14'!$X$2:$X$500,$D67,'Region 14'!$S$2:$S$500,$A67)</f>
        <v>#DIV/0!</v>
      </c>
      <c r="L67" t="e">
        <f ca="1">AVERAGEIFS('Region 14'!$W$2:$W$500,'Region 14'!$A$2:$A$500,L$1,'Region 14'!$X$2:$X$500,$D67,'Region 14'!$S$2:$S$500,$A67)</f>
        <v>#DIV/0!</v>
      </c>
      <c r="M67" t="e">
        <f ca="1">AVERAGEIFS('Region 14'!$W$2:$W$500,'Region 14'!$A$2:$A$500,M$1,'Region 14'!$X$2:$X$500,$D67,'Region 14'!$S$2:$S$500,$A67)</f>
        <v>#DIV/0!</v>
      </c>
      <c r="N67" t="e">
        <f ca="1">AVERAGEIFS('Region 14'!$W$2:$W$500,'Region 14'!$A$2:$A$500,N$1,'Region 14'!$X$2:$X$500,$D67,'Region 14'!$S$2:$S$500,$A67)</f>
        <v>#DIV/0!</v>
      </c>
      <c r="Q67" t="str">
        <f t="shared" si="16"/>
        <v>Concrete</v>
      </c>
      <c r="R67" t="str">
        <f t="shared" si="17"/>
        <v>Appartments</v>
      </c>
      <c r="S67">
        <f t="shared" si="18"/>
        <v>14</v>
      </c>
      <c r="T67" t="str">
        <f t="shared" ref="T67:T130" ca="1" si="21">IF(ISNUMBER(E67),E67,"-")</f>
        <v>-</v>
      </c>
      <c r="U67" t="str">
        <f t="shared" ref="U67:U130" ca="1" si="22">IF(ISNUMBER(F67),F67,"-")</f>
        <v>-</v>
      </c>
      <c r="V67" t="str">
        <f t="shared" ref="V67:V130" ca="1" si="23">IF(ISNUMBER(G67),G67,"-")</f>
        <v>-</v>
      </c>
      <c r="W67" t="str">
        <f t="shared" ref="W67:W130" ca="1" si="24">IF(ISNUMBER(H67),H67,"-")</f>
        <v>-</v>
      </c>
      <c r="X67" t="str">
        <f t="shared" ref="X67:X130" ca="1" si="25">IF(ISNUMBER(I67),I67,"-")</f>
        <v>-</v>
      </c>
      <c r="Y67" t="str">
        <f t="shared" ref="Y67:Y130" ca="1" si="26">IF(ISNUMBER(J67),J67,"-")</f>
        <v>-</v>
      </c>
      <c r="Z67" t="str">
        <f t="shared" ref="Z67:Z130" ca="1" si="27">IF(ISNUMBER(K67),K67,"-")</f>
        <v>-</v>
      </c>
      <c r="AA67" t="str">
        <f t="shared" ref="AA67:AA130" ca="1" si="28">IF(ISNUMBER(L67),L67,"-")</f>
        <v>-</v>
      </c>
      <c r="AB67" t="str">
        <f t="shared" ref="AB67:AB130" ca="1" si="29">IF(ISNUMBER(M67),M67,"-")</f>
        <v>-</v>
      </c>
      <c r="AC67" t="str">
        <f t="shared" ref="AC67:AC130" ca="1" si="30">IF(ISNUMBER(N67),N67,"-")</f>
        <v>-</v>
      </c>
    </row>
    <row r="68" spans="1:29" x14ac:dyDescent="0.3">
      <c r="A68" t="s">
        <v>65</v>
      </c>
      <c r="B68" t="s">
        <v>894</v>
      </c>
      <c r="C68">
        <f t="shared" si="20"/>
        <v>15</v>
      </c>
      <c r="D68">
        <v>3</v>
      </c>
      <c r="E68" t="e">
        <f ca="1">AVERAGEIFS('Region 15'!$W$2:$W$500,'Region 15'!$A$2:$A$500,E$1,'Region 15'!$X$2:$X$500,$D68,'Region 15'!$S$2:$S$500,$A68)</f>
        <v>#DIV/0!</v>
      </c>
      <c r="F68" t="e">
        <f ca="1">AVERAGEIFS('Region 15'!$W$2:$W$500,'Region 15'!$A$2:$A$500,F$1,'Region 15'!$X$2:$X$500,$D68,'Region 15'!$S$2:$S$500,$A68)</f>
        <v>#DIV/0!</v>
      </c>
      <c r="G68" t="e">
        <f ca="1">AVERAGEIFS('Region 15'!$W$2:$W$500,'Region 15'!$A$2:$A$500,G$1,'Region 15'!$X$2:$X$500,$D68,'Region 15'!$S$2:$S$500,$A68)</f>
        <v>#DIV/0!</v>
      </c>
      <c r="H68" t="e">
        <f ca="1">AVERAGEIFS('Region 15'!$W$2:$W$500,'Region 15'!$A$2:$A$500,H$1,'Region 15'!$X$2:$X$500,$D68,'Region 15'!$S$2:$S$500,$A68)</f>
        <v>#DIV/0!</v>
      </c>
      <c r="I68" t="e">
        <f ca="1">AVERAGEIFS('Region 15'!$W$2:$W$500,'Region 15'!$A$2:$A$500,I$1,'Region 15'!$X$2:$X$500,$D68,'Region 15'!$S$2:$S$500,$A68)</f>
        <v>#DIV/0!</v>
      </c>
      <c r="J68" t="e">
        <f ca="1">AVERAGEIFS('Region 15'!$W$2:$W$500,'Region 15'!$A$2:$A$500,J$1,'Region 15'!$X$2:$X$500,$D68,'Region 15'!$S$2:$S$500,$A68)</f>
        <v>#DIV/0!</v>
      </c>
      <c r="K68" t="e">
        <f ca="1">AVERAGEIFS('Region 15'!$W$2:$W$500,'Region 15'!$A$2:$A$500,K$1,'Region 15'!$X$2:$X$500,$D68,'Region 15'!$S$2:$S$500,$A68)</f>
        <v>#DIV/0!</v>
      </c>
      <c r="L68" t="e">
        <f ca="1">AVERAGEIFS('Region 15'!$W$2:$W$500,'Region 15'!$A$2:$A$500,L$1,'Region 15'!$X$2:$X$500,$D68,'Region 15'!$S$2:$S$500,$A68)</f>
        <v>#DIV/0!</v>
      </c>
      <c r="M68" t="e">
        <f ca="1">AVERAGEIFS('Region 15'!$W$2:$W$500,'Region 15'!$A$2:$A$500,M$1,'Region 15'!$X$2:$X$500,$D68,'Region 15'!$S$2:$S$500,$A68)</f>
        <v>#DIV/0!</v>
      </c>
      <c r="N68" t="e">
        <f ca="1">AVERAGEIFS('Region 15'!$W$2:$W$500,'Region 15'!$A$2:$A$500,N$1,'Region 15'!$X$2:$X$500,$D68,'Region 15'!$S$2:$S$500,$A68)</f>
        <v>#DIV/0!</v>
      </c>
      <c r="Q68" t="str">
        <f t="shared" si="16"/>
        <v>Concrete</v>
      </c>
      <c r="R68" t="str">
        <f t="shared" si="17"/>
        <v>Appartments</v>
      </c>
      <c r="S68">
        <f t="shared" si="18"/>
        <v>15</v>
      </c>
      <c r="T68" t="str">
        <f t="shared" ca="1" si="21"/>
        <v>-</v>
      </c>
      <c r="U68" t="str">
        <f t="shared" ca="1" si="22"/>
        <v>-</v>
      </c>
      <c r="V68" t="str">
        <f t="shared" ca="1" si="23"/>
        <v>-</v>
      </c>
      <c r="W68" t="str">
        <f t="shared" ca="1" si="24"/>
        <v>-</v>
      </c>
      <c r="X68" t="str">
        <f t="shared" ca="1" si="25"/>
        <v>-</v>
      </c>
      <c r="Y68" t="str">
        <f t="shared" ca="1" si="26"/>
        <v>-</v>
      </c>
      <c r="Z68" t="str">
        <f t="shared" ca="1" si="27"/>
        <v>-</v>
      </c>
      <c r="AA68" t="str">
        <f t="shared" ca="1" si="28"/>
        <v>-</v>
      </c>
      <c r="AB68" t="str">
        <f t="shared" ca="1" si="29"/>
        <v>-</v>
      </c>
      <c r="AC68" t="str">
        <f t="shared" ca="1" si="30"/>
        <v>-</v>
      </c>
    </row>
    <row r="69" spans="1:29" x14ac:dyDescent="0.3">
      <c r="A69" t="s">
        <v>65</v>
      </c>
      <c r="B69" t="s">
        <v>894</v>
      </c>
      <c r="C69">
        <f t="shared" si="20"/>
        <v>16</v>
      </c>
      <c r="D69">
        <v>3</v>
      </c>
      <c r="E69" t="e">
        <f ca="1">AVERAGEIFS('Region 16'!$W$2:$W$500,'Region 16'!$A$2:$A$500,E$1,'Region 16'!$X$2:$X$500,$D69,'Region 16'!$S$2:$S$500,$A69)</f>
        <v>#DIV/0!</v>
      </c>
      <c r="F69" t="e">
        <f ca="1">AVERAGEIFS('Region 16'!$W$2:$W$500,'Region 16'!$A$2:$A$500,F$1,'Region 16'!$X$2:$X$500,$D69,'Region 16'!$S$2:$S$500,$A69)</f>
        <v>#DIV/0!</v>
      </c>
      <c r="G69" t="e">
        <f ca="1">AVERAGEIFS('Region 16'!$W$2:$W$500,'Region 16'!$A$2:$A$500,G$1,'Region 16'!$X$2:$X$500,$D69,'Region 16'!$S$2:$S$500,$A69)</f>
        <v>#DIV/0!</v>
      </c>
      <c r="H69" t="e">
        <f ca="1">AVERAGEIFS('Region 16'!$W$2:$W$500,'Region 16'!$A$2:$A$500,H$1,'Region 16'!$X$2:$X$500,$D69,'Region 16'!$S$2:$S$500,$A69)</f>
        <v>#DIV/0!</v>
      </c>
      <c r="I69" t="e">
        <f ca="1">AVERAGEIFS('Region 16'!$W$2:$W$500,'Region 16'!$A$2:$A$500,I$1,'Region 16'!$X$2:$X$500,$D69,'Region 16'!$S$2:$S$500,$A69)</f>
        <v>#DIV/0!</v>
      </c>
      <c r="J69" t="e">
        <f ca="1">AVERAGEIFS('Region 16'!$W$2:$W$500,'Region 16'!$A$2:$A$500,J$1,'Region 16'!$X$2:$X$500,$D69,'Region 16'!$S$2:$S$500,$A69)</f>
        <v>#DIV/0!</v>
      </c>
      <c r="K69" t="e">
        <f ca="1">AVERAGEIFS('Region 16'!$W$2:$W$500,'Region 16'!$A$2:$A$500,K$1,'Region 16'!$X$2:$X$500,$D69,'Region 16'!$S$2:$S$500,$A69)</f>
        <v>#DIV/0!</v>
      </c>
      <c r="L69" t="e">
        <f ca="1">AVERAGEIFS('Region 16'!$W$2:$W$500,'Region 16'!$A$2:$A$500,L$1,'Region 16'!$X$2:$X$500,$D69,'Region 16'!$S$2:$S$500,$A69)</f>
        <v>#DIV/0!</v>
      </c>
      <c r="M69" t="e">
        <f ca="1">AVERAGEIFS('Region 16'!$W$2:$W$500,'Region 16'!$A$2:$A$500,M$1,'Region 16'!$X$2:$X$500,$D69,'Region 16'!$S$2:$S$500,$A69)</f>
        <v>#DIV/0!</v>
      </c>
      <c r="N69" t="e">
        <f ca="1">AVERAGEIFS('Region 16'!$W$2:$W$500,'Region 16'!$A$2:$A$500,N$1,'Region 16'!$X$2:$X$500,$D69,'Region 16'!$S$2:$S$500,$A69)</f>
        <v>#DIV/0!</v>
      </c>
      <c r="Q69" t="str">
        <f t="shared" si="16"/>
        <v>Concrete</v>
      </c>
      <c r="R69" t="str">
        <f t="shared" si="17"/>
        <v>Appartments</v>
      </c>
      <c r="S69">
        <f t="shared" si="18"/>
        <v>16</v>
      </c>
      <c r="T69" t="str">
        <f t="shared" ca="1" si="21"/>
        <v>-</v>
      </c>
      <c r="U69" t="str">
        <f t="shared" ca="1" si="22"/>
        <v>-</v>
      </c>
      <c r="V69" t="str">
        <f t="shared" ca="1" si="23"/>
        <v>-</v>
      </c>
      <c r="W69" t="str">
        <f t="shared" ca="1" si="24"/>
        <v>-</v>
      </c>
      <c r="X69" t="str">
        <f t="shared" ca="1" si="25"/>
        <v>-</v>
      </c>
      <c r="Y69" t="str">
        <f t="shared" ca="1" si="26"/>
        <v>-</v>
      </c>
      <c r="Z69" t="str">
        <f t="shared" ca="1" si="27"/>
        <v>-</v>
      </c>
      <c r="AA69" t="str">
        <f t="shared" ca="1" si="28"/>
        <v>-</v>
      </c>
      <c r="AB69" t="str">
        <f t="shared" ca="1" si="29"/>
        <v>-</v>
      </c>
      <c r="AC69" t="str">
        <f t="shared" ca="1" si="30"/>
        <v>-</v>
      </c>
    </row>
    <row r="70" spans="1:29" x14ac:dyDescent="0.3">
      <c r="A70" t="s">
        <v>65</v>
      </c>
      <c r="B70" t="s">
        <v>894</v>
      </c>
      <c r="C70">
        <f t="shared" si="20"/>
        <v>17</v>
      </c>
      <c r="D70">
        <v>3</v>
      </c>
      <c r="E70">
        <f>AVERAGEIFS('Region 17'!$W$2:$W$498,'Region 17'!$A$2:$A$498,E$1,'Region 17'!$X$2:$X$498,$D70,'Region 17'!$S$2:$S$498,$A70)</f>
        <v>1926.3185840707965</v>
      </c>
      <c r="F70" t="e">
        <f>AVERAGEIFS('Region 17'!$W$2:$W$498,'Region 17'!$A$2:$A$498,F$1,'Region 17'!$X$2:$X$498,$D70,'Region 17'!$S$2:$S$498,$A70)</f>
        <v>#DIV/0!</v>
      </c>
      <c r="G70" t="e">
        <f>AVERAGEIFS('Region 17'!$W$2:$W$498,'Region 17'!$A$2:$A$498,G$1,'Region 17'!$X$2:$X$498,$D70,'Region 17'!$S$2:$S$498,$A70)</f>
        <v>#DIV/0!</v>
      </c>
      <c r="H70" t="e">
        <f>AVERAGEIFS('Region 17'!$W$2:$W$498,'Region 17'!$A$2:$A$498,H$1,'Region 17'!$X$2:$X$498,$D70,'Region 17'!$S$2:$S$498,$A70)</f>
        <v>#DIV/0!</v>
      </c>
      <c r="I70" t="e">
        <f>AVERAGEIFS('Region 17'!$W$2:$W$498,'Region 17'!$A$2:$A$498,I$1,'Region 17'!$X$2:$X$498,$D70,'Region 17'!$S$2:$S$498,$A70)</f>
        <v>#DIV/0!</v>
      </c>
      <c r="J70" t="e">
        <f>AVERAGEIFS('Region 17'!$W$2:$W$498,'Region 17'!$A$2:$A$498,J$1,'Region 17'!$X$2:$X$498,$D70,'Region 17'!$S$2:$S$498,$A70)</f>
        <v>#DIV/0!</v>
      </c>
      <c r="K70" t="e">
        <f>AVERAGEIFS('Region 17'!$W$2:$W$498,'Region 17'!$A$2:$A$498,K$1,'Region 17'!$X$2:$X$498,$D70,'Region 17'!$S$2:$S$498,$A70)</f>
        <v>#DIV/0!</v>
      </c>
      <c r="L70" t="e">
        <f>AVERAGEIFS('Region 17'!$W$2:$W$498,'Region 17'!$A$2:$A$498,L$1,'Region 17'!$X$2:$X$498,$D70,'Region 17'!$S$2:$S$498,$A70)</f>
        <v>#DIV/0!</v>
      </c>
      <c r="M70" t="e">
        <f>AVERAGEIFS('Region 17'!$W$2:$W$498,'Region 17'!$A$2:$A$498,M$1,'Region 17'!$X$2:$X$498,$D70,'Region 17'!$S$2:$S$498,$A70)</f>
        <v>#DIV/0!</v>
      </c>
      <c r="N70" t="e">
        <f>AVERAGEIFS('Region 17'!$W$2:$W$498,'Region 17'!$A$2:$A$498,N$1,'Region 17'!$X$2:$X$498,$D70,'Region 17'!$S$2:$S$498,$A70)</f>
        <v>#DIV/0!</v>
      </c>
      <c r="Q70" t="str">
        <f t="shared" si="16"/>
        <v>Concrete</v>
      </c>
      <c r="R70" t="str">
        <f t="shared" si="17"/>
        <v>Appartments</v>
      </c>
      <c r="S70">
        <f t="shared" si="18"/>
        <v>17</v>
      </c>
      <c r="T70">
        <f t="shared" si="21"/>
        <v>1926.3185840707965</v>
      </c>
      <c r="U70" t="str">
        <f t="shared" si="22"/>
        <v>-</v>
      </c>
      <c r="V70" t="str">
        <f t="shared" si="23"/>
        <v>-</v>
      </c>
      <c r="W70" t="str">
        <f t="shared" si="24"/>
        <v>-</v>
      </c>
      <c r="X70" t="str">
        <f t="shared" si="25"/>
        <v>-</v>
      </c>
      <c r="Y70" t="str">
        <f t="shared" si="26"/>
        <v>-</v>
      </c>
      <c r="Z70" t="str">
        <f t="shared" si="27"/>
        <v>-</v>
      </c>
      <c r="AA70" t="str">
        <f t="shared" si="28"/>
        <v>-</v>
      </c>
      <c r="AB70" t="str">
        <f t="shared" si="29"/>
        <v>-</v>
      </c>
      <c r="AC70" t="str">
        <f t="shared" si="30"/>
        <v>-</v>
      </c>
    </row>
    <row r="71" spans="1:29" x14ac:dyDescent="0.3">
      <c r="A71" t="s">
        <v>65</v>
      </c>
      <c r="B71" t="s">
        <v>894</v>
      </c>
      <c r="C71">
        <f t="shared" si="20"/>
        <v>18</v>
      </c>
      <c r="D71">
        <v>3</v>
      </c>
      <c r="E71" t="e">
        <f>AVERAGEIFS('Region 18'!$W$2:$W$468,'Region 18'!$A$2:$A$468,E$1,'Region 18'!$X$2:$X$468,$D71,'Region 18'!$S$2:$S$468,$A71)</f>
        <v>#DIV/0!</v>
      </c>
      <c r="F71">
        <f>AVERAGEIFS('Region 18'!$W$2:$W$468,'Region 18'!$A$2:$A$468,F$1,'Region 18'!$X$2:$X$468,$D71,'Region 18'!$S$2:$S$468,$A71)</f>
        <v>1005.8000000000001</v>
      </c>
      <c r="G71" t="e">
        <f>AVERAGEIFS('Region 18'!$W$2:$W$468,'Region 18'!$A$2:$A$468,G$1,'Region 18'!$X$2:$X$468,$D71,'Region 18'!$S$2:$S$468,$A71)</f>
        <v>#DIV/0!</v>
      </c>
      <c r="H71" t="e">
        <f>AVERAGEIFS('Region 18'!$W$2:$W$468,'Region 18'!$A$2:$A$468,H$1,'Region 18'!$X$2:$X$468,$D71,'Region 18'!$S$2:$S$468,$A71)</f>
        <v>#DIV/0!</v>
      </c>
      <c r="I71" t="e">
        <f>AVERAGEIFS('Region 18'!$W$2:$W$468,'Region 18'!$A$2:$A$468,I$1,'Region 18'!$X$2:$X$468,$D71,'Region 18'!$S$2:$S$468,$A71)</f>
        <v>#DIV/0!</v>
      </c>
      <c r="J71" t="e">
        <f>AVERAGEIFS('Region 18'!$W$2:$W$468,'Region 18'!$A$2:$A$468,J$1,'Region 18'!$X$2:$X$468,$D71,'Region 18'!$S$2:$S$468,$A71)</f>
        <v>#DIV/0!</v>
      </c>
      <c r="K71" t="e">
        <f>AVERAGEIFS('Region 18'!$W$2:$W$468,'Region 18'!$A$2:$A$468,K$1,'Region 18'!$X$2:$X$468,$D71,'Region 18'!$S$2:$S$468,$A71)</f>
        <v>#DIV/0!</v>
      </c>
      <c r="L71" t="e">
        <f>AVERAGEIFS('Region 18'!$W$2:$W$468,'Region 18'!$A$2:$A$468,L$1,'Region 18'!$X$2:$X$468,$D71,'Region 18'!$S$2:$S$468,$A71)</f>
        <v>#DIV/0!</v>
      </c>
      <c r="M71" t="e">
        <f>AVERAGEIFS('Region 18'!$W$2:$W$468,'Region 18'!$A$2:$A$468,M$1,'Region 18'!$X$2:$X$468,$D71,'Region 18'!$S$2:$S$468,$A71)</f>
        <v>#DIV/0!</v>
      </c>
      <c r="N71" t="e">
        <f>AVERAGEIFS('Region 18'!$W$2:$W$468,'Region 18'!$A$2:$A$468,N$1,'Region 18'!$X$2:$X$468,$D71,'Region 18'!$S$2:$S$468,$A71)</f>
        <v>#DIV/0!</v>
      </c>
      <c r="Q71" t="str">
        <f t="shared" si="16"/>
        <v>Concrete</v>
      </c>
      <c r="R71" t="str">
        <f t="shared" si="17"/>
        <v>Appartments</v>
      </c>
      <c r="S71">
        <f t="shared" si="18"/>
        <v>18</v>
      </c>
      <c r="T71" t="str">
        <f t="shared" si="21"/>
        <v>-</v>
      </c>
      <c r="U71">
        <f t="shared" si="22"/>
        <v>1005.8000000000001</v>
      </c>
      <c r="V71" t="str">
        <f t="shared" si="23"/>
        <v>-</v>
      </c>
      <c r="W71" t="str">
        <f t="shared" si="24"/>
        <v>-</v>
      </c>
      <c r="X71" t="str">
        <f t="shared" si="25"/>
        <v>-</v>
      </c>
      <c r="Y71" t="str">
        <f t="shared" si="26"/>
        <v>-</v>
      </c>
      <c r="Z71" t="str">
        <f t="shared" si="27"/>
        <v>-</v>
      </c>
      <c r="AA71" t="str">
        <f t="shared" si="28"/>
        <v>-</v>
      </c>
      <c r="AB71" t="str">
        <f t="shared" si="29"/>
        <v>-</v>
      </c>
      <c r="AC71" t="str">
        <f t="shared" si="30"/>
        <v>-</v>
      </c>
    </row>
    <row r="72" spans="1:29" x14ac:dyDescent="0.3">
      <c r="A72" t="s">
        <v>65</v>
      </c>
      <c r="B72" t="s">
        <v>894</v>
      </c>
      <c r="C72">
        <f t="shared" si="20"/>
        <v>19</v>
      </c>
      <c r="D72">
        <v>3</v>
      </c>
      <c r="E72" t="e">
        <f>AVERAGEIFS('Region 19'!$W$2:$W$494,'Region 19'!$A$2:$A$494,E$1,'Region 19'!$X$2:$X$494,$D72,'Region 19'!$S$2:$S$494,$A72)</f>
        <v>#DIV/0!</v>
      </c>
      <c r="F72">
        <f>AVERAGEIFS('Region 19'!$W$2:$W$494,'Region 19'!$A$2:$A$494,F$1,'Region 19'!$X$2:$X$494,$D72,'Region 19'!$S$2:$S$494,$A72)</f>
        <v>2319.1767296456533</v>
      </c>
      <c r="G72" t="e">
        <f>AVERAGEIFS('Region 19'!$W$2:$W$494,'Region 19'!$A$2:$A$494,G$1,'Region 19'!$X$2:$X$494,$D72,'Region 19'!$S$2:$S$494,$A72)</f>
        <v>#DIV/0!</v>
      </c>
      <c r="H72" t="e">
        <f>AVERAGEIFS('Region 19'!$W$2:$W$494,'Region 19'!$A$2:$A$494,H$1,'Region 19'!$X$2:$X$494,$D72,'Region 19'!$S$2:$S$494,$A72)</f>
        <v>#DIV/0!</v>
      </c>
      <c r="I72" t="e">
        <f>AVERAGEIFS('Region 19'!$W$2:$W$494,'Region 19'!$A$2:$A$494,I$1,'Region 19'!$X$2:$X$494,$D72,'Region 19'!$S$2:$S$494,$A72)</f>
        <v>#DIV/0!</v>
      </c>
      <c r="J72" t="e">
        <f>AVERAGEIFS('Region 19'!$W$2:$W$494,'Region 19'!$A$2:$A$494,J$1,'Region 19'!$X$2:$X$494,$D72,'Region 19'!$S$2:$S$494,$A72)</f>
        <v>#DIV/0!</v>
      </c>
      <c r="K72" t="e">
        <f>AVERAGEIFS('Region 19'!$W$2:$W$494,'Region 19'!$A$2:$A$494,K$1,'Region 19'!$X$2:$X$494,$D72,'Region 19'!$S$2:$S$494,$A72)</f>
        <v>#DIV/0!</v>
      </c>
      <c r="L72" t="e">
        <f>AVERAGEIFS('Region 19'!$W$2:$W$494,'Region 19'!$A$2:$A$494,L$1,'Region 19'!$X$2:$X$494,$D72,'Region 19'!$S$2:$S$494,$A72)</f>
        <v>#DIV/0!</v>
      </c>
      <c r="M72" t="e">
        <f>AVERAGEIFS('Region 19'!$W$2:$W$494,'Region 19'!$A$2:$A$494,M$1,'Region 19'!$X$2:$X$494,$D72,'Region 19'!$S$2:$S$494,$A72)</f>
        <v>#DIV/0!</v>
      </c>
      <c r="N72" t="e">
        <f>AVERAGEIFS('Region 19'!$W$2:$W$494,'Region 19'!$A$2:$A$494,N$1,'Region 19'!$X$2:$X$494,$D72,'Region 19'!$S$2:$S$494,$A72)</f>
        <v>#DIV/0!</v>
      </c>
      <c r="Q72" t="str">
        <f t="shared" si="16"/>
        <v>Concrete</v>
      </c>
      <c r="R72" t="str">
        <f t="shared" si="17"/>
        <v>Appartments</v>
      </c>
      <c r="S72">
        <f t="shared" si="18"/>
        <v>19</v>
      </c>
      <c r="T72" t="str">
        <f t="shared" si="21"/>
        <v>-</v>
      </c>
      <c r="U72">
        <f t="shared" si="22"/>
        <v>2319.1767296456533</v>
      </c>
      <c r="V72" t="str">
        <f t="shared" si="23"/>
        <v>-</v>
      </c>
      <c r="W72" t="str">
        <f t="shared" si="24"/>
        <v>-</v>
      </c>
      <c r="X72" t="str">
        <f t="shared" si="25"/>
        <v>-</v>
      </c>
      <c r="Y72" t="str">
        <f t="shared" si="26"/>
        <v>-</v>
      </c>
      <c r="Z72" t="str">
        <f t="shared" si="27"/>
        <v>-</v>
      </c>
      <c r="AA72" t="str">
        <f t="shared" si="28"/>
        <v>-</v>
      </c>
      <c r="AB72" t="str">
        <f t="shared" si="29"/>
        <v>-</v>
      </c>
      <c r="AC72" t="str">
        <f t="shared" si="30"/>
        <v>-</v>
      </c>
    </row>
    <row r="73" spans="1:29" x14ac:dyDescent="0.3">
      <c r="A73" t="s">
        <v>65</v>
      </c>
      <c r="B73" t="s">
        <v>894</v>
      </c>
      <c r="C73">
        <f t="shared" si="20"/>
        <v>20</v>
      </c>
      <c r="D73">
        <v>3</v>
      </c>
      <c r="E73" t="e">
        <f>AVERAGEIFS('Region 20'!$W$2:$W$269,'Region 20'!$A$2:$A$269,E$1,'Region 20'!$X$2:$X$269,$D73,'Region 20'!$S$2:$S$269,$A73)</f>
        <v>#DIV/0!</v>
      </c>
      <c r="F73" t="e">
        <f>AVERAGEIFS('Region 20'!$W$2:$W$269,'Region 20'!$A$2:$A$269,F$1,'Region 20'!$X$2:$X$269,$D73,'Region 20'!$S$2:$S$269,$A73)</f>
        <v>#DIV/0!</v>
      </c>
      <c r="G73" t="e">
        <f>AVERAGEIFS('Region 20'!$W$2:$W$269,'Region 20'!$A$2:$A$269,G$1,'Region 20'!$X$2:$X$269,$D73,'Region 20'!$S$2:$S$269,$A73)</f>
        <v>#DIV/0!</v>
      </c>
      <c r="H73" t="e">
        <f>AVERAGEIFS('Region 20'!$W$2:$W$269,'Region 20'!$A$2:$A$269,H$1,'Region 20'!$X$2:$X$269,$D73,'Region 20'!$S$2:$S$269,$A73)</f>
        <v>#DIV/0!</v>
      </c>
      <c r="I73" t="e">
        <f>AVERAGEIFS('Region 20'!$W$2:$W$269,'Region 20'!$A$2:$A$269,I$1,'Region 20'!$X$2:$X$269,$D73,'Region 20'!$S$2:$S$269,$A73)</f>
        <v>#DIV/0!</v>
      </c>
      <c r="J73" t="e">
        <f>AVERAGEIFS('Region 20'!$W$2:$W$269,'Region 20'!$A$2:$A$269,J$1,'Region 20'!$X$2:$X$269,$D73,'Region 20'!$S$2:$S$269,$A73)</f>
        <v>#DIV/0!</v>
      </c>
      <c r="K73" t="e">
        <f>AVERAGEIFS('Region 20'!$W$2:$W$269,'Region 20'!$A$2:$A$269,K$1,'Region 20'!$X$2:$X$269,$D73,'Region 20'!$S$2:$S$269,$A73)</f>
        <v>#DIV/0!</v>
      </c>
      <c r="L73" t="e">
        <f>AVERAGEIFS('Region 20'!$W$2:$W$269,'Region 20'!$A$2:$A$269,L$1,'Region 20'!$X$2:$X$269,$D73,'Region 20'!$S$2:$S$269,$A73)</f>
        <v>#DIV/0!</v>
      </c>
      <c r="M73" t="e">
        <f>AVERAGEIFS('Region 20'!$W$2:$W$269,'Region 20'!$A$2:$A$269,M$1,'Region 20'!$X$2:$X$269,$D73,'Region 20'!$S$2:$S$269,$A73)</f>
        <v>#DIV/0!</v>
      </c>
      <c r="N73" t="e">
        <f>AVERAGEIFS('Region 20'!$W$2:$W$269,'Region 20'!$A$2:$A$269,N$1,'Region 20'!$X$2:$X$269,$D73,'Region 20'!$S$2:$S$269,$A73)</f>
        <v>#DIV/0!</v>
      </c>
      <c r="Q73" t="str">
        <f t="shared" si="16"/>
        <v>Concrete</v>
      </c>
      <c r="R73" t="str">
        <f t="shared" si="17"/>
        <v>Appartments</v>
      </c>
      <c r="S73">
        <f t="shared" si="18"/>
        <v>20</v>
      </c>
      <c r="T73" t="str">
        <f t="shared" si="21"/>
        <v>-</v>
      </c>
      <c r="U73" t="str">
        <f t="shared" si="22"/>
        <v>-</v>
      </c>
      <c r="V73" t="str">
        <f t="shared" si="23"/>
        <v>-</v>
      </c>
      <c r="W73" t="str">
        <f t="shared" si="24"/>
        <v>-</v>
      </c>
      <c r="X73" t="str">
        <f t="shared" si="25"/>
        <v>-</v>
      </c>
      <c r="Y73" t="str">
        <f t="shared" si="26"/>
        <v>-</v>
      </c>
      <c r="Z73" t="str">
        <f t="shared" si="27"/>
        <v>-</v>
      </c>
      <c r="AA73" t="str">
        <f t="shared" si="28"/>
        <v>-</v>
      </c>
      <c r="AB73" t="str">
        <f t="shared" si="29"/>
        <v>-</v>
      </c>
      <c r="AC73" t="str">
        <f t="shared" si="30"/>
        <v>-</v>
      </c>
    </row>
    <row r="74" spans="1:29" x14ac:dyDescent="0.3">
      <c r="A74" t="s">
        <v>65</v>
      </c>
      <c r="B74" t="s">
        <v>894</v>
      </c>
      <c r="C74">
        <f>C48</f>
        <v>21</v>
      </c>
      <c r="D74">
        <v>3</v>
      </c>
      <c r="E74">
        <f>AVERAGEIFS('Region 21'!$W$2:$W$497,'Region 21'!$A$2:$A$497,E$1,'Region 21'!$X$2:$X$497,$D74,'Region 21'!$S$2:$S$497,$A74)</f>
        <v>1164.02</v>
      </c>
      <c r="F74" t="e">
        <f>AVERAGEIFS('Region 21'!$W$2:$W$497,'Region 21'!$A$2:$A$497,F$1,'Region 21'!$X$2:$X$497,$D74,'Region 21'!$S$2:$S$497,$A74)</f>
        <v>#DIV/0!</v>
      </c>
      <c r="G74" t="e">
        <f>AVERAGEIFS('Region 21'!$W$2:$W$497,'Region 21'!$A$2:$A$497,G$1,'Region 21'!$X$2:$X$497,$D74,'Region 21'!$S$2:$S$497,$A74)</f>
        <v>#DIV/0!</v>
      </c>
      <c r="H74" t="e">
        <f>AVERAGEIFS('Region 21'!$W$2:$W$497,'Region 21'!$A$2:$A$497,H$1,'Region 21'!$X$2:$X$497,$D74,'Region 21'!$S$2:$S$497,$A74)</f>
        <v>#DIV/0!</v>
      </c>
      <c r="I74" t="e">
        <f>AVERAGEIFS('Region 21'!$W$2:$W$497,'Region 21'!$A$2:$A$497,I$1,'Region 21'!$X$2:$X$497,$D74,'Region 21'!$S$2:$S$497,$A74)</f>
        <v>#DIV/0!</v>
      </c>
      <c r="J74" t="e">
        <f>AVERAGEIFS('Region 21'!$W$2:$W$497,'Region 21'!$A$2:$A$497,J$1,'Region 21'!$X$2:$X$497,$D74,'Region 21'!$S$2:$S$497,$A74)</f>
        <v>#DIV/0!</v>
      </c>
      <c r="K74" t="e">
        <f>AVERAGEIFS('Region 21'!$W$2:$W$497,'Region 21'!$A$2:$A$497,K$1,'Region 21'!$X$2:$X$497,$D74,'Region 21'!$S$2:$S$497,$A74)</f>
        <v>#DIV/0!</v>
      </c>
      <c r="L74" t="e">
        <f>AVERAGEIFS('Region 21'!$W$2:$W$497,'Region 21'!$A$2:$A$497,L$1,'Region 21'!$X$2:$X$497,$D74,'Region 21'!$S$2:$S$497,$A74)</f>
        <v>#DIV/0!</v>
      </c>
      <c r="M74" t="e">
        <f>AVERAGEIFS('Region 21'!$W$2:$W$497,'Region 21'!$A$2:$A$497,M$1,'Region 21'!$X$2:$X$497,$D74,'Region 21'!$S$2:$S$497,$A74)</f>
        <v>#DIV/0!</v>
      </c>
      <c r="N74" t="e">
        <f>AVERAGEIFS('Region 21'!$W$2:$W$497,'Region 21'!$A$2:$A$497,N$1,'Region 21'!$X$2:$X$497,$D74,'Region 21'!$S$2:$S$497,$A74)</f>
        <v>#DIV/0!</v>
      </c>
      <c r="Q74" t="str">
        <f t="shared" si="16"/>
        <v>Concrete</v>
      </c>
      <c r="R74" t="str">
        <f t="shared" si="17"/>
        <v>Appartments</v>
      </c>
      <c r="S74">
        <f t="shared" si="18"/>
        <v>21</v>
      </c>
      <c r="T74">
        <f t="shared" si="21"/>
        <v>1164.02</v>
      </c>
      <c r="U74" t="str">
        <f t="shared" si="22"/>
        <v>-</v>
      </c>
      <c r="V74" t="str">
        <f t="shared" si="23"/>
        <v>-</v>
      </c>
      <c r="W74" t="str">
        <f t="shared" si="24"/>
        <v>-</v>
      </c>
      <c r="X74" t="str">
        <f t="shared" si="25"/>
        <v>-</v>
      </c>
      <c r="Y74" t="str">
        <f t="shared" si="26"/>
        <v>-</v>
      </c>
      <c r="Z74" t="str">
        <f t="shared" si="27"/>
        <v>-</v>
      </c>
      <c r="AA74" t="str">
        <f t="shared" si="28"/>
        <v>-</v>
      </c>
      <c r="AB74" t="str">
        <f t="shared" si="29"/>
        <v>-</v>
      </c>
      <c r="AC74" t="str">
        <f t="shared" si="30"/>
        <v>-</v>
      </c>
    </row>
    <row r="75" spans="1:29" x14ac:dyDescent="0.3">
      <c r="A75" t="s">
        <v>65</v>
      </c>
      <c r="B75" t="s">
        <v>894</v>
      </c>
      <c r="C75">
        <f t="shared" si="20"/>
        <v>22</v>
      </c>
      <c r="D75">
        <v>3</v>
      </c>
      <c r="E75" t="e">
        <f>AVERAGEIFS('Region 22'!$W$2:$W$510,'Region 22'!$A$2:$A$510,E$1,'Region 22'!$X$2:$X$510,$D75,'Region 22'!$S$2:$S$510,$A75)</f>
        <v>#DIV/0!</v>
      </c>
      <c r="F75" t="e">
        <f>AVERAGEIFS('Region 22'!$W$2:$W$510,'Region 22'!$A$2:$A$510,F$1,'Region 22'!$X$2:$X$510,$D75,'Region 22'!$S$2:$S$510,$A75)</f>
        <v>#DIV/0!</v>
      </c>
      <c r="G75" t="e">
        <f>AVERAGEIFS('Region 22'!$W$2:$W$510,'Region 22'!$A$2:$A$510,G$1,'Region 22'!$X$2:$X$510,$D75,'Region 22'!$S$2:$S$510,$A75)</f>
        <v>#DIV/0!</v>
      </c>
      <c r="H75" t="e">
        <f>AVERAGEIFS('Region 22'!$W$2:$W$510,'Region 22'!$A$2:$A$510,H$1,'Region 22'!$X$2:$X$510,$D75,'Region 22'!$S$2:$S$510,$A75)</f>
        <v>#DIV/0!</v>
      </c>
      <c r="I75" t="e">
        <f>AVERAGEIFS('Region 22'!$W$2:$W$510,'Region 22'!$A$2:$A$510,I$1,'Region 22'!$X$2:$X$510,$D75,'Region 22'!$S$2:$S$510,$A75)</f>
        <v>#DIV/0!</v>
      </c>
      <c r="J75" t="e">
        <f>AVERAGEIFS('Region 22'!$W$2:$W$510,'Region 22'!$A$2:$A$510,J$1,'Region 22'!$X$2:$X$510,$D75,'Region 22'!$S$2:$S$510,$A75)</f>
        <v>#DIV/0!</v>
      </c>
      <c r="K75" t="e">
        <f>AVERAGEIFS('Region 22'!$W$2:$W$510,'Region 22'!$A$2:$A$510,K$1,'Region 22'!$X$2:$X$510,$D75,'Region 22'!$S$2:$S$510,$A75)</f>
        <v>#DIV/0!</v>
      </c>
      <c r="L75" t="e">
        <f>AVERAGEIFS('Region 22'!$W$2:$W$510,'Region 22'!$A$2:$A$510,L$1,'Region 22'!$X$2:$X$510,$D75,'Region 22'!$S$2:$S$510,$A75)</f>
        <v>#DIV/0!</v>
      </c>
      <c r="M75" t="e">
        <f>AVERAGEIFS('Region 22'!$W$2:$W$510,'Region 22'!$A$2:$A$510,M$1,'Region 22'!$X$2:$X$510,$D75,'Region 22'!$S$2:$S$510,$A75)</f>
        <v>#DIV/0!</v>
      </c>
      <c r="N75" t="e">
        <f>AVERAGEIFS('Region 22'!$W$2:$W$510,'Region 22'!$A$2:$A$510,N$1,'Region 22'!$X$2:$X$510,$D75,'Region 22'!$S$2:$S$510,$A75)</f>
        <v>#DIV/0!</v>
      </c>
      <c r="Q75" t="str">
        <f t="shared" ref="Q75:Q138" si="31">A75</f>
        <v>Concrete</v>
      </c>
      <c r="R75" t="str">
        <f t="shared" ref="R75:R138" si="32">B75</f>
        <v>Appartments</v>
      </c>
      <c r="S75">
        <f t="shared" ref="S75:S138" si="33">C75</f>
        <v>22</v>
      </c>
      <c r="T75" t="str">
        <f t="shared" si="21"/>
        <v>-</v>
      </c>
      <c r="U75" t="str">
        <f t="shared" si="22"/>
        <v>-</v>
      </c>
      <c r="V75" t="str">
        <f t="shared" si="23"/>
        <v>-</v>
      </c>
      <c r="W75" t="str">
        <f t="shared" si="24"/>
        <v>-</v>
      </c>
      <c r="X75" t="str">
        <f t="shared" si="25"/>
        <v>-</v>
      </c>
      <c r="Y75" t="str">
        <f t="shared" si="26"/>
        <v>-</v>
      </c>
      <c r="Z75" t="str">
        <f t="shared" si="27"/>
        <v>-</v>
      </c>
      <c r="AA75" t="str">
        <f t="shared" si="28"/>
        <v>-</v>
      </c>
      <c r="AB75" t="str">
        <f t="shared" si="29"/>
        <v>-</v>
      </c>
      <c r="AC75" t="str">
        <f t="shared" si="30"/>
        <v>-</v>
      </c>
    </row>
    <row r="76" spans="1:29" x14ac:dyDescent="0.3">
      <c r="A76" t="s">
        <v>65</v>
      </c>
      <c r="B76" t="s">
        <v>894</v>
      </c>
      <c r="C76">
        <f t="shared" si="20"/>
        <v>23</v>
      </c>
      <c r="D76">
        <v>3</v>
      </c>
      <c r="E76" t="e">
        <f>AVERAGEIFS('Region 23'!$W$2:$W$468,'Region 23'!$A$2:$A$468,E$1,'Region 23'!$X$2:$X$468,$D76,'Region 23'!$S$2:$S$468,$A76)</f>
        <v>#DIV/0!</v>
      </c>
      <c r="F76" t="e">
        <f>AVERAGEIFS('Region 23'!$W$2:$W$468,'Region 23'!$A$2:$A$468,F$1,'Region 23'!$X$2:$X$468,$D76,'Region 23'!$S$2:$S$468,$A76)</f>
        <v>#DIV/0!</v>
      </c>
      <c r="G76" t="e">
        <f>AVERAGEIFS('Region 23'!$W$2:$W$468,'Region 23'!$A$2:$A$468,G$1,'Region 23'!$X$2:$X$468,$D76,'Region 23'!$S$2:$S$468,$A76)</f>
        <v>#DIV/0!</v>
      </c>
      <c r="H76" t="e">
        <f>AVERAGEIFS('Region 23'!$W$2:$W$468,'Region 23'!$A$2:$A$468,H$1,'Region 23'!$X$2:$X$468,$D76,'Region 23'!$S$2:$S$468,$A76)</f>
        <v>#DIV/0!</v>
      </c>
      <c r="I76" t="e">
        <f>AVERAGEIFS('Region 23'!$W$2:$W$468,'Region 23'!$A$2:$A$468,I$1,'Region 23'!$X$2:$X$468,$D76,'Region 23'!$S$2:$S$468,$A76)</f>
        <v>#DIV/0!</v>
      </c>
      <c r="J76" t="e">
        <f>AVERAGEIFS('Region 23'!$W$2:$W$468,'Region 23'!$A$2:$A$468,J$1,'Region 23'!$X$2:$X$468,$D76,'Region 23'!$S$2:$S$468,$A76)</f>
        <v>#DIV/0!</v>
      </c>
      <c r="K76" t="e">
        <f>AVERAGEIFS('Region 23'!$W$2:$W$468,'Region 23'!$A$2:$A$468,K$1,'Region 23'!$X$2:$X$468,$D76,'Region 23'!$S$2:$S$468,$A76)</f>
        <v>#DIV/0!</v>
      </c>
      <c r="L76" t="e">
        <f>AVERAGEIFS('Region 23'!$W$2:$W$468,'Region 23'!$A$2:$A$468,L$1,'Region 23'!$X$2:$X$468,$D76,'Region 23'!$S$2:$S$468,$A76)</f>
        <v>#DIV/0!</v>
      </c>
      <c r="M76" t="e">
        <f>AVERAGEIFS('Region 23'!$W$2:$W$468,'Region 23'!$A$2:$A$468,M$1,'Region 23'!$X$2:$X$468,$D76,'Region 23'!$S$2:$S$468,$A76)</f>
        <v>#DIV/0!</v>
      </c>
      <c r="N76" t="e">
        <f>AVERAGEIFS('Region 23'!$W$2:$W$468,'Region 23'!$A$2:$A$468,N$1,'Region 23'!$X$2:$X$468,$D76,'Region 23'!$S$2:$S$468,$A76)</f>
        <v>#DIV/0!</v>
      </c>
      <c r="Q76" t="str">
        <f t="shared" si="31"/>
        <v>Concrete</v>
      </c>
      <c r="R76" t="str">
        <f t="shared" si="32"/>
        <v>Appartments</v>
      </c>
      <c r="S76">
        <f t="shared" si="33"/>
        <v>23</v>
      </c>
      <c r="T76" t="str">
        <f t="shared" si="21"/>
        <v>-</v>
      </c>
      <c r="U76" t="str">
        <f t="shared" si="22"/>
        <v>-</v>
      </c>
      <c r="V76" t="str">
        <f t="shared" si="23"/>
        <v>-</v>
      </c>
      <c r="W76" t="str">
        <f t="shared" si="24"/>
        <v>-</v>
      </c>
      <c r="X76" t="str">
        <f t="shared" si="25"/>
        <v>-</v>
      </c>
      <c r="Y76" t="str">
        <f t="shared" si="26"/>
        <v>-</v>
      </c>
      <c r="Z76" t="str">
        <f t="shared" si="27"/>
        <v>-</v>
      </c>
      <c r="AA76" t="str">
        <f t="shared" si="28"/>
        <v>-</v>
      </c>
      <c r="AB76" t="str">
        <f t="shared" si="29"/>
        <v>-</v>
      </c>
      <c r="AC76" t="str">
        <f t="shared" si="30"/>
        <v>-</v>
      </c>
    </row>
    <row r="77" spans="1:29" x14ac:dyDescent="0.3">
      <c r="A77" t="s">
        <v>65</v>
      </c>
      <c r="B77" t="s">
        <v>894</v>
      </c>
      <c r="C77">
        <f t="shared" si="20"/>
        <v>24</v>
      </c>
      <c r="D77">
        <v>3</v>
      </c>
      <c r="E77">
        <f>AVERAGEIFS('Region 24'!$W$2:$W$454,'Region 24'!$A$2:$A$454,E$1,'Region 24'!$X$2:$X$454,$D77,'Region 24'!$S$2:$S$454,$A77)</f>
        <v>701.25370370370376</v>
      </c>
      <c r="F77" t="e">
        <f>AVERAGEIFS('Region 24'!$W$2:$W$454,'Region 24'!$A$2:$A$454,F$1,'Region 24'!$X$2:$X$454,$D77,'Region 24'!$S$2:$S$454,$A77)</f>
        <v>#DIV/0!</v>
      </c>
      <c r="G77" t="e">
        <f>AVERAGEIFS('Region 24'!$W$2:$W$454,'Region 24'!$A$2:$A$454,G$1,'Region 24'!$X$2:$X$454,$D77,'Region 24'!$S$2:$S$454,$A77)</f>
        <v>#DIV/0!</v>
      </c>
      <c r="H77" t="e">
        <f>AVERAGEIFS('Region 24'!$W$2:$W$454,'Region 24'!$A$2:$A$454,H$1,'Region 24'!$X$2:$X$454,$D77,'Region 24'!$S$2:$S$454,$A77)</f>
        <v>#DIV/0!</v>
      </c>
      <c r="I77" t="e">
        <f>AVERAGEIFS('Region 24'!$W$2:$W$454,'Region 24'!$A$2:$A$454,I$1,'Region 24'!$X$2:$X$454,$D77,'Region 24'!$S$2:$S$454,$A77)</f>
        <v>#DIV/0!</v>
      </c>
      <c r="J77" t="e">
        <f>AVERAGEIFS('Region 24'!$W$2:$W$454,'Region 24'!$A$2:$A$454,J$1,'Region 24'!$X$2:$X$454,$D77,'Region 24'!$S$2:$S$454,$A77)</f>
        <v>#DIV/0!</v>
      </c>
      <c r="K77" t="e">
        <f>AVERAGEIFS('Region 24'!$W$2:$W$454,'Region 24'!$A$2:$A$454,K$1,'Region 24'!$X$2:$X$454,$D77,'Region 24'!$S$2:$S$454,$A77)</f>
        <v>#DIV/0!</v>
      </c>
      <c r="L77" t="e">
        <f>AVERAGEIFS('Region 24'!$W$2:$W$454,'Region 24'!$A$2:$A$454,L$1,'Region 24'!$X$2:$X$454,$D77,'Region 24'!$S$2:$S$454,$A77)</f>
        <v>#DIV/0!</v>
      </c>
      <c r="M77" t="e">
        <f>AVERAGEIFS('Region 24'!$W$2:$W$454,'Region 24'!$A$2:$A$454,M$1,'Region 24'!$X$2:$X$454,$D77,'Region 24'!$S$2:$S$454,$A77)</f>
        <v>#DIV/0!</v>
      </c>
      <c r="N77" t="e">
        <f>AVERAGEIFS('Region 24'!$W$2:$W$454,'Region 24'!$A$2:$A$454,N$1,'Region 24'!$X$2:$X$454,$D77,'Region 24'!$S$2:$S$454,$A77)</f>
        <v>#DIV/0!</v>
      </c>
      <c r="Q77" t="str">
        <f t="shared" si="31"/>
        <v>Concrete</v>
      </c>
      <c r="R77" t="str">
        <f t="shared" si="32"/>
        <v>Appartments</v>
      </c>
      <c r="S77">
        <f t="shared" si="33"/>
        <v>24</v>
      </c>
      <c r="T77">
        <f t="shared" si="21"/>
        <v>701.25370370370376</v>
      </c>
      <c r="U77" t="str">
        <f t="shared" si="22"/>
        <v>-</v>
      </c>
      <c r="V77" t="str">
        <f t="shared" si="23"/>
        <v>-</v>
      </c>
      <c r="W77" t="str">
        <f t="shared" si="24"/>
        <v>-</v>
      </c>
      <c r="X77" t="str">
        <f t="shared" si="25"/>
        <v>-</v>
      </c>
      <c r="Y77" t="str">
        <f t="shared" si="26"/>
        <v>-</v>
      </c>
      <c r="Z77" t="str">
        <f t="shared" si="27"/>
        <v>-</v>
      </c>
      <c r="AA77" t="str">
        <f t="shared" si="28"/>
        <v>-</v>
      </c>
      <c r="AB77" t="str">
        <f t="shared" si="29"/>
        <v>-</v>
      </c>
      <c r="AC77" t="str">
        <f t="shared" si="30"/>
        <v>-</v>
      </c>
    </row>
    <row r="78" spans="1:29" x14ac:dyDescent="0.3">
      <c r="A78" t="s">
        <v>65</v>
      </c>
      <c r="B78" t="s">
        <v>894</v>
      </c>
      <c r="C78">
        <f t="shared" si="20"/>
        <v>25</v>
      </c>
      <c r="D78">
        <v>3</v>
      </c>
      <c r="E78" t="e">
        <f>AVERAGEIFS('Region 25'!$W$2:$W$499,'Region 25'!$A$2:$A$499,E$1,'Region 25'!$X$2:$X$499,$D78,'Region 25'!$S$2:$S$499,$A78)</f>
        <v>#DIV/0!</v>
      </c>
      <c r="F78" t="e">
        <f>AVERAGEIFS('Region 25'!$W$2:$W$499,'Region 25'!$A$2:$A$499,F$1,'Region 25'!$X$2:$X$499,$D78,'Region 25'!$S$2:$S$499,$A78)</f>
        <v>#DIV/0!</v>
      </c>
      <c r="G78" t="e">
        <f>AVERAGEIFS('Region 25'!$W$2:$W$499,'Region 25'!$A$2:$A$499,G$1,'Region 25'!$X$2:$X$499,$D78,'Region 25'!$S$2:$S$499,$A78)</f>
        <v>#DIV/0!</v>
      </c>
      <c r="H78" t="e">
        <f>AVERAGEIFS('Region 25'!$W$2:$W$499,'Region 25'!$A$2:$A$499,H$1,'Region 25'!$X$2:$X$499,$D78,'Region 25'!$S$2:$S$499,$A78)</f>
        <v>#DIV/0!</v>
      </c>
      <c r="I78" t="e">
        <f>AVERAGEIFS('Region 25'!$W$2:$W$499,'Region 25'!$A$2:$A$499,I$1,'Region 25'!$X$2:$X$499,$D78,'Region 25'!$S$2:$S$499,$A78)</f>
        <v>#DIV/0!</v>
      </c>
      <c r="J78" t="e">
        <f>AVERAGEIFS('Region 25'!$W$2:$W$499,'Region 25'!$A$2:$A$499,J$1,'Region 25'!$X$2:$X$499,$D78,'Region 25'!$S$2:$S$499,$A78)</f>
        <v>#DIV/0!</v>
      </c>
      <c r="K78" t="e">
        <f>AVERAGEIFS('Region 25'!$W$2:$W$499,'Region 25'!$A$2:$A$499,K$1,'Region 25'!$X$2:$X$499,$D78,'Region 25'!$S$2:$S$499,$A78)</f>
        <v>#DIV/0!</v>
      </c>
      <c r="L78" t="e">
        <f>AVERAGEIFS('Region 25'!$W$2:$W$499,'Region 25'!$A$2:$A$499,L$1,'Region 25'!$X$2:$X$499,$D78,'Region 25'!$S$2:$S$499,$A78)</f>
        <v>#DIV/0!</v>
      </c>
      <c r="M78" t="e">
        <f>AVERAGEIFS('Region 25'!$W$2:$W$499,'Region 25'!$A$2:$A$499,M$1,'Region 25'!$X$2:$X$499,$D78,'Region 25'!$S$2:$S$499,$A78)</f>
        <v>#DIV/0!</v>
      </c>
      <c r="N78" t="e">
        <f>AVERAGEIFS('Region 25'!$W$2:$W$499,'Region 25'!$A$2:$A$499,N$1,'Region 25'!$X$2:$X$499,$D78,'Region 25'!$S$2:$S$499,$A78)</f>
        <v>#DIV/0!</v>
      </c>
      <c r="Q78" t="str">
        <f t="shared" si="31"/>
        <v>Concrete</v>
      </c>
      <c r="R78" t="str">
        <f t="shared" si="32"/>
        <v>Appartments</v>
      </c>
      <c r="S78">
        <f t="shared" si="33"/>
        <v>25</v>
      </c>
      <c r="T78" t="str">
        <f t="shared" si="21"/>
        <v>-</v>
      </c>
      <c r="U78" t="str">
        <f t="shared" si="22"/>
        <v>-</v>
      </c>
      <c r="V78" t="str">
        <f t="shared" si="23"/>
        <v>-</v>
      </c>
      <c r="W78" t="str">
        <f t="shared" si="24"/>
        <v>-</v>
      </c>
      <c r="X78" t="str">
        <f t="shared" si="25"/>
        <v>-</v>
      </c>
      <c r="Y78" t="str">
        <f t="shared" si="26"/>
        <v>-</v>
      </c>
      <c r="Z78" t="str">
        <f t="shared" si="27"/>
        <v>-</v>
      </c>
      <c r="AA78" t="str">
        <f t="shared" si="28"/>
        <v>-</v>
      </c>
      <c r="AB78" t="str">
        <f t="shared" si="29"/>
        <v>-</v>
      </c>
      <c r="AC78" t="str">
        <f t="shared" si="30"/>
        <v>-</v>
      </c>
    </row>
    <row r="79" spans="1:29" x14ac:dyDescent="0.3">
      <c r="A79" t="s">
        <v>65</v>
      </c>
      <c r="B79" t="s">
        <v>894</v>
      </c>
      <c r="C79">
        <f t="shared" si="20"/>
        <v>26</v>
      </c>
      <c r="D79">
        <v>3</v>
      </c>
      <c r="E79" t="e">
        <f ca="1">AVERAGEIFS('Region 26'!$W$2:$W$500,'Region 26'!$A$2:$A$500,E$1,'Region 26'!$X$2:$X$500,$D79,'Region 26'!$S$2:$S$500,$A79)</f>
        <v>#DIV/0!</v>
      </c>
      <c r="F79" t="e">
        <f ca="1">AVERAGEIFS('Region 26'!$W$2:$W$500,'Region 26'!$A$2:$A$500,F$1,'Region 26'!$X$2:$X$500,$D79,'Region 26'!$S$2:$S$500,$A79)</f>
        <v>#DIV/0!</v>
      </c>
      <c r="G79" t="e">
        <f ca="1">AVERAGEIFS('Region 26'!$W$2:$W$500,'Region 26'!$A$2:$A$500,G$1,'Region 26'!$X$2:$X$500,$D79,'Region 26'!$S$2:$S$500,$A79)</f>
        <v>#DIV/0!</v>
      </c>
      <c r="H79" t="e">
        <f ca="1">AVERAGEIFS('Region 26'!$W$2:$W$500,'Region 26'!$A$2:$A$500,H$1,'Region 26'!$X$2:$X$500,$D79,'Region 26'!$S$2:$S$500,$A79)</f>
        <v>#DIV/0!</v>
      </c>
      <c r="I79" t="e">
        <f ca="1">AVERAGEIFS('Region 26'!$W$2:$W$500,'Region 26'!$A$2:$A$500,I$1,'Region 26'!$X$2:$X$500,$D79,'Region 26'!$S$2:$S$500,$A79)</f>
        <v>#DIV/0!</v>
      </c>
      <c r="J79" t="e">
        <f ca="1">AVERAGEIFS('Region 26'!$W$2:$W$500,'Region 26'!$A$2:$A$500,J$1,'Region 26'!$X$2:$X$500,$D79,'Region 26'!$S$2:$S$500,$A79)</f>
        <v>#DIV/0!</v>
      </c>
      <c r="K79" t="e">
        <f ca="1">AVERAGEIFS('Region 26'!$W$2:$W$500,'Region 26'!$A$2:$A$500,K$1,'Region 26'!$X$2:$X$500,$D79,'Region 26'!$S$2:$S$500,$A79)</f>
        <v>#DIV/0!</v>
      </c>
      <c r="L79" t="e">
        <f ca="1">AVERAGEIFS('Region 26'!$W$2:$W$500,'Region 26'!$A$2:$A$500,L$1,'Region 26'!$X$2:$X$500,$D79,'Region 26'!$S$2:$S$500,$A79)</f>
        <v>#DIV/0!</v>
      </c>
      <c r="M79" t="e">
        <f ca="1">AVERAGEIFS('Region 26'!$W$2:$W$500,'Region 26'!$A$2:$A$500,M$1,'Region 26'!$X$2:$X$500,$D79,'Region 26'!$S$2:$S$500,$A79)</f>
        <v>#DIV/0!</v>
      </c>
      <c r="N79" t="e">
        <f ca="1">AVERAGEIFS('Region 26'!$W$2:$W$500,'Region 26'!$A$2:$A$500,N$1,'Region 26'!$X$2:$X$500,$D79,'Region 26'!$S$2:$S$500,$A79)</f>
        <v>#DIV/0!</v>
      </c>
      <c r="Q79" t="str">
        <f t="shared" si="31"/>
        <v>Concrete</v>
      </c>
      <c r="R79" t="str">
        <f t="shared" si="32"/>
        <v>Appartments</v>
      </c>
      <c r="S79">
        <f t="shared" si="33"/>
        <v>26</v>
      </c>
      <c r="T79" t="str">
        <f t="shared" ca="1" si="21"/>
        <v>-</v>
      </c>
      <c r="U79" t="str">
        <f t="shared" ca="1" si="22"/>
        <v>-</v>
      </c>
      <c r="V79" t="str">
        <f t="shared" ca="1" si="23"/>
        <v>-</v>
      </c>
      <c r="W79" t="str">
        <f t="shared" ca="1" si="24"/>
        <v>-</v>
      </c>
      <c r="X79" t="str">
        <f t="shared" ca="1" si="25"/>
        <v>-</v>
      </c>
      <c r="Y79" t="str">
        <f t="shared" ca="1" si="26"/>
        <v>-</v>
      </c>
      <c r="Z79" t="str">
        <f t="shared" ca="1" si="27"/>
        <v>-</v>
      </c>
      <c r="AA79" t="str">
        <f t="shared" ca="1" si="28"/>
        <v>-</v>
      </c>
      <c r="AB79" t="str">
        <f t="shared" ca="1" si="29"/>
        <v>-</v>
      </c>
      <c r="AC79" t="str">
        <f t="shared" ca="1" si="30"/>
        <v>-</v>
      </c>
    </row>
    <row r="80" spans="1:29" x14ac:dyDescent="0.3">
      <c r="A80" t="s">
        <v>65</v>
      </c>
      <c r="B80" t="s">
        <v>895</v>
      </c>
      <c r="C80">
        <f t="shared" si="20"/>
        <v>1</v>
      </c>
      <c r="D80">
        <v>4</v>
      </c>
      <c r="E80" t="e">
        <f>AVERAGEIFS('Region 1'!$W$2:$W$498,'Region 1'!$A$2:$A$498,E$1,'Region 1'!$X$2:$X$498,$D80,'Region 1'!$S$2:$S$498,$A80)</f>
        <v>#DIV/0!</v>
      </c>
      <c r="F80">
        <f>AVERAGEIFS('Region 1'!$W$2:$W$498,'Region 1'!$A$2:$A$498,F$1,'Region 1'!$X$2:$X$498,$D80,'Region 1'!$S$2:$S$498,$A80)</f>
        <v>1040.3472222222222</v>
      </c>
      <c r="G80" t="e">
        <f>AVERAGEIFS('Region 1'!$W$2:$W$498,'Region 1'!$A$2:$A$498,G$1,'Region 1'!$X$2:$X$498,$D80,'Region 1'!$S$2:$S$498,$A80)</f>
        <v>#DIV/0!</v>
      </c>
      <c r="H80" t="e">
        <f>AVERAGEIFS('Region 1'!$W$2:$W$498,'Region 1'!$A$2:$A$498,H$1,'Region 1'!$X$2:$X$498,$D80,'Region 1'!$S$2:$S$498,$A80)</f>
        <v>#DIV/0!</v>
      </c>
      <c r="I80" t="e">
        <f>AVERAGEIFS('Region 1'!$W$2:$W$498,'Region 1'!$A$2:$A$498,I$1,'Region 1'!$X$2:$X$498,$D80,'Region 1'!$S$2:$S$498,$A80)</f>
        <v>#DIV/0!</v>
      </c>
      <c r="J80" t="e">
        <f>AVERAGEIFS('Region 1'!$W$2:$W$498,'Region 1'!$A$2:$A$498,J$1,'Region 1'!$X$2:$X$498,$D80,'Region 1'!$S$2:$S$498,$A80)</f>
        <v>#DIV/0!</v>
      </c>
      <c r="K80" t="e">
        <f>AVERAGEIFS('Region 1'!$W$2:$W$498,'Region 1'!$A$2:$A$498,K$1,'Region 1'!$X$2:$X$498,$D80,'Region 1'!$S$2:$S$498,$A80)</f>
        <v>#DIV/0!</v>
      </c>
      <c r="L80" t="e">
        <f>AVERAGEIFS('Region 1'!$W$2:$W$498,'Region 1'!$A$2:$A$498,L$1,'Region 1'!$X$2:$X$498,$D80,'Region 1'!$S$2:$S$498,$A80)</f>
        <v>#DIV/0!</v>
      </c>
      <c r="M80" t="e">
        <f>AVERAGEIFS('Region 1'!$W$2:$W$498,'Region 1'!$A$2:$A$498,M$1,'Region 1'!$X$2:$X$498,$D80,'Region 1'!$S$2:$S$498,$A80)</f>
        <v>#DIV/0!</v>
      </c>
      <c r="N80" t="e">
        <f>AVERAGEIFS('Region 1'!$W$2:$W$498,'Region 1'!$A$2:$A$498,N$1,'Region 1'!$X$2:$X$498,$D80,'Region 1'!$S$2:$S$498,$A80)</f>
        <v>#DIV/0!</v>
      </c>
      <c r="Q80" t="str">
        <f t="shared" si="31"/>
        <v>Concrete</v>
      </c>
      <c r="R80" t="str">
        <f t="shared" si="32"/>
        <v>High-rise</v>
      </c>
      <c r="S80">
        <f t="shared" si="33"/>
        <v>1</v>
      </c>
      <c r="T80" t="str">
        <f t="shared" si="21"/>
        <v>-</v>
      </c>
      <c r="U80">
        <f t="shared" si="22"/>
        <v>1040.3472222222222</v>
      </c>
      <c r="V80" t="str">
        <f t="shared" si="23"/>
        <v>-</v>
      </c>
      <c r="W80" t="str">
        <f t="shared" si="24"/>
        <v>-</v>
      </c>
      <c r="X80" t="str">
        <f t="shared" si="25"/>
        <v>-</v>
      </c>
      <c r="Y80" t="str">
        <f t="shared" si="26"/>
        <v>-</v>
      </c>
      <c r="Z80" t="str">
        <f t="shared" si="27"/>
        <v>-</v>
      </c>
      <c r="AA80" t="str">
        <f t="shared" si="28"/>
        <v>-</v>
      </c>
      <c r="AB80" t="str">
        <f t="shared" si="29"/>
        <v>-</v>
      </c>
      <c r="AC80" t="str">
        <f t="shared" si="30"/>
        <v>-</v>
      </c>
    </row>
    <row r="81" spans="1:29" x14ac:dyDescent="0.3">
      <c r="A81" t="s">
        <v>65</v>
      </c>
      <c r="B81" t="s">
        <v>895</v>
      </c>
      <c r="C81">
        <f t="shared" si="20"/>
        <v>2</v>
      </c>
      <c r="D81">
        <v>4</v>
      </c>
      <c r="E81" t="e">
        <f>AVERAGEIFS('Region 2'!$W$2:$W$498,'Region 2'!$A$2:$A$498,E$1,'Region 2'!$X$2:$X$498,$D81,'Region 2'!$S$2:$S$498,$A81)</f>
        <v>#DIV/0!</v>
      </c>
      <c r="F81" t="e">
        <f>AVERAGEIFS('Region 2'!$W$2:$W$498,'Region 2'!$A$2:$A$498,F$1,'Region 2'!$X$2:$X$498,$D81,'Region 2'!$S$2:$S$498,$A81)</f>
        <v>#DIV/0!</v>
      </c>
      <c r="G81">
        <f>AVERAGEIFS('Region 2'!$W$2:$W$498,'Region 2'!$A$2:$A$498,G$1,'Region 2'!$X$2:$X$498,$D81,'Region 2'!$S$2:$S$498,$A81)</f>
        <v>265.24459219426546</v>
      </c>
      <c r="H81" t="e">
        <f>AVERAGEIFS('Region 2'!$W$2:$W$498,'Region 2'!$A$2:$A$498,H$1,'Region 2'!$X$2:$X$498,$D81,'Region 2'!$S$2:$S$498,$A81)</f>
        <v>#DIV/0!</v>
      </c>
      <c r="I81" t="e">
        <f>AVERAGEIFS('Region 2'!$W$2:$W$498,'Region 2'!$A$2:$A$498,I$1,'Region 2'!$X$2:$X$498,$D81,'Region 2'!$S$2:$S$498,$A81)</f>
        <v>#DIV/0!</v>
      </c>
      <c r="J81" t="e">
        <f>AVERAGEIFS('Region 2'!$W$2:$W$498,'Region 2'!$A$2:$A$498,J$1,'Region 2'!$X$2:$X$498,$D81,'Region 2'!$S$2:$S$498,$A81)</f>
        <v>#DIV/0!</v>
      </c>
      <c r="K81" t="e">
        <f>AVERAGEIFS('Region 2'!$W$2:$W$498,'Region 2'!$A$2:$A$498,K$1,'Region 2'!$X$2:$X$498,$D81,'Region 2'!$S$2:$S$498,$A81)</f>
        <v>#DIV/0!</v>
      </c>
      <c r="L81" t="e">
        <f>AVERAGEIFS('Region 2'!$W$2:$W$498,'Region 2'!$A$2:$A$498,L$1,'Region 2'!$X$2:$X$498,$D81,'Region 2'!$S$2:$S$498,$A81)</f>
        <v>#DIV/0!</v>
      </c>
      <c r="M81" t="e">
        <f>AVERAGEIFS('Region 2'!$W$2:$W$498,'Region 2'!$A$2:$A$498,M$1,'Region 2'!$X$2:$X$498,$D81,'Region 2'!$S$2:$S$498,$A81)</f>
        <v>#DIV/0!</v>
      </c>
      <c r="N81" t="e">
        <f>AVERAGEIFS('Region 2'!$W$2:$W$498,'Region 2'!$A$2:$A$498,N$1,'Region 2'!$X$2:$X$498,$D81,'Region 2'!$S$2:$S$498,$A81)</f>
        <v>#DIV/0!</v>
      </c>
      <c r="Q81" t="str">
        <f t="shared" si="31"/>
        <v>Concrete</v>
      </c>
      <c r="R81" t="str">
        <f t="shared" si="32"/>
        <v>High-rise</v>
      </c>
      <c r="S81">
        <f t="shared" si="33"/>
        <v>2</v>
      </c>
      <c r="T81" t="str">
        <f t="shared" si="21"/>
        <v>-</v>
      </c>
      <c r="U81" t="str">
        <f t="shared" si="22"/>
        <v>-</v>
      </c>
      <c r="V81">
        <f t="shared" si="23"/>
        <v>265.24459219426546</v>
      </c>
      <c r="W81" t="str">
        <f t="shared" si="24"/>
        <v>-</v>
      </c>
      <c r="X81" t="str">
        <f t="shared" si="25"/>
        <v>-</v>
      </c>
      <c r="Y81" t="str">
        <f t="shared" si="26"/>
        <v>-</v>
      </c>
      <c r="Z81" t="str">
        <f t="shared" si="27"/>
        <v>-</v>
      </c>
      <c r="AA81" t="str">
        <f t="shared" si="28"/>
        <v>-</v>
      </c>
      <c r="AB81" t="str">
        <f t="shared" si="29"/>
        <v>-</v>
      </c>
      <c r="AC81" t="str">
        <f t="shared" si="30"/>
        <v>-</v>
      </c>
    </row>
    <row r="82" spans="1:29" x14ac:dyDescent="0.3">
      <c r="A82" t="s">
        <v>65</v>
      </c>
      <c r="B82" t="s">
        <v>895</v>
      </c>
      <c r="C82">
        <f t="shared" si="20"/>
        <v>3</v>
      </c>
      <c r="D82">
        <v>4</v>
      </c>
      <c r="E82" t="e">
        <f ca="1">AVERAGEIFS('Region 3'!$W$2:$W$500,'Region 3'!$A$2:$A$500,E$1,'Region 3'!$X$2:$X$500,$D82,'Region 3'!$S$2:$S$500,$A82)</f>
        <v>#DIV/0!</v>
      </c>
      <c r="F82" t="e">
        <f ca="1">AVERAGEIFS('Region 3'!$W$2:$W$500,'Region 3'!$A$2:$A$500,F$1,'Region 3'!$X$2:$X$500,$D82,'Region 3'!$S$2:$S$500,$A82)</f>
        <v>#DIV/0!</v>
      </c>
      <c r="G82" t="e">
        <f ca="1">AVERAGEIFS('Region 3'!$W$2:$W$500,'Region 3'!$A$2:$A$500,G$1,'Region 3'!$X$2:$X$500,$D82,'Region 3'!$S$2:$S$500,$A82)</f>
        <v>#DIV/0!</v>
      </c>
      <c r="H82" t="e">
        <f ca="1">AVERAGEIFS('Region 3'!$W$2:$W$500,'Region 3'!$A$2:$A$500,H$1,'Region 3'!$X$2:$X$500,$D82,'Region 3'!$S$2:$S$500,$A82)</f>
        <v>#DIV/0!</v>
      </c>
      <c r="I82" t="e">
        <f ca="1">AVERAGEIFS('Region 3'!$W$2:$W$500,'Region 3'!$A$2:$A$500,I$1,'Region 3'!$X$2:$X$500,$D82,'Region 3'!$S$2:$S$500,$A82)</f>
        <v>#DIV/0!</v>
      </c>
      <c r="J82" t="e">
        <f ca="1">AVERAGEIFS('Region 3'!$W$2:$W$500,'Region 3'!$A$2:$A$500,J$1,'Region 3'!$X$2:$X$500,$D82,'Region 3'!$S$2:$S$500,$A82)</f>
        <v>#DIV/0!</v>
      </c>
      <c r="K82" t="e">
        <f ca="1">AVERAGEIFS('Region 3'!$W$2:$W$500,'Region 3'!$A$2:$A$500,K$1,'Region 3'!$X$2:$X$500,$D82,'Region 3'!$S$2:$S$500,$A82)</f>
        <v>#DIV/0!</v>
      </c>
      <c r="L82" t="e">
        <f ca="1">AVERAGEIFS('Region 3'!$W$2:$W$500,'Region 3'!$A$2:$A$500,L$1,'Region 3'!$X$2:$X$500,$D82,'Region 3'!$S$2:$S$500,$A82)</f>
        <v>#DIV/0!</v>
      </c>
      <c r="M82" t="e">
        <f ca="1">AVERAGEIFS('Region 3'!$W$2:$W$500,'Region 3'!$A$2:$A$500,M$1,'Region 3'!$X$2:$X$500,$D82,'Region 3'!$S$2:$S$500,$A82)</f>
        <v>#DIV/0!</v>
      </c>
      <c r="N82" t="e">
        <f ca="1">AVERAGEIFS('Region 3'!$W$2:$W$500,'Region 3'!$A$2:$A$500,N$1,'Region 3'!$X$2:$X$500,$D82,'Region 3'!$S$2:$S$500,$A82)</f>
        <v>#DIV/0!</v>
      </c>
      <c r="Q82" t="str">
        <f t="shared" si="31"/>
        <v>Concrete</v>
      </c>
      <c r="R82" t="str">
        <f t="shared" si="32"/>
        <v>High-rise</v>
      </c>
      <c r="S82">
        <f t="shared" si="33"/>
        <v>3</v>
      </c>
      <c r="T82" t="str">
        <f t="shared" ca="1" si="21"/>
        <v>-</v>
      </c>
      <c r="U82" t="str">
        <f t="shared" ca="1" si="22"/>
        <v>-</v>
      </c>
      <c r="V82" t="str">
        <f t="shared" ca="1" si="23"/>
        <v>-</v>
      </c>
      <c r="W82" t="str">
        <f t="shared" ca="1" si="24"/>
        <v>-</v>
      </c>
      <c r="X82" t="str">
        <f t="shared" ca="1" si="25"/>
        <v>-</v>
      </c>
      <c r="Y82" t="str">
        <f t="shared" ca="1" si="26"/>
        <v>-</v>
      </c>
      <c r="Z82" t="str">
        <f t="shared" ca="1" si="27"/>
        <v>-</v>
      </c>
      <c r="AA82" t="str">
        <f t="shared" ca="1" si="28"/>
        <v>-</v>
      </c>
      <c r="AB82" t="str">
        <f t="shared" ca="1" si="29"/>
        <v>-</v>
      </c>
      <c r="AC82" t="str">
        <f t="shared" ca="1" si="30"/>
        <v>-</v>
      </c>
    </row>
    <row r="83" spans="1:29" x14ac:dyDescent="0.3">
      <c r="A83" t="s">
        <v>65</v>
      </c>
      <c r="B83" t="s">
        <v>895</v>
      </c>
      <c r="C83">
        <f t="shared" si="20"/>
        <v>4</v>
      </c>
      <c r="D83">
        <v>4</v>
      </c>
      <c r="E83" t="e">
        <f>AVERAGEIFS('Region 4'!$W$2:$W$10,'Region 4'!$A$2:$A$10,E$1,'Region 4'!$X$2:$X$10,$D83,'Region 4'!$S$2:$S$10,$A83)</f>
        <v>#DIV/0!</v>
      </c>
      <c r="F83" t="e">
        <f>AVERAGEIFS('Region 4'!$W$2:$W$10,'Region 4'!$A$2:$A$10,F$1,'Region 4'!$X$2:$X$10,$D83,'Region 4'!$S$2:$S$10,$A83)</f>
        <v>#DIV/0!</v>
      </c>
      <c r="G83" t="e">
        <f>AVERAGEIFS('Region 4'!$W$2:$W$10,'Region 4'!$A$2:$A$10,G$1,'Region 4'!$X$2:$X$10,$D83,'Region 4'!$S$2:$S$10,$A83)</f>
        <v>#DIV/0!</v>
      </c>
      <c r="H83" t="e">
        <f>AVERAGEIFS('Region 4'!$W$2:$W$10,'Region 4'!$A$2:$A$10,H$1,'Region 4'!$X$2:$X$10,$D83,'Region 4'!$S$2:$S$10,$A83)</f>
        <v>#DIV/0!</v>
      </c>
      <c r="I83" t="e">
        <f>AVERAGEIFS('Region 4'!$W$2:$W$10,'Region 4'!$A$2:$A$10,I$1,'Region 4'!$X$2:$X$10,$D83,'Region 4'!$S$2:$S$10,$A83)</f>
        <v>#DIV/0!</v>
      </c>
      <c r="J83" t="e">
        <f>AVERAGEIFS('Region 4'!$W$2:$W$10,'Region 4'!$A$2:$A$10,J$1,'Region 4'!$X$2:$X$10,$D83,'Region 4'!$S$2:$S$10,$A83)</f>
        <v>#DIV/0!</v>
      </c>
      <c r="K83" t="e">
        <f>AVERAGEIFS('Region 4'!$W$2:$W$10,'Region 4'!$A$2:$A$10,K$1,'Region 4'!$X$2:$X$10,$D83,'Region 4'!$S$2:$S$10,$A83)</f>
        <v>#DIV/0!</v>
      </c>
      <c r="L83" t="e">
        <f>AVERAGEIFS('Region 4'!$W$2:$W$10,'Region 4'!$A$2:$A$10,L$1,'Region 4'!$X$2:$X$10,$D83,'Region 4'!$S$2:$S$10,$A83)</f>
        <v>#DIV/0!</v>
      </c>
      <c r="M83" t="e">
        <f>AVERAGEIFS('Region 4'!$W$2:$W$10,'Region 4'!$A$2:$A$10,M$1,'Region 4'!$X$2:$X$10,$D83,'Region 4'!$S$2:$S$10,$A83)</f>
        <v>#DIV/0!</v>
      </c>
      <c r="N83" t="e">
        <f>AVERAGEIFS('Region 4'!$W$2:$W$10,'Region 4'!$A$2:$A$10,N$1,'Region 4'!$X$2:$X$10,$D83,'Region 4'!$S$2:$S$10,$A83)</f>
        <v>#DIV/0!</v>
      </c>
      <c r="Q83" t="str">
        <f t="shared" si="31"/>
        <v>Concrete</v>
      </c>
      <c r="R83" t="str">
        <f t="shared" si="32"/>
        <v>High-rise</v>
      </c>
      <c r="S83">
        <f t="shared" si="33"/>
        <v>4</v>
      </c>
      <c r="T83" t="str">
        <f t="shared" si="21"/>
        <v>-</v>
      </c>
      <c r="U83" t="str">
        <f t="shared" si="22"/>
        <v>-</v>
      </c>
      <c r="V83" t="str">
        <f t="shared" si="23"/>
        <v>-</v>
      </c>
      <c r="W83" t="str">
        <f t="shared" si="24"/>
        <v>-</v>
      </c>
      <c r="X83" t="str">
        <f t="shared" si="25"/>
        <v>-</v>
      </c>
      <c r="Y83" t="str">
        <f t="shared" si="26"/>
        <v>-</v>
      </c>
      <c r="Z83" t="str">
        <f t="shared" si="27"/>
        <v>-</v>
      </c>
      <c r="AA83" t="str">
        <f t="shared" si="28"/>
        <v>-</v>
      </c>
      <c r="AB83" t="str">
        <f t="shared" si="29"/>
        <v>-</v>
      </c>
      <c r="AC83" t="str">
        <f t="shared" si="30"/>
        <v>-</v>
      </c>
    </row>
    <row r="84" spans="1:29" x14ac:dyDescent="0.3">
      <c r="A84" t="s">
        <v>65</v>
      </c>
      <c r="B84" t="s">
        <v>895</v>
      </c>
      <c r="C84">
        <f t="shared" si="20"/>
        <v>5</v>
      </c>
      <c r="D84">
        <v>4</v>
      </c>
      <c r="E84">
        <f>AVERAGEIFS('Region 5'!$W$2:$W$496,'Region 5'!$A$2:$A$496,E$1,'Region 5'!$X$2:$X$496,$D84,'Region 5'!$S$2:$S$496,$A84)</f>
        <v>730.84687633019155</v>
      </c>
      <c r="F84">
        <f>AVERAGEIFS('Region 5'!$W$2:$W$496,'Region 5'!$A$2:$A$496,F$1,'Region 5'!$X$2:$X$496,$D84,'Region 5'!$S$2:$S$496,$A84)</f>
        <v>531.41999999999996</v>
      </c>
      <c r="G84" t="e">
        <f>AVERAGEIFS('Region 5'!$W$2:$W$496,'Region 5'!$A$2:$A$496,G$1,'Region 5'!$X$2:$X$496,$D84,'Region 5'!$S$2:$S$496,$A84)</f>
        <v>#DIV/0!</v>
      </c>
      <c r="H84" t="e">
        <f>AVERAGEIFS('Region 5'!$W$2:$W$496,'Region 5'!$A$2:$A$496,H$1,'Region 5'!$X$2:$X$496,$D84,'Region 5'!$S$2:$S$496,$A84)</f>
        <v>#DIV/0!</v>
      </c>
      <c r="I84" t="e">
        <f>AVERAGEIFS('Region 5'!$W$2:$W$496,'Region 5'!$A$2:$A$496,I$1,'Region 5'!$X$2:$X$496,$D84,'Region 5'!$S$2:$S$496,$A84)</f>
        <v>#DIV/0!</v>
      </c>
      <c r="J84" t="e">
        <f>AVERAGEIFS('Region 5'!$W$2:$W$496,'Region 5'!$A$2:$A$496,J$1,'Region 5'!$X$2:$X$496,$D84,'Region 5'!$S$2:$S$496,$A84)</f>
        <v>#DIV/0!</v>
      </c>
      <c r="K84" t="e">
        <f>AVERAGEIFS('Region 5'!$W$2:$W$496,'Region 5'!$A$2:$A$496,K$1,'Region 5'!$X$2:$X$496,$D84,'Region 5'!$S$2:$S$496,$A84)</f>
        <v>#DIV/0!</v>
      </c>
      <c r="L84" t="e">
        <f>AVERAGEIFS('Region 5'!$W$2:$W$496,'Region 5'!$A$2:$A$496,L$1,'Region 5'!$X$2:$X$496,$D84,'Region 5'!$S$2:$S$496,$A84)</f>
        <v>#DIV/0!</v>
      </c>
      <c r="M84" t="e">
        <f>AVERAGEIFS('Region 5'!$W$2:$W$496,'Region 5'!$A$2:$A$496,M$1,'Region 5'!$X$2:$X$496,$D84,'Region 5'!$S$2:$S$496,$A84)</f>
        <v>#DIV/0!</v>
      </c>
      <c r="N84" t="e">
        <f>AVERAGEIFS('Region 5'!$W$2:$W$496,'Region 5'!$A$2:$A$496,N$1,'Region 5'!$X$2:$X$496,$D84,'Region 5'!$S$2:$S$496,$A84)</f>
        <v>#DIV/0!</v>
      </c>
      <c r="Q84" t="str">
        <f t="shared" si="31"/>
        <v>Concrete</v>
      </c>
      <c r="R84" t="str">
        <f t="shared" si="32"/>
        <v>High-rise</v>
      </c>
      <c r="S84">
        <f t="shared" si="33"/>
        <v>5</v>
      </c>
      <c r="T84">
        <f t="shared" si="21"/>
        <v>730.84687633019155</v>
      </c>
      <c r="U84">
        <f t="shared" si="22"/>
        <v>531.41999999999996</v>
      </c>
      <c r="V84" t="str">
        <f t="shared" si="23"/>
        <v>-</v>
      </c>
      <c r="W84" t="str">
        <f t="shared" si="24"/>
        <v>-</v>
      </c>
      <c r="X84" t="str">
        <f t="shared" si="25"/>
        <v>-</v>
      </c>
      <c r="Y84" t="str">
        <f t="shared" si="26"/>
        <v>-</v>
      </c>
      <c r="Z84" t="str">
        <f t="shared" si="27"/>
        <v>-</v>
      </c>
      <c r="AA84" t="str">
        <f t="shared" si="28"/>
        <v>-</v>
      </c>
      <c r="AB84" t="str">
        <f t="shared" si="29"/>
        <v>-</v>
      </c>
      <c r="AC84" t="str">
        <f t="shared" si="30"/>
        <v>-</v>
      </c>
    </row>
    <row r="85" spans="1:29" x14ac:dyDescent="0.3">
      <c r="A85" t="s">
        <v>65</v>
      </c>
      <c r="B85" t="s">
        <v>895</v>
      </c>
      <c r="C85">
        <f t="shared" si="20"/>
        <v>6</v>
      </c>
      <c r="D85">
        <v>4</v>
      </c>
      <c r="E85" t="e">
        <f>AVERAGEIFS('Region 6'!$W$2:$W$496,'Region 6'!$A$2:$A$496,E$1,'Region 6'!$X$2:$X$496,$D85,'Region 6'!$S$2:$S$496,$A85)</f>
        <v>#DIV/0!</v>
      </c>
      <c r="F85" t="e">
        <f>AVERAGEIFS('Region 6'!$W$2:$W$496,'Region 6'!$A$2:$A$496,F$1,'Region 6'!$X$2:$X$496,$D85,'Region 6'!$S$2:$S$496,$A85)</f>
        <v>#DIV/0!</v>
      </c>
      <c r="G85" t="e">
        <f>AVERAGEIFS('Region 6'!$W$2:$W$496,'Region 6'!$A$2:$A$496,G$1,'Region 6'!$X$2:$X$496,$D85,'Region 6'!$S$2:$S$496,$A85)</f>
        <v>#DIV/0!</v>
      </c>
      <c r="H85" t="e">
        <f>AVERAGEIFS('Region 6'!$W$2:$W$496,'Region 6'!$A$2:$A$496,H$1,'Region 6'!$X$2:$X$496,$D85,'Region 6'!$S$2:$S$496,$A85)</f>
        <v>#DIV/0!</v>
      </c>
      <c r="I85" t="e">
        <f>AVERAGEIFS('Region 6'!$W$2:$W$496,'Region 6'!$A$2:$A$496,I$1,'Region 6'!$X$2:$X$496,$D85,'Region 6'!$S$2:$S$496,$A85)</f>
        <v>#DIV/0!</v>
      </c>
      <c r="J85" t="e">
        <f>AVERAGEIFS('Region 6'!$W$2:$W$496,'Region 6'!$A$2:$A$496,J$1,'Region 6'!$X$2:$X$496,$D85,'Region 6'!$S$2:$S$496,$A85)</f>
        <v>#DIV/0!</v>
      </c>
      <c r="K85" t="e">
        <f>AVERAGEIFS('Region 6'!$W$2:$W$496,'Region 6'!$A$2:$A$496,K$1,'Region 6'!$X$2:$X$496,$D85,'Region 6'!$S$2:$S$496,$A85)</f>
        <v>#DIV/0!</v>
      </c>
      <c r="L85" t="e">
        <f>AVERAGEIFS('Region 6'!$W$2:$W$496,'Region 6'!$A$2:$A$496,L$1,'Region 6'!$X$2:$X$496,$D85,'Region 6'!$S$2:$S$496,$A85)</f>
        <v>#DIV/0!</v>
      </c>
      <c r="M85" t="e">
        <f>AVERAGEIFS('Region 6'!$W$2:$W$496,'Region 6'!$A$2:$A$496,M$1,'Region 6'!$X$2:$X$496,$D85,'Region 6'!$S$2:$S$496,$A85)</f>
        <v>#DIV/0!</v>
      </c>
      <c r="N85" t="e">
        <f>AVERAGEIFS('Region 6'!$W$2:$W$496,'Region 6'!$A$2:$A$496,N$1,'Region 6'!$X$2:$X$496,$D85,'Region 6'!$S$2:$S$496,$A85)</f>
        <v>#DIV/0!</v>
      </c>
      <c r="Q85" t="str">
        <f t="shared" si="31"/>
        <v>Concrete</v>
      </c>
      <c r="R85" t="str">
        <f t="shared" si="32"/>
        <v>High-rise</v>
      </c>
      <c r="S85">
        <f t="shared" si="33"/>
        <v>6</v>
      </c>
      <c r="T85" t="str">
        <f t="shared" si="21"/>
        <v>-</v>
      </c>
      <c r="U85" t="str">
        <f t="shared" si="22"/>
        <v>-</v>
      </c>
      <c r="V85" t="str">
        <f t="shared" si="23"/>
        <v>-</v>
      </c>
      <c r="W85" t="str">
        <f t="shared" si="24"/>
        <v>-</v>
      </c>
      <c r="X85" t="str">
        <f t="shared" si="25"/>
        <v>-</v>
      </c>
      <c r="Y85" t="str">
        <f t="shared" si="26"/>
        <v>-</v>
      </c>
      <c r="Z85" t="str">
        <f t="shared" si="27"/>
        <v>-</v>
      </c>
      <c r="AA85" t="str">
        <f t="shared" si="28"/>
        <v>-</v>
      </c>
      <c r="AB85" t="str">
        <f t="shared" si="29"/>
        <v>-</v>
      </c>
      <c r="AC85" t="str">
        <f t="shared" si="30"/>
        <v>-</v>
      </c>
    </row>
    <row r="86" spans="1:29" x14ac:dyDescent="0.3">
      <c r="A86" t="s">
        <v>65</v>
      </c>
      <c r="B86" t="s">
        <v>895</v>
      </c>
      <c r="C86">
        <f t="shared" si="20"/>
        <v>7</v>
      </c>
      <c r="D86">
        <v>4</v>
      </c>
      <c r="E86" t="e">
        <f ca="1">AVERAGEIFS('Region 7'!$W$2:$W$500,'Region 7'!$A$2:$A$500,E$1,'Region 7'!$X$2:$X$500,$D86,'Region 7'!$S$2:$S$500,$A86)</f>
        <v>#DIV/0!</v>
      </c>
      <c r="F86" t="e">
        <f ca="1">AVERAGEIFS('Region 7'!$W$2:$W$500,'Region 7'!$A$2:$A$500,F$1,'Region 7'!$X$2:$X$500,$D86,'Region 7'!$S$2:$S$500,$A86)</f>
        <v>#DIV/0!</v>
      </c>
      <c r="G86" t="e">
        <f ca="1">AVERAGEIFS('Region 7'!$W$2:$W$500,'Region 7'!$A$2:$A$500,G$1,'Region 7'!$X$2:$X$500,$D86,'Region 7'!$S$2:$S$500,$A86)</f>
        <v>#DIV/0!</v>
      </c>
      <c r="H86" t="e">
        <f ca="1">AVERAGEIFS('Region 7'!$W$2:$W$500,'Region 7'!$A$2:$A$500,H$1,'Region 7'!$X$2:$X$500,$D86,'Region 7'!$S$2:$S$500,$A86)</f>
        <v>#DIV/0!</v>
      </c>
      <c r="I86" t="e">
        <f ca="1">AVERAGEIFS('Region 7'!$W$2:$W$500,'Region 7'!$A$2:$A$500,I$1,'Region 7'!$X$2:$X$500,$D86,'Region 7'!$S$2:$S$500,$A86)</f>
        <v>#DIV/0!</v>
      </c>
      <c r="J86" t="e">
        <f ca="1">AVERAGEIFS('Region 7'!$W$2:$W$500,'Region 7'!$A$2:$A$500,J$1,'Region 7'!$X$2:$X$500,$D86,'Region 7'!$S$2:$S$500,$A86)</f>
        <v>#DIV/0!</v>
      </c>
      <c r="K86" t="e">
        <f ca="1">AVERAGEIFS('Region 7'!$W$2:$W$500,'Region 7'!$A$2:$A$500,K$1,'Region 7'!$X$2:$X$500,$D86,'Region 7'!$S$2:$S$500,$A86)</f>
        <v>#DIV/0!</v>
      </c>
      <c r="L86" t="e">
        <f ca="1">AVERAGEIFS('Region 7'!$W$2:$W$500,'Region 7'!$A$2:$A$500,L$1,'Region 7'!$X$2:$X$500,$D86,'Region 7'!$S$2:$S$500,$A86)</f>
        <v>#DIV/0!</v>
      </c>
      <c r="M86" t="e">
        <f ca="1">AVERAGEIFS('Region 7'!$W$2:$W$500,'Region 7'!$A$2:$A$500,M$1,'Region 7'!$X$2:$X$500,$D86,'Region 7'!$S$2:$S$500,$A86)</f>
        <v>#DIV/0!</v>
      </c>
      <c r="N86" t="e">
        <f ca="1">AVERAGEIFS('Region 7'!$W$2:$W$500,'Region 7'!$A$2:$A$500,N$1,'Region 7'!$X$2:$X$500,$D86,'Region 7'!$S$2:$S$500,$A86)</f>
        <v>#DIV/0!</v>
      </c>
      <c r="Q86" t="str">
        <f t="shared" si="31"/>
        <v>Concrete</v>
      </c>
      <c r="R86" t="str">
        <f t="shared" si="32"/>
        <v>High-rise</v>
      </c>
      <c r="S86">
        <f t="shared" si="33"/>
        <v>7</v>
      </c>
      <c r="T86" t="str">
        <f t="shared" ca="1" si="21"/>
        <v>-</v>
      </c>
      <c r="U86" t="str">
        <f t="shared" ca="1" si="22"/>
        <v>-</v>
      </c>
      <c r="V86" t="str">
        <f t="shared" ca="1" si="23"/>
        <v>-</v>
      </c>
      <c r="W86" t="str">
        <f t="shared" ca="1" si="24"/>
        <v>-</v>
      </c>
      <c r="X86" t="str">
        <f t="shared" ca="1" si="25"/>
        <v>-</v>
      </c>
      <c r="Y86" t="str">
        <f t="shared" ca="1" si="26"/>
        <v>-</v>
      </c>
      <c r="Z86" t="str">
        <f t="shared" ca="1" si="27"/>
        <v>-</v>
      </c>
      <c r="AA86" t="str">
        <f t="shared" ca="1" si="28"/>
        <v>-</v>
      </c>
      <c r="AB86" t="str">
        <f t="shared" ca="1" si="29"/>
        <v>-</v>
      </c>
      <c r="AC86" t="str">
        <f t="shared" ca="1" si="30"/>
        <v>-</v>
      </c>
    </row>
    <row r="87" spans="1:29" x14ac:dyDescent="0.3">
      <c r="A87" t="s">
        <v>65</v>
      </c>
      <c r="B87" t="s">
        <v>895</v>
      </c>
      <c r="C87">
        <f t="shared" si="20"/>
        <v>8</v>
      </c>
      <c r="D87">
        <v>4</v>
      </c>
      <c r="E87" t="e">
        <f>AVERAGEIFS('Region 8'!$W$2:$W$497,'Region 8'!$A$2:$A$497,E$1,'Region 8'!$X$2:$X$497,$D87,'Region 8'!$S$2:$S$497,$A87)</f>
        <v>#DIV/0!</v>
      </c>
      <c r="F87" t="e">
        <f>AVERAGEIFS('Region 8'!$W$2:$W$497,'Region 8'!$A$2:$A$497,F$1,'Region 8'!$X$2:$X$497,$D87,'Region 8'!$S$2:$S$497,$A87)</f>
        <v>#DIV/0!</v>
      </c>
      <c r="G87" t="e">
        <f>AVERAGEIFS('Region 8'!$W$2:$W$497,'Region 8'!$A$2:$A$497,G$1,'Region 8'!$X$2:$X$497,$D87,'Region 8'!$S$2:$S$497,$A87)</f>
        <v>#DIV/0!</v>
      </c>
      <c r="H87" t="e">
        <f>AVERAGEIFS('Region 8'!$W$2:$W$497,'Region 8'!$A$2:$A$497,H$1,'Region 8'!$X$2:$X$497,$D87,'Region 8'!$S$2:$S$497,$A87)</f>
        <v>#DIV/0!</v>
      </c>
      <c r="I87" t="e">
        <f>AVERAGEIFS('Region 8'!$W$2:$W$497,'Region 8'!$A$2:$A$497,I$1,'Region 8'!$X$2:$X$497,$D87,'Region 8'!$S$2:$S$497,$A87)</f>
        <v>#DIV/0!</v>
      </c>
      <c r="J87" t="e">
        <f>AVERAGEIFS('Region 8'!$W$2:$W$497,'Region 8'!$A$2:$A$497,J$1,'Region 8'!$X$2:$X$497,$D87,'Region 8'!$S$2:$S$497,$A87)</f>
        <v>#DIV/0!</v>
      </c>
      <c r="K87" t="e">
        <f>AVERAGEIFS('Region 8'!$W$2:$W$497,'Region 8'!$A$2:$A$497,K$1,'Region 8'!$X$2:$X$497,$D87,'Region 8'!$S$2:$S$497,$A87)</f>
        <v>#DIV/0!</v>
      </c>
      <c r="L87" t="e">
        <f>AVERAGEIFS('Region 8'!$W$2:$W$497,'Region 8'!$A$2:$A$497,L$1,'Region 8'!$X$2:$X$497,$D87,'Region 8'!$S$2:$S$497,$A87)</f>
        <v>#DIV/0!</v>
      </c>
      <c r="M87" t="e">
        <f>AVERAGEIFS('Region 8'!$W$2:$W$497,'Region 8'!$A$2:$A$497,M$1,'Region 8'!$X$2:$X$497,$D87,'Region 8'!$S$2:$S$497,$A87)</f>
        <v>#DIV/0!</v>
      </c>
      <c r="N87" t="e">
        <f>AVERAGEIFS('Region 8'!$W$2:$W$497,'Region 8'!$A$2:$A$497,N$1,'Region 8'!$X$2:$X$497,$D87,'Region 8'!$S$2:$S$497,$A87)</f>
        <v>#DIV/0!</v>
      </c>
      <c r="Q87" t="str">
        <f t="shared" si="31"/>
        <v>Concrete</v>
      </c>
      <c r="R87" t="str">
        <f t="shared" si="32"/>
        <v>High-rise</v>
      </c>
      <c r="S87">
        <f t="shared" si="33"/>
        <v>8</v>
      </c>
      <c r="T87" t="str">
        <f t="shared" si="21"/>
        <v>-</v>
      </c>
      <c r="U87" t="str">
        <f t="shared" si="22"/>
        <v>-</v>
      </c>
      <c r="V87" t="str">
        <f t="shared" si="23"/>
        <v>-</v>
      </c>
      <c r="W87" t="str">
        <f t="shared" si="24"/>
        <v>-</v>
      </c>
      <c r="X87" t="str">
        <f t="shared" si="25"/>
        <v>-</v>
      </c>
      <c r="Y87" t="str">
        <f t="shared" si="26"/>
        <v>-</v>
      </c>
      <c r="Z87" t="str">
        <f t="shared" si="27"/>
        <v>-</v>
      </c>
      <c r="AA87" t="str">
        <f t="shared" si="28"/>
        <v>-</v>
      </c>
      <c r="AB87" t="str">
        <f t="shared" si="29"/>
        <v>-</v>
      </c>
      <c r="AC87" t="str">
        <f t="shared" si="30"/>
        <v>-</v>
      </c>
    </row>
    <row r="88" spans="1:29" x14ac:dyDescent="0.3">
      <c r="A88" t="s">
        <v>65</v>
      </c>
      <c r="B88" t="s">
        <v>895</v>
      </c>
      <c r="C88">
        <f t="shared" si="20"/>
        <v>9</v>
      </c>
      <c r="D88">
        <v>4</v>
      </c>
      <c r="E88" t="e">
        <f ca="1">AVERAGEIFS('Region 9'!$W$2:$W$500,'Region 9'!$A$2:$A$500,E$1,'Region 9'!$X$2:$X$500,$D88,'Region 9'!$S$2:$S$500,$A88)</f>
        <v>#DIV/0!</v>
      </c>
      <c r="F88" t="e">
        <f ca="1">AVERAGEIFS('Region 9'!$W$2:$W$500,'Region 9'!$A$2:$A$500,F$1,'Region 9'!$X$2:$X$500,$D88,'Region 9'!$S$2:$S$500,$A88)</f>
        <v>#DIV/0!</v>
      </c>
      <c r="G88" t="e">
        <f ca="1">AVERAGEIFS('Region 9'!$W$2:$W$500,'Region 9'!$A$2:$A$500,G$1,'Region 9'!$X$2:$X$500,$D88,'Region 9'!$S$2:$S$500,$A88)</f>
        <v>#DIV/0!</v>
      </c>
      <c r="H88" t="e">
        <f ca="1">AVERAGEIFS('Region 9'!$W$2:$W$500,'Region 9'!$A$2:$A$500,H$1,'Region 9'!$X$2:$X$500,$D88,'Region 9'!$S$2:$S$500,$A88)</f>
        <v>#DIV/0!</v>
      </c>
      <c r="I88" t="e">
        <f ca="1">AVERAGEIFS('Region 9'!$W$2:$W$500,'Region 9'!$A$2:$A$500,I$1,'Region 9'!$X$2:$X$500,$D88,'Region 9'!$S$2:$S$500,$A88)</f>
        <v>#DIV/0!</v>
      </c>
      <c r="J88" t="e">
        <f ca="1">AVERAGEIFS('Region 9'!$W$2:$W$500,'Region 9'!$A$2:$A$500,J$1,'Region 9'!$X$2:$X$500,$D88,'Region 9'!$S$2:$S$500,$A88)</f>
        <v>#DIV/0!</v>
      </c>
      <c r="K88" t="e">
        <f ca="1">AVERAGEIFS('Region 9'!$W$2:$W$500,'Region 9'!$A$2:$A$500,K$1,'Region 9'!$X$2:$X$500,$D88,'Region 9'!$S$2:$S$500,$A88)</f>
        <v>#DIV/0!</v>
      </c>
      <c r="L88" t="e">
        <f ca="1">AVERAGEIFS('Region 9'!$W$2:$W$500,'Region 9'!$A$2:$A$500,L$1,'Region 9'!$X$2:$X$500,$D88,'Region 9'!$S$2:$S$500,$A88)</f>
        <v>#DIV/0!</v>
      </c>
      <c r="M88" t="e">
        <f ca="1">AVERAGEIFS('Region 9'!$W$2:$W$500,'Region 9'!$A$2:$A$500,M$1,'Region 9'!$X$2:$X$500,$D88,'Region 9'!$S$2:$S$500,$A88)</f>
        <v>#DIV/0!</v>
      </c>
      <c r="N88" t="e">
        <f ca="1">AVERAGEIFS('Region 9'!$W$2:$W$500,'Region 9'!$A$2:$A$500,N$1,'Region 9'!$X$2:$X$500,$D88,'Region 9'!$S$2:$S$500,$A88)</f>
        <v>#DIV/0!</v>
      </c>
      <c r="Q88" t="str">
        <f t="shared" si="31"/>
        <v>Concrete</v>
      </c>
      <c r="R88" t="str">
        <f t="shared" si="32"/>
        <v>High-rise</v>
      </c>
      <c r="S88">
        <f t="shared" si="33"/>
        <v>9</v>
      </c>
      <c r="T88" t="str">
        <f t="shared" ca="1" si="21"/>
        <v>-</v>
      </c>
      <c r="U88" t="str">
        <f t="shared" ca="1" si="22"/>
        <v>-</v>
      </c>
      <c r="V88" t="str">
        <f t="shared" ca="1" si="23"/>
        <v>-</v>
      </c>
      <c r="W88" t="str">
        <f t="shared" ca="1" si="24"/>
        <v>-</v>
      </c>
      <c r="X88" t="str">
        <f t="shared" ca="1" si="25"/>
        <v>-</v>
      </c>
      <c r="Y88" t="str">
        <f t="shared" ca="1" si="26"/>
        <v>-</v>
      </c>
      <c r="Z88" t="str">
        <f t="shared" ca="1" si="27"/>
        <v>-</v>
      </c>
      <c r="AA88" t="str">
        <f t="shared" ca="1" si="28"/>
        <v>-</v>
      </c>
      <c r="AB88" t="str">
        <f t="shared" ca="1" si="29"/>
        <v>-</v>
      </c>
      <c r="AC88" t="str">
        <f t="shared" ca="1" si="30"/>
        <v>-</v>
      </c>
    </row>
    <row r="89" spans="1:29" x14ac:dyDescent="0.3">
      <c r="A89" t="s">
        <v>65</v>
      </c>
      <c r="B89" t="s">
        <v>895</v>
      </c>
      <c r="C89">
        <f t="shared" si="20"/>
        <v>10</v>
      </c>
      <c r="D89">
        <v>4</v>
      </c>
      <c r="E89" t="e">
        <f>AVERAGEIFS('Region 10'!$W$2:$W$500,'Region 10'!$A$2:$A$500,E$1,'Region 10'!$X$2:$X$500,$D89,'Region 10'!$S$2:$S$500,$A89)</f>
        <v>#DIV/0!</v>
      </c>
      <c r="F89" t="e">
        <f>AVERAGEIFS('Region 10'!$W$2:$W$500,'Region 10'!$A$2:$A$500,F$1,'Region 10'!$X$2:$X$500,$D89,'Region 10'!$S$2:$S$500,$A89)</f>
        <v>#DIV/0!</v>
      </c>
      <c r="G89" t="e">
        <f>AVERAGEIFS('Region 10'!$W$2:$W$500,'Region 10'!$A$2:$A$500,G$1,'Region 10'!$X$2:$X$500,$D89,'Region 10'!$S$2:$S$500,$A89)</f>
        <v>#DIV/0!</v>
      </c>
      <c r="H89" t="e">
        <f>AVERAGEIFS('Region 10'!$W$2:$W$500,'Region 10'!$A$2:$A$500,H$1,'Region 10'!$X$2:$X$500,$D89,'Region 10'!$S$2:$S$500,$A89)</f>
        <v>#DIV/0!</v>
      </c>
      <c r="I89" t="e">
        <f>AVERAGEIFS('Region 10'!$W$2:$W$500,'Region 10'!$A$2:$A$500,I$1,'Region 10'!$X$2:$X$500,$D89,'Region 10'!$S$2:$S$500,$A89)</f>
        <v>#DIV/0!</v>
      </c>
      <c r="J89" t="e">
        <f>AVERAGEIFS('Region 10'!$W$2:$W$500,'Region 10'!$A$2:$A$500,J$1,'Region 10'!$X$2:$X$500,$D89,'Region 10'!$S$2:$S$500,$A89)</f>
        <v>#DIV/0!</v>
      </c>
      <c r="K89" t="e">
        <f>AVERAGEIFS('Region 10'!$W$2:$W$500,'Region 10'!$A$2:$A$500,K$1,'Region 10'!$X$2:$X$500,$D89,'Region 10'!$S$2:$S$500,$A89)</f>
        <v>#DIV/0!</v>
      </c>
      <c r="L89" t="e">
        <f>AVERAGEIFS('Region 10'!$W$2:$W$500,'Region 10'!$A$2:$A$500,L$1,'Region 10'!$X$2:$X$500,$D89,'Region 10'!$S$2:$S$500,$A89)</f>
        <v>#DIV/0!</v>
      </c>
      <c r="M89" t="e">
        <f>AVERAGEIFS('Region 10'!$W$2:$W$500,'Region 10'!$A$2:$A$500,M$1,'Region 10'!$X$2:$X$500,$D89,'Region 10'!$S$2:$S$500,$A89)</f>
        <v>#DIV/0!</v>
      </c>
      <c r="N89" t="e">
        <f>AVERAGEIFS('Region 10'!$W$2:$W$500,'Region 10'!$A$2:$A$500,N$1,'Region 10'!$X$2:$X$500,$D89,'Region 10'!$S$2:$S$500,$A89)</f>
        <v>#DIV/0!</v>
      </c>
      <c r="Q89" t="str">
        <f t="shared" si="31"/>
        <v>Concrete</v>
      </c>
      <c r="R89" t="str">
        <f t="shared" si="32"/>
        <v>High-rise</v>
      </c>
      <c r="S89">
        <f t="shared" si="33"/>
        <v>10</v>
      </c>
      <c r="T89" t="str">
        <f t="shared" si="21"/>
        <v>-</v>
      </c>
      <c r="U89" t="str">
        <f t="shared" si="22"/>
        <v>-</v>
      </c>
      <c r="V89" t="str">
        <f t="shared" si="23"/>
        <v>-</v>
      </c>
      <c r="W89" t="str">
        <f t="shared" si="24"/>
        <v>-</v>
      </c>
      <c r="X89" t="str">
        <f t="shared" si="25"/>
        <v>-</v>
      </c>
      <c r="Y89" t="str">
        <f t="shared" si="26"/>
        <v>-</v>
      </c>
      <c r="Z89" t="str">
        <f t="shared" si="27"/>
        <v>-</v>
      </c>
      <c r="AA89" t="str">
        <f t="shared" si="28"/>
        <v>-</v>
      </c>
      <c r="AB89" t="str">
        <f t="shared" si="29"/>
        <v>-</v>
      </c>
      <c r="AC89" t="str">
        <f t="shared" si="30"/>
        <v>-</v>
      </c>
    </row>
    <row r="90" spans="1:29" x14ac:dyDescent="0.3">
      <c r="A90" t="s">
        <v>65</v>
      </c>
      <c r="B90" t="s">
        <v>895</v>
      </c>
      <c r="C90">
        <f t="shared" si="20"/>
        <v>11</v>
      </c>
      <c r="D90">
        <v>4</v>
      </c>
      <c r="E90">
        <f>AVERAGEIFS('Region 11'!$W$2:$W$391,'Region 11'!$A$2:$A$391,E$1,'Region 11'!$X$2:$X$391,$D90,'Region 11'!$S$2:$S$391,$A90)</f>
        <v>959.50822503004724</v>
      </c>
      <c r="F90" t="e">
        <f>AVERAGEIFS('Region 11'!$W$2:$W$391,'Region 11'!$A$2:$A$391,F$1,'Region 11'!$X$2:$X$391,$D90,'Region 11'!$S$2:$S$391,$A90)</f>
        <v>#DIV/0!</v>
      </c>
      <c r="G90">
        <f>AVERAGEIFS('Region 11'!$W$2:$W$391,'Region 11'!$A$2:$A$391,G$1,'Region 11'!$X$2:$X$391,$D90,'Region 11'!$S$2:$S$391,$A90)</f>
        <v>1053.892222222222</v>
      </c>
      <c r="H90" t="e">
        <f>AVERAGEIFS('Region 11'!$W$2:$W$391,'Region 11'!$A$2:$A$391,H$1,'Region 11'!$X$2:$X$391,$D90,'Region 11'!$S$2:$S$391,$A90)</f>
        <v>#DIV/0!</v>
      </c>
      <c r="I90" t="e">
        <f>AVERAGEIFS('Region 11'!$W$2:$W$391,'Region 11'!$A$2:$A$391,I$1,'Region 11'!$X$2:$X$391,$D90,'Region 11'!$S$2:$S$391,$A90)</f>
        <v>#DIV/0!</v>
      </c>
      <c r="J90" t="e">
        <f>AVERAGEIFS('Region 11'!$W$2:$W$391,'Region 11'!$A$2:$A$391,J$1,'Region 11'!$X$2:$X$391,$D90,'Region 11'!$S$2:$S$391,$A90)</f>
        <v>#DIV/0!</v>
      </c>
      <c r="K90">
        <f>AVERAGEIFS('Region 11'!$W$2:$W$391,'Region 11'!$A$2:$A$391,K$1,'Region 11'!$X$2:$X$391,$D90,'Region 11'!$S$2:$S$391,$A90)</f>
        <v>624.88888888888891</v>
      </c>
      <c r="L90">
        <f>AVERAGEIFS('Region 11'!$W$2:$W$391,'Region 11'!$A$2:$A$391,L$1,'Region 11'!$X$2:$X$391,$D90,'Region 11'!$S$2:$S$391,$A90)</f>
        <v>952.66666666666663</v>
      </c>
      <c r="M90" t="e">
        <f>AVERAGEIFS('Region 11'!$W$2:$W$391,'Region 11'!$A$2:$A$391,M$1,'Region 11'!$X$2:$X$391,$D90,'Region 11'!$S$2:$S$391,$A90)</f>
        <v>#DIV/0!</v>
      </c>
      <c r="N90" t="e">
        <f>AVERAGEIFS('Region 11'!$W$2:$W$391,'Region 11'!$A$2:$A$391,N$1,'Region 11'!$X$2:$X$391,$D90,'Region 11'!$S$2:$S$391,$A90)</f>
        <v>#DIV/0!</v>
      </c>
      <c r="Q90" t="str">
        <f t="shared" si="31"/>
        <v>Concrete</v>
      </c>
      <c r="R90" t="str">
        <f t="shared" si="32"/>
        <v>High-rise</v>
      </c>
      <c r="S90">
        <f t="shared" si="33"/>
        <v>11</v>
      </c>
      <c r="T90">
        <f t="shared" si="21"/>
        <v>959.50822503004724</v>
      </c>
      <c r="U90" t="str">
        <f t="shared" si="22"/>
        <v>-</v>
      </c>
      <c r="V90">
        <f t="shared" si="23"/>
        <v>1053.892222222222</v>
      </c>
      <c r="W90" t="str">
        <f t="shared" si="24"/>
        <v>-</v>
      </c>
      <c r="X90" t="str">
        <f t="shared" si="25"/>
        <v>-</v>
      </c>
      <c r="Y90" t="str">
        <f t="shared" si="26"/>
        <v>-</v>
      </c>
      <c r="Z90">
        <f t="shared" si="27"/>
        <v>624.88888888888891</v>
      </c>
      <c r="AA90">
        <f t="shared" si="28"/>
        <v>952.66666666666663</v>
      </c>
      <c r="AB90" t="str">
        <f t="shared" si="29"/>
        <v>-</v>
      </c>
      <c r="AC90" t="str">
        <f t="shared" si="30"/>
        <v>-</v>
      </c>
    </row>
    <row r="91" spans="1:29" x14ac:dyDescent="0.3">
      <c r="A91" t="s">
        <v>65</v>
      </c>
      <c r="B91" t="s">
        <v>895</v>
      </c>
      <c r="C91">
        <f t="shared" si="20"/>
        <v>12</v>
      </c>
      <c r="D91">
        <v>4</v>
      </c>
      <c r="E91" t="e">
        <f>AVERAGEIFS('Region 12'!$W$2:$W$459,'Region 12'!$A$2:$A$459,E$1,'Region 12'!$X$2:$X$459,$D91,'Region 12'!$S$2:$S$459,$A91)</f>
        <v>#DIV/0!</v>
      </c>
      <c r="F91">
        <f>AVERAGEIFS('Region 12'!$W$2:$W$459,'Region 12'!$A$2:$A$459,F$1,'Region 12'!$X$2:$X$459,$D91,'Region 12'!$S$2:$S$459,$A91)</f>
        <v>902.5911908189014</v>
      </c>
      <c r="G91" t="e">
        <f>AVERAGEIFS('Region 12'!$W$2:$W$459,'Region 12'!$A$2:$A$459,G$1,'Region 12'!$X$2:$X$459,$D91,'Region 12'!$S$2:$S$459,$A91)</f>
        <v>#DIV/0!</v>
      </c>
      <c r="H91" t="e">
        <f>AVERAGEIFS('Region 12'!$W$2:$W$459,'Region 12'!$A$2:$A$459,H$1,'Region 12'!$X$2:$X$459,$D91,'Region 12'!$S$2:$S$459,$A91)</f>
        <v>#DIV/0!</v>
      </c>
      <c r="I91" t="e">
        <f>AVERAGEIFS('Region 12'!$W$2:$W$459,'Region 12'!$A$2:$A$459,I$1,'Region 12'!$X$2:$X$459,$D91,'Region 12'!$S$2:$S$459,$A91)</f>
        <v>#DIV/0!</v>
      </c>
      <c r="J91" t="e">
        <f>AVERAGEIFS('Region 12'!$W$2:$W$459,'Region 12'!$A$2:$A$459,J$1,'Region 12'!$X$2:$X$459,$D91,'Region 12'!$S$2:$S$459,$A91)</f>
        <v>#DIV/0!</v>
      </c>
      <c r="K91" t="e">
        <f>AVERAGEIFS('Region 12'!$W$2:$W$459,'Region 12'!$A$2:$A$459,K$1,'Region 12'!$X$2:$X$459,$D91,'Region 12'!$S$2:$S$459,$A91)</f>
        <v>#DIV/0!</v>
      </c>
      <c r="L91" t="e">
        <f>AVERAGEIFS('Region 12'!$W$2:$W$459,'Region 12'!$A$2:$A$459,L$1,'Region 12'!$X$2:$X$459,$D91,'Region 12'!$S$2:$S$459,$A91)</f>
        <v>#DIV/0!</v>
      </c>
      <c r="M91" t="e">
        <f>AVERAGEIFS('Region 12'!$W$2:$W$459,'Region 12'!$A$2:$A$459,M$1,'Region 12'!$X$2:$X$459,$D91,'Region 12'!$S$2:$S$459,$A91)</f>
        <v>#DIV/0!</v>
      </c>
      <c r="N91" t="e">
        <f>AVERAGEIFS('Region 12'!$W$2:$W$459,'Region 12'!$A$2:$A$459,N$1,'Region 12'!$X$2:$X$459,$D91,'Region 12'!$S$2:$S$459,$A91)</f>
        <v>#DIV/0!</v>
      </c>
      <c r="Q91" t="str">
        <f t="shared" si="31"/>
        <v>Concrete</v>
      </c>
      <c r="R91" t="str">
        <f t="shared" si="32"/>
        <v>High-rise</v>
      </c>
      <c r="S91">
        <f t="shared" si="33"/>
        <v>12</v>
      </c>
      <c r="T91" t="str">
        <f t="shared" si="21"/>
        <v>-</v>
      </c>
      <c r="U91">
        <f t="shared" si="22"/>
        <v>902.5911908189014</v>
      </c>
      <c r="V91" t="str">
        <f t="shared" si="23"/>
        <v>-</v>
      </c>
      <c r="W91" t="str">
        <f t="shared" si="24"/>
        <v>-</v>
      </c>
      <c r="X91" t="str">
        <f t="shared" si="25"/>
        <v>-</v>
      </c>
      <c r="Y91" t="str">
        <f t="shared" si="26"/>
        <v>-</v>
      </c>
      <c r="Z91" t="str">
        <f t="shared" si="27"/>
        <v>-</v>
      </c>
      <c r="AA91" t="str">
        <f t="shared" si="28"/>
        <v>-</v>
      </c>
      <c r="AB91" t="str">
        <f t="shared" si="29"/>
        <v>-</v>
      </c>
      <c r="AC91" t="str">
        <f t="shared" si="30"/>
        <v>-</v>
      </c>
    </row>
    <row r="92" spans="1:29" x14ac:dyDescent="0.3">
      <c r="A92" t="s">
        <v>65</v>
      </c>
      <c r="B92" t="s">
        <v>895</v>
      </c>
      <c r="C92">
        <f t="shared" si="20"/>
        <v>13</v>
      </c>
      <c r="D92">
        <v>4</v>
      </c>
      <c r="E92">
        <f>AVERAGEIFS('Region 13'!$W$2:$W$500,'Region 13'!$A$2:$A$500,E$1,'Region 13'!$X$2:$X$500,$D92,'Region 13'!$S$2:$S$500,$A92)</f>
        <v>768.27323076923074</v>
      </c>
      <c r="F92" t="e">
        <f>AVERAGEIFS('Region 13'!$W$2:$W$500,'Region 13'!$A$2:$A$500,F$1,'Region 13'!$X$2:$X$500,$D92,'Region 13'!$S$2:$S$500,$A92)</f>
        <v>#DIV/0!</v>
      </c>
      <c r="G92" t="e">
        <f>AVERAGEIFS('Region 13'!$W$2:$W$500,'Region 13'!$A$2:$A$500,G$1,'Region 13'!$X$2:$X$500,$D92,'Region 13'!$S$2:$S$500,$A92)</f>
        <v>#DIV/0!</v>
      </c>
      <c r="H92" t="e">
        <f>AVERAGEIFS('Region 13'!$W$2:$W$500,'Region 13'!$A$2:$A$500,H$1,'Region 13'!$X$2:$X$500,$D92,'Region 13'!$S$2:$S$500,$A92)</f>
        <v>#DIV/0!</v>
      </c>
      <c r="I92" t="e">
        <f>AVERAGEIFS('Region 13'!$W$2:$W$500,'Region 13'!$A$2:$A$500,I$1,'Region 13'!$X$2:$X$500,$D92,'Region 13'!$S$2:$S$500,$A92)</f>
        <v>#DIV/0!</v>
      </c>
      <c r="J92" t="e">
        <f>AVERAGEIFS('Region 13'!$W$2:$W$500,'Region 13'!$A$2:$A$500,J$1,'Region 13'!$X$2:$X$500,$D92,'Region 13'!$S$2:$S$500,$A92)</f>
        <v>#DIV/0!</v>
      </c>
      <c r="K92" t="e">
        <f>AVERAGEIFS('Region 13'!$W$2:$W$500,'Region 13'!$A$2:$A$500,K$1,'Region 13'!$X$2:$X$500,$D92,'Region 13'!$S$2:$S$500,$A92)</f>
        <v>#DIV/0!</v>
      </c>
      <c r="L92" t="e">
        <f>AVERAGEIFS('Region 13'!$W$2:$W$500,'Region 13'!$A$2:$A$500,L$1,'Region 13'!$X$2:$X$500,$D92,'Region 13'!$S$2:$S$500,$A92)</f>
        <v>#DIV/0!</v>
      </c>
      <c r="M92" t="e">
        <f>AVERAGEIFS('Region 13'!$W$2:$W$500,'Region 13'!$A$2:$A$500,M$1,'Region 13'!$X$2:$X$500,$D92,'Region 13'!$S$2:$S$500,$A92)</f>
        <v>#DIV/0!</v>
      </c>
      <c r="N92" t="e">
        <f>AVERAGEIFS('Region 13'!$W$2:$W$500,'Region 13'!$A$2:$A$500,N$1,'Region 13'!$X$2:$X$500,$D92,'Region 13'!$S$2:$S$500,$A92)</f>
        <v>#DIV/0!</v>
      </c>
      <c r="Q92" t="str">
        <f t="shared" si="31"/>
        <v>Concrete</v>
      </c>
      <c r="R92" t="str">
        <f t="shared" si="32"/>
        <v>High-rise</v>
      </c>
      <c r="S92">
        <f t="shared" si="33"/>
        <v>13</v>
      </c>
      <c r="T92">
        <f t="shared" si="21"/>
        <v>768.27323076923074</v>
      </c>
      <c r="U92" t="str">
        <f t="shared" si="22"/>
        <v>-</v>
      </c>
      <c r="V92" t="str">
        <f t="shared" si="23"/>
        <v>-</v>
      </c>
      <c r="W92" t="str">
        <f t="shared" si="24"/>
        <v>-</v>
      </c>
      <c r="X92" t="str">
        <f t="shared" si="25"/>
        <v>-</v>
      </c>
      <c r="Y92" t="str">
        <f t="shared" si="26"/>
        <v>-</v>
      </c>
      <c r="Z92" t="str">
        <f t="shared" si="27"/>
        <v>-</v>
      </c>
      <c r="AA92" t="str">
        <f t="shared" si="28"/>
        <v>-</v>
      </c>
      <c r="AB92" t="str">
        <f t="shared" si="29"/>
        <v>-</v>
      </c>
      <c r="AC92" t="str">
        <f t="shared" si="30"/>
        <v>-</v>
      </c>
    </row>
    <row r="93" spans="1:29" x14ac:dyDescent="0.3">
      <c r="A93" t="s">
        <v>65</v>
      </c>
      <c r="B93" t="s">
        <v>895</v>
      </c>
      <c r="C93">
        <f t="shared" si="20"/>
        <v>14</v>
      </c>
      <c r="D93">
        <v>4</v>
      </c>
      <c r="E93" t="e">
        <f ca="1">AVERAGEIFS('Region 14'!$W$2:$W$500,'Region 14'!$A$2:$A$500,E$1,'Region 14'!$X$2:$X$500,$D93,'Region 14'!$S$2:$S$500,$A93)</f>
        <v>#DIV/0!</v>
      </c>
      <c r="F93" t="e">
        <f ca="1">AVERAGEIFS('Region 14'!$W$2:$W$500,'Region 14'!$A$2:$A$500,F$1,'Region 14'!$X$2:$X$500,$D93,'Region 14'!$S$2:$S$500,$A93)</f>
        <v>#DIV/0!</v>
      </c>
      <c r="G93" t="e">
        <f ca="1">AVERAGEIFS('Region 14'!$W$2:$W$500,'Region 14'!$A$2:$A$500,G$1,'Region 14'!$X$2:$X$500,$D93,'Region 14'!$S$2:$S$500,$A93)</f>
        <v>#DIV/0!</v>
      </c>
      <c r="H93" t="e">
        <f ca="1">AVERAGEIFS('Region 14'!$W$2:$W$500,'Region 14'!$A$2:$A$500,H$1,'Region 14'!$X$2:$X$500,$D93,'Region 14'!$S$2:$S$500,$A93)</f>
        <v>#DIV/0!</v>
      </c>
      <c r="I93" t="e">
        <f ca="1">AVERAGEIFS('Region 14'!$W$2:$W$500,'Region 14'!$A$2:$A$500,I$1,'Region 14'!$X$2:$X$500,$D93,'Region 14'!$S$2:$S$500,$A93)</f>
        <v>#DIV/0!</v>
      </c>
      <c r="J93" t="e">
        <f ca="1">AVERAGEIFS('Region 14'!$W$2:$W$500,'Region 14'!$A$2:$A$500,J$1,'Region 14'!$X$2:$X$500,$D93,'Region 14'!$S$2:$S$500,$A93)</f>
        <v>#DIV/0!</v>
      </c>
      <c r="K93" t="e">
        <f ca="1">AVERAGEIFS('Region 14'!$W$2:$W$500,'Region 14'!$A$2:$A$500,K$1,'Region 14'!$X$2:$X$500,$D93,'Region 14'!$S$2:$S$500,$A93)</f>
        <v>#DIV/0!</v>
      </c>
      <c r="L93" t="e">
        <f ca="1">AVERAGEIFS('Region 14'!$W$2:$W$500,'Region 14'!$A$2:$A$500,L$1,'Region 14'!$X$2:$X$500,$D93,'Region 14'!$S$2:$S$500,$A93)</f>
        <v>#DIV/0!</v>
      </c>
      <c r="M93" t="e">
        <f ca="1">AVERAGEIFS('Region 14'!$W$2:$W$500,'Region 14'!$A$2:$A$500,M$1,'Region 14'!$X$2:$X$500,$D93,'Region 14'!$S$2:$S$500,$A93)</f>
        <v>#DIV/0!</v>
      </c>
      <c r="N93" t="e">
        <f ca="1">AVERAGEIFS('Region 14'!$W$2:$W$500,'Region 14'!$A$2:$A$500,N$1,'Region 14'!$X$2:$X$500,$D93,'Region 14'!$S$2:$S$500,$A93)</f>
        <v>#DIV/0!</v>
      </c>
      <c r="Q93" t="str">
        <f t="shared" si="31"/>
        <v>Concrete</v>
      </c>
      <c r="R93" t="str">
        <f t="shared" si="32"/>
        <v>High-rise</v>
      </c>
      <c r="S93">
        <f t="shared" si="33"/>
        <v>14</v>
      </c>
      <c r="T93" t="str">
        <f t="shared" ca="1" si="21"/>
        <v>-</v>
      </c>
      <c r="U93" t="str">
        <f t="shared" ca="1" si="22"/>
        <v>-</v>
      </c>
      <c r="V93" t="str">
        <f t="shared" ca="1" si="23"/>
        <v>-</v>
      </c>
      <c r="W93" t="str">
        <f t="shared" ca="1" si="24"/>
        <v>-</v>
      </c>
      <c r="X93" t="str">
        <f t="shared" ca="1" si="25"/>
        <v>-</v>
      </c>
      <c r="Y93" t="str">
        <f t="shared" ca="1" si="26"/>
        <v>-</v>
      </c>
      <c r="Z93" t="str">
        <f t="shared" ca="1" si="27"/>
        <v>-</v>
      </c>
      <c r="AA93" t="str">
        <f t="shared" ca="1" si="28"/>
        <v>-</v>
      </c>
      <c r="AB93" t="str">
        <f t="shared" ca="1" si="29"/>
        <v>-</v>
      </c>
      <c r="AC93" t="str">
        <f t="shared" ca="1" si="30"/>
        <v>-</v>
      </c>
    </row>
    <row r="94" spans="1:29" x14ac:dyDescent="0.3">
      <c r="A94" t="s">
        <v>65</v>
      </c>
      <c r="B94" t="s">
        <v>895</v>
      </c>
      <c r="C94">
        <f t="shared" si="20"/>
        <v>15</v>
      </c>
      <c r="D94">
        <v>4</v>
      </c>
      <c r="E94" t="e">
        <f ca="1">AVERAGEIFS('Region 15'!$W$2:$W$500,'Region 15'!$A$2:$A$500,E$1,'Region 15'!$X$2:$X$500,$D94,'Region 15'!$S$2:$S$500,$A94)</f>
        <v>#DIV/0!</v>
      </c>
      <c r="F94" t="e">
        <f ca="1">AVERAGEIFS('Region 15'!$W$2:$W$500,'Region 15'!$A$2:$A$500,F$1,'Region 15'!$X$2:$X$500,$D94,'Region 15'!$S$2:$S$500,$A94)</f>
        <v>#DIV/0!</v>
      </c>
      <c r="G94" t="e">
        <f ca="1">AVERAGEIFS('Region 15'!$W$2:$W$500,'Region 15'!$A$2:$A$500,G$1,'Region 15'!$X$2:$X$500,$D94,'Region 15'!$S$2:$S$500,$A94)</f>
        <v>#DIV/0!</v>
      </c>
      <c r="H94" t="e">
        <f ca="1">AVERAGEIFS('Region 15'!$W$2:$W$500,'Region 15'!$A$2:$A$500,H$1,'Region 15'!$X$2:$X$500,$D94,'Region 15'!$S$2:$S$500,$A94)</f>
        <v>#DIV/0!</v>
      </c>
      <c r="I94" t="e">
        <f ca="1">AVERAGEIFS('Region 15'!$W$2:$W$500,'Region 15'!$A$2:$A$500,I$1,'Region 15'!$X$2:$X$500,$D94,'Region 15'!$S$2:$S$500,$A94)</f>
        <v>#DIV/0!</v>
      </c>
      <c r="J94" t="e">
        <f ca="1">AVERAGEIFS('Region 15'!$W$2:$W$500,'Region 15'!$A$2:$A$500,J$1,'Region 15'!$X$2:$X$500,$D94,'Region 15'!$S$2:$S$500,$A94)</f>
        <v>#DIV/0!</v>
      </c>
      <c r="K94" t="e">
        <f ca="1">AVERAGEIFS('Region 15'!$W$2:$W$500,'Region 15'!$A$2:$A$500,K$1,'Region 15'!$X$2:$X$500,$D94,'Region 15'!$S$2:$S$500,$A94)</f>
        <v>#DIV/0!</v>
      </c>
      <c r="L94" t="e">
        <f ca="1">AVERAGEIFS('Region 15'!$W$2:$W$500,'Region 15'!$A$2:$A$500,L$1,'Region 15'!$X$2:$X$500,$D94,'Region 15'!$S$2:$S$500,$A94)</f>
        <v>#DIV/0!</v>
      </c>
      <c r="M94" t="e">
        <f ca="1">AVERAGEIFS('Region 15'!$W$2:$W$500,'Region 15'!$A$2:$A$500,M$1,'Region 15'!$X$2:$X$500,$D94,'Region 15'!$S$2:$S$500,$A94)</f>
        <v>#DIV/0!</v>
      </c>
      <c r="N94" t="e">
        <f ca="1">AVERAGEIFS('Region 15'!$W$2:$W$500,'Region 15'!$A$2:$A$500,N$1,'Region 15'!$X$2:$X$500,$D94,'Region 15'!$S$2:$S$500,$A94)</f>
        <v>#DIV/0!</v>
      </c>
      <c r="Q94" t="str">
        <f t="shared" si="31"/>
        <v>Concrete</v>
      </c>
      <c r="R94" t="str">
        <f t="shared" si="32"/>
        <v>High-rise</v>
      </c>
      <c r="S94">
        <f t="shared" si="33"/>
        <v>15</v>
      </c>
      <c r="T94" t="str">
        <f t="shared" ca="1" si="21"/>
        <v>-</v>
      </c>
      <c r="U94" t="str">
        <f t="shared" ca="1" si="22"/>
        <v>-</v>
      </c>
      <c r="V94" t="str">
        <f t="shared" ca="1" si="23"/>
        <v>-</v>
      </c>
      <c r="W94" t="str">
        <f t="shared" ca="1" si="24"/>
        <v>-</v>
      </c>
      <c r="X94" t="str">
        <f t="shared" ca="1" si="25"/>
        <v>-</v>
      </c>
      <c r="Y94" t="str">
        <f t="shared" ca="1" si="26"/>
        <v>-</v>
      </c>
      <c r="Z94" t="str">
        <f t="shared" ca="1" si="27"/>
        <v>-</v>
      </c>
      <c r="AA94" t="str">
        <f t="shared" ca="1" si="28"/>
        <v>-</v>
      </c>
      <c r="AB94" t="str">
        <f t="shared" ca="1" si="29"/>
        <v>-</v>
      </c>
      <c r="AC94" t="str">
        <f t="shared" ca="1" si="30"/>
        <v>-</v>
      </c>
    </row>
    <row r="95" spans="1:29" x14ac:dyDescent="0.3">
      <c r="A95" t="s">
        <v>65</v>
      </c>
      <c r="B95" t="s">
        <v>895</v>
      </c>
      <c r="C95">
        <f t="shared" si="20"/>
        <v>16</v>
      </c>
      <c r="D95">
        <v>4</v>
      </c>
      <c r="E95" t="e">
        <f ca="1">AVERAGEIFS('Region 16'!$W$2:$W$500,'Region 16'!$A$2:$A$500,E$1,'Region 16'!$X$2:$X$500,$D95,'Region 16'!$S$2:$S$500,$A95)</f>
        <v>#DIV/0!</v>
      </c>
      <c r="F95" t="e">
        <f ca="1">AVERAGEIFS('Region 16'!$W$2:$W$500,'Region 16'!$A$2:$A$500,F$1,'Region 16'!$X$2:$X$500,$D95,'Region 16'!$S$2:$S$500,$A95)</f>
        <v>#DIV/0!</v>
      </c>
      <c r="G95" t="e">
        <f ca="1">AVERAGEIFS('Region 16'!$W$2:$W$500,'Region 16'!$A$2:$A$500,G$1,'Region 16'!$X$2:$X$500,$D95,'Region 16'!$S$2:$S$500,$A95)</f>
        <v>#DIV/0!</v>
      </c>
      <c r="H95" t="e">
        <f ca="1">AVERAGEIFS('Region 16'!$W$2:$W$500,'Region 16'!$A$2:$A$500,H$1,'Region 16'!$X$2:$X$500,$D95,'Region 16'!$S$2:$S$500,$A95)</f>
        <v>#DIV/0!</v>
      </c>
      <c r="I95" t="e">
        <f ca="1">AVERAGEIFS('Region 16'!$W$2:$W$500,'Region 16'!$A$2:$A$500,I$1,'Region 16'!$X$2:$X$500,$D95,'Region 16'!$S$2:$S$500,$A95)</f>
        <v>#DIV/0!</v>
      </c>
      <c r="J95" t="e">
        <f ca="1">AVERAGEIFS('Region 16'!$W$2:$W$500,'Region 16'!$A$2:$A$500,J$1,'Region 16'!$X$2:$X$500,$D95,'Region 16'!$S$2:$S$500,$A95)</f>
        <v>#DIV/0!</v>
      </c>
      <c r="K95" t="e">
        <f ca="1">AVERAGEIFS('Region 16'!$W$2:$W$500,'Region 16'!$A$2:$A$500,K$1,'Region 16'!$X$2:$X$500,$D95,'Region 16'!$S$2:$S$500,$A95)</f>
        <v>#DIV/0!</v>
      </c>
      <c r="L95" t="e">
        <f ca="1">AVERAGEIFS('Region 16'!$W$2:$W$500,'Region 16'!$A$2:$A$500,L$1,'Region 16'!$X$2:$X$500,$D95,'Region 16'!$S$2:$S$500,$A95)</f>
        <v>#DIV/0!</v>
      </c>
      <c r="M95" t="e">
        <f ca="1">AVERAGEIFS('Region 16'!$W$2:$W$500,'Region 16'!$A$2:$A$500,M$1,'Region 16'!$X$2:$X$500,$D95,'Region 16'!$S$2:$S$500,$A95)</f>
        <v>#DIV/0!</v>
      </c>
      <c r="N95" t="e">
        <f ca="1">AVERAGEIFS('Region 16'!$W$2:$W$500,'Region 16'!$A$2:$A$500,N$1,'Region 16'!$X$2:$X$500,$D95,'Region 16'!$S$2:$S$500,$A95)</f>
        <v>#DIV/0!</v>
      </c>
      <c r="Q95" t="str">
        <f t="shared" si="31"/>
        <v>Concrete</v>
      </c>
      <c r="R95" t="str">
        <f t="shared" si="32"/>
        <v>High-rise</v>
      </c>
      <c r="S95">
        <f t="shared" si="33"/>
        <v>16</v>
      </c>
      <c r="T95" t="str">
        <f t="shared" ca="1" si="21"/>
        <v>-</v>
      </c>
      <c r="U95" t="str">
        <f t="shared" ca="1" si="22"/>
        <v>-</v>
      </c>
      <c r="V95" t="str">
        <f t="shared" ca="1" si="23"/>
        <v>-</v>
      </c>
      <c r="W95" t="str">
        <f t="shared" ca="1" si="24"/>
        <v>-</v>
      </c>
      <c r="X95" t="str">
        <f t="shared" ca="1" si="25"/>
        <v>-</v>
      </c>
      <c r="Y95" t="str">
        <f t="shared" ca="1" si="26"/>
        <v>-</v>
      </c>
      <c r="Z95" t="str">
        <f t="shared" ca="1" si="27"/>
        <v>-</v>
      </c>
      <c r="AA95" t="str">
        <f t="shared" ca="1" si="28"/>
        <v>-</v>
      </c>
      <c r="AB95" t="str">
        <f t="shared" ca="1" si="29"/>
        <v>-</v>
      </c>
      <c r="AC95" t="str">
        <f t="shared" ca="1" si="30"/>
        <v>-</v>
      </c>
    </row>
    <row r="96" spans="1:29" x14ac:dyDescent="0.3">
      <c r="A96" t="s">
        <v>65</v>
      </c>
      <c r="B96" t="s">
        <v>895</v>
      </c>
      <c r="C96">
        <f t="shared" si="20"/>
        <v>17</v>
      </c>
      <c r="D96">
        <v>4</v>
      </c>
      <c r="E96" t="e">
        <f>AVERAGEIFS('Region 17'!$W$2:$W$498,'Region 17'!$A$2:$A$498,E$1,'Region 17'!$X$2:$X$498,$D96,'Region 17'!$S$2:$S$498,$A96)</f>
        <v>#DIV/0!</v>
      </c>
      <c r="F96" t="e">
        <f>AVERAGEIFS('Region 17'!$W$2:$W$498,'Region 17'!$A$2:$A$498,F$1,'Region 17'!$X$2:$X$498,$D96,'Region 17'!$S$2:$S$498,$A96)</f>
        <v>#DIV/0!</v>
      </c>
      <c r="G96" t="e">
        <f>AVERAGEIFS('Region 17'!$W$2:$W$498,'Region 17'!$A$2:$A$498,G$1,'Region 17'!$X$2:$X$498,$D96,'Region 17'!$S$2:$S$498,$A96)</f>
        <v>#DIV/0!</v>
      </c>
      <c r="H96" t="e">
        <f>AVERAGEIFS('Region 17'!$W$2:$W$498,'Region 17'!$A$2:$A$498,H$1,'Region 17'!$X$2:$X$498,$D96,'Region 17'!$S$2:$S$498,$A96)</f>
        <v>#DIV/0!</v>
      </c>
      <c r="I96" t="e">
        <f>AVERAGEIFS('Region 17'!$W$2:$W$498,'Region 17'!$A$2:$A$498,I$1,'Region 17'!$X$2:$X$498,$D96,'Region 17'!$S$2:$S$498,$A96)</f>
        <v>#DIV/0!</v>
      </c>
      <c r="J96" t="e">
        <f>AVERAGEIFS('Region 17'!$W$2:$W$498,'Region 17'!$A$2:$A$498,J$1,'Region 17'!$X$2:$X$498,$D96,'Region 17'!$S$2:$S$498,$A96)</f>
        <v>#DIV/0!</v>
      </c>
      <c r="K96" t="e">
        <f>AVERAGEIFS('Region 17'!$W$2:$W$498,'Region 17'!$A$2:$A$498,K$1,'Region 17'!$X$2:$X$498,$D96,'Region 17'!$S$2:$S$498,$A96)</f>
        <v>#DIV/0!</v>
      </c>
      <c r="L96" t="e">
        <f>AVERAGEIFS('Region 17'!$W$2:$W$498,'Region 17'!$A$2:$A$498,L$1,'Region 17'!$X$2:$X$498,$D96,'Region 17'!$S$2:$S$498,$A96)</f>
        <v>#DIV/0!</v>
      </c>
      <c r="M96" t="e">
        <f>AVERAGEIFS('Region 17'!$W$2:$W$498,'Region 17'!$A$2:$A$498,M$1,'Region 17'!$X$2:$X$498,$D96,'Region 17'!$S$2:$S$498,$A96)</f>
        <v>#DIV/0!</v>
      </c>
      <c r="N96" t="e">
        <f>AVERAGEIFS('Region 17'!$W$2:$W$498,'Region 17'!$A$2:$A$498,N$1,'Region 17'!$X$2:$X$498,$D96,'Region 17'!$S$2:$S$498,$A96)</f>
        <v>#DIV/0!</v>
      </c>
      <c r="Q96" t="str">
        <f t="shared" si="31"/>
        <v>Concrete</v>
      </c>
      <c r="R96" t="str">
        <f t="shared" si="32"/>
        <v>High-rise</v>
      </c>
      <c r="S96">
        <f t="shared" si="33"/>
        <v>17</v>
      </c>
      <c r="T96" t="str">
        <f t="shared" si="21"/>
        <v>-</v>
      </c>
      <c r="U96" t="str">
        <f t="shared" si="22"/>
        <v>-</v>
      </c>
      <c r="V96" t="str">
        <f t="shared" si="23"/>
        <v>-</v>
      </c>
      <c r="W96" t="str">
        <f t="shared" si="24"/>
        <v>-</v>
      </c>
      <c r="X96" t="str">
        <f t="shared" si="25"/>
        <v>-</v>
      </c>
      <c r="Y96" t="str">
        <f t="shared" si="26"/>
        <v>-</v>
      </c>
      <c r="Z96" t="str">
        <f t="shared" si="27"/>
        <v>-</v>
      </c>
      <c r="AA96" t="str">
        <f t="shared" si="28"/>
        <v>-</v>
      </c>
      <c r="AB96" t="str">
        <f t="shared" si="29"/>
        <v>-</v>
      </c>
      <c r="AC96" t="str">
        <f t="shared" si="30"/>
        <v>-</v>
      </c>
    </row>
    <row r="97" spans="1:29" x14ac:dyDescent="0.3">
      <c r="A97" t="s">
        <v>65</v>
      </c>
      <c r="B97" t="s">
        <v>895</v>
      </c>
      <c r="C97">
        <f t="shared" si="20"/>
        <v>18</v>
      </c>
      <c r="D97">
        <v>4</v>
      </c>
      <c r="E97">
        <f>AVERAGEIFS('Region 18'!$W$2:$W$468,'Region 18'!$A$2:$A$468,E$1,'Region 18'!$X$2:$X$468,$D97,'Region 18'!$S$2:$S$468,$A97)</f>
        <v>1733.6028477485509</v>
      </c>
      <c r="F97" t="e">
        <f>AVERAGEIFS('Region 18'!$W$2:$W$468,'Region 18'!$A$2:$A$468,F$1,'Region 18'!$X$2:$X$468,$D97,'Region 18'!$S$2:$S$468,$A97)</f>
        <v>#DIV/0!</v>
      </c>
      <c r="G97" t="e">
        <f>AVERAGEIFS('Region 18'!$W$2:$W$468,'Region 18'!$A$2:$A$468,G$1,'Region 18'!$X$2:$X$468,$D97,'Region 18'!$S$2:$S$468,$A97)</f>
        <v>#DIV/0!</v>
      </c>
      <c r="H97" t="e">
        <f>AVERAGEIFS('Region 18'!$W$2:$W$468,'Region 18'!$A$2:$A$468,H$1,'Region 18'!$X$2:$X$468,$D97,'Region 18'!$S$2:$S$468,$A97)</f>
        <v>#DIV/0!</v>
      </c>
      <c r="I97" t="e">
        <f>AVERAGEIFS('Region 18'!$W$2:$W$468,'Region 18'!$A$2:$A$468,I$1,'Region 18'!$X$2:$X$468,$D97,'Region 18'!$S$2:$S$468,$A97)</f>
        <v>#DIV/0!</v>
      </c>
      <c r="J97" t="e">
        <f>AVERAGEIFS('Region 18'!$W$2:$W$468,'Region 18'!$A$2:$A$468,J$1,'Region 18'!$X$2:$X$468,$D97,'Region 18'!$S$2:$S$468,$A97)</f>
        <v>#DIV/0!</v>
      </c>
      <c r="K97" t="e">
        <f>AVERAGEIFS('Region 18'!$W$2:$W$468,'Region 18'!$A$2:$A$468,K$1,'Region 18'!$X$2:$X$468,$D97,'Region 18'!$S$2:$S$468,$A97)</f>
        <v>#DIV/0!</v>
      </c>
      <c r="L97" t="e">
        <f>AVERAGEIFS('Region 18'!$W$2:$W$468,'Region 18'!$A$2:$A$468,L$1,'Region 18'!$X$2:$X$468,$D97,'Region 18'!$S$2:$S$468,$A97)</f>
        <v>#DIV/0!</v>
      </c>
      <c r="M97" t="e">
        <f>AVERAGEIFS('Region 18'!$W$2:$W$468,'Region 18'!$A$2:$A$468,M$1,'Region 18'!$X$2:$X$468,$D97,'Region 18'!$S$2:$S$468,$A97)</f>
        <v>#DIV/0!</v>
      </c>
      <c r="N97" t="e">
        <f>AVERAGEIFS('Region 18'!$W$2:$W$468,'Region 18'!$A$2:$A$468,N$1,'Region 18'!$X$2:$X$468,$D97,'Region 18'!$S$2:$S$468,$A97)</f>
        <v>#DIV/0!</v>
      </c>
      <c r="Q97" t="str">
        <f t="shared" si="31"/>
        <v>Concrete</v>
      </c>
      <c r="R97" t="str">
        <f t="shared" si="32"/>
        <v>High-rise</v>
      </c>
      <c r="S97">
        <f t="shared" si="33"/>
        <v>18</v>
      </c>
      <c r="T97">
        <f t="shared" si="21"/>
        <v>1733.6028477485509</v>
      </c>
      <c r="U97" t="str">
        <f t="shared" si="22"/>
        <v>-</v>
      </c>
      <c r="V97" t="str">
        <f t="shared" si="23"/>
        <v>-</v>
      </c>
      <c r="W97" t="str">
        <f t="shared" si="24"/>
        <v>-</v>
      </c>
      <c r="X97" t="str">
        <f t="shared" si="25"/>
        <v>-</v>
      </c>
      <c r="Y97" t="str">
        <f t="shared" si="26"/>
        <v>-</v>
      </c>
      <c r="Z97" t="str">
        <f t="shared" si="27"/>
        <v>-</v>
      </c>
      <c r="AA97" t="str">
        <f t="shared" si="28"/>
        <v>-</v>
      </c>
      <c r="AB97" t="str">
        <f t="shared" si="29"/>
        <v>-</v>
      </c>
      <c r="AC97" t="str">
        <f t="shared" si="30"/>
        <v>-</v>
      </c>
    </row>
    <row r="98" spans="1:29" x14ac:dyDescent="0.3">
      <c r="A98" t="s">
        <v>65</v>
      </c>
      <c r="B98" t="s">
        <v>895</v>
      </c>
      <c r="C98">
        <f t="shared" si="20"/>
        <v>19</v>
      </c>
      <c r="D98">
        <v>4</v>
      </c>
      <c r="E98">
        <f>AVERAGEIFS('Region 19'!$W$2:$W$494,'Region 19'!$A$2:$A$494,E$1,'Region 19'!$X$2:$X$494,$D98,'Region 19'!$S$2:$S$494,$A98)</f>
        <v>657.75666005992298</v>
      </c>
      <c r="F98" t="e">
        <f>AVERAGEIFS('Region 19'!$W$2:$W$494,'Region 19'!$A$2:$A$494,F$1,'Region 19'!$X$2:$X$494,$D98,'Region 19'!$S$2:$S$494,$A98)</f>
        <v>#DIV/0!</v>
      </c>
      <c r="G98">
        <f>AVERAGEIFS('Region 19'!$W$2:$W$494,'Region 19'!$A$2:$A$494,G$1,'Region 19'!$X$2:$X$494,$D98,'Region 19'!$S$2:$S$494,$A98)</f>
        <v>1482.3388889934365</v>
      </c>
      <c r="H98" t="e">
        <f>AVERAGEIFS('Region 19'!$W$2:$W$494,'Region 19'!$A$2:$A$494,H$1,'Region 19'!$X$2:$X$494,$D98,'Region 19'!$S$2:$S$494,$A98)</f>
        <v>#DIV/0!</v>
      </c>
      <c r="I98" t="e">
        <f>AVERAGEIFS('Region 19'!$W$2:$W$494,'Region 19'!$A$2:$A$494,I$1,'Region 19'!$X$2:$X$494,$D98,'Region 19'!$S$2:$S$494,$A98)</f>
        <v>#DIV/0!</v>
      </c>
      <c r="J98" t="e">
        <f>AVERAGEIFS('Region 19'!$W$2:$W$494,'Region 19'!$A$2:$A$494,J$1,'Region 19'!$X$2:$X$494,$D98,'Region 19'!$S$2:$S$494,$A98)</f>
        <v>#DIV/0!</v>
      </c>
      <c r="K98" t="e">
        <f>AVERAGEIFS('Region 19'!$W$2:$W$494,'Region 19'!$A$2:$A$494,K$1,'Region 19'!$X$2:$X$494,$D98,'Region 19'!$S$2:$S$494,$A98)</f>
        <v>#DIV/0!</v>
      </c>
      <c r="L98" t="e">
        <f>AVERAGEIFS('Region 19'!$W$2:$W$494,'Region 19'!$A$2:$A$494,L$1,'Region 19'!$X$2:$X$494,$D98,'Region 19'!$S$2:$S$494,$A98)</f>
        <v>#DIV/0!</v>
      </c>
      <c r="M98" t="e">
        <f>AVERAGEIFS('Region 19'!$W$2:$W$494,'Region 19'!$A$2:$A$494,M$1,'Region 19'!$X$2:$X$494,$D98,'Region 19'!$S$2:$S$494,$A98)</f>
        <v>#DIV/0!</v>
      </c>
      <c r="N98" t="e">
        <f>AVERAGEIFS('Region 19'!$W$2:$W$494,'Region 19'!$A$2:$A$494,N$1,'Region 19'!$X$2:$X$494,$D98,'Region 19'!$S$2:$S$494,$A98)</f>
        <v>#DIV/0!</v>
      </c>
      <c r="Q98" t="str">
        <f t="shared" si="31"/>
        <v>Concrete</v>
      </c>
      <c r="R98" t="str">
        <f t="shared" si="32"/>
        <v>High-rise</v>
      </c>
      <c r="S98">
        <f t="shared" si="33"/>
        <v>19</v>
      </c>
      <c r="T98">
        <f t="shared" si="21"/>
        <v>657.75666005992298</v>
      </c>
      <c r="U98" t="str">
        <f t="shared" si="22"/>
        <v>-</v>
      </c>
      <c r="V98">
        <f t="shared" si="23"/>
        <v>1482.3388889934365</v>
      </c>
      <c r="W98" t="str">
        <f t="shared" si="24"/>
        <v>-</v>
      </c>
      <c r="X98" t="str">
        <f t="shared" si="25"/>
        <v>-</v>
      </c>
      <c r="Y98" t="str">
        <f t="shared" si="26"/>
        <v>-</v>
      </c>
      <c r="Z98" t="str">
        <f t="shared" si="27"/>
        <v>-</v>
      </c>
      <c r="AA98" t="str">
        <f t="shared" si="28"/>
        <v>-</v>
      </c>
      <c r="AB98" t="str">
        <f t="shared" si="29"/>
        <v>-</v>
      </c>
      <c r="AC98" t="str">
        <f t="shared" si="30"/>
        <v>-</v>
      </c>
    </row>
    <row r="99" spans="1:29" x14ac:dyDescent="0.3">
      <c r="A99" t="s">
        <v>65</v>
      </c>
      <c r="B99" t="s">
        <v>895</v>
      </c>
      <c r="C99">
        <f t="shared" si="20"/>
        <v>20</v>
      </c>
      <c r="D99">
        <v>4</v>
      </c>
      <c r="E99">
        <f>AVERAGEIFS('Region 20'!$W$2:$W$269,'Region 20'!$A$2:$A$269,E$1,'Region 20'!$X$2:$X$269,$D99,'Region 20'!$S$2:$S$269,$A99)</f>
        <v>170.00781924072476</v>
      </c>
      <c r="F99" t="e">
        <f>AVERAGEIFS('Region 20'!$W$2:$W$269,'Region 20'!$A$2:$A$269,F$1,'Region 20'!$X$2:$X$269,$D99,'Region 20'!$S$2:$S$269,$A99)</f>
        <v>#DIV/0!</v>
      </c>
      <c r="G99" t="e">
        <f>AVERAGEIFS('Region 20'!$W$2:$W$269,'Region 20'!$A$2:$A$269,G$1,'Region 20'!$X$2:$X$269,$D99,'Region 20'!$S$2:$S$269,$A99)</f>
        <v>#DIV/0!</v>
      </c>
      <c r="H99">
        <f>AVERAGEIFS('Region 20'!$W$2:$W$269,'Region 20'!$A$2:$A$269,H$1,'Region 20'!$X$2:$X$269,$D99,'Region 20'!$S$2:$S$269,$A99)</f>
        <v>378.33669008976</v>
      </c>
      <c r="I99" t="e">
        <f>AVERAGEIFS('Region 20'!$W$2:$W$269,'Region 20'!$A$2:$A$269,I$1,'Region 20'!$X$2:$X$269,$D99,'Region 20'!$S$2:$S$269,$A99)</f>
        <v>#DIV/0!</v>
      </c>
      <c r="J99" t="e">
        <f>AVERAGEIFS('Region 20'!$W$2:$W$269,'Region 20'!$A$2:$A$269,J$1,'Region 20'!$X$2:$X$269,$D99,'Region 20'!$S$2:$S$269,$A99)</f>
        <v>#DIV/0!</v>
      </c>
      <c r="K99" t="e">
        <f>AVERAGEIFS('Region 20'!$W$2:$W$269,'Region 20'!$A$2:$A$269,K$1,'Region 20'!$X$2:$X$269,$D99,'Region 20'!$S$2:$S$269,$A99)</f>
        <v>#DIV/0!</v>
      </c>
      <c r="L99" t="e">
        <f>AVERAGEIFS('Region 20'!$W$2:$W$269,'Region 20'!$A$2:$A$269,L$1,'Region 20'!$X$2:$X$269,$D99,'Region 20'!$S$2:$S$269,$A99)</f>
        <v>#DIV/0!</v>
      </c>
      <c r="M99" t="e">
        <f>AVERAGEIFS('Region 20'!$W$2:$W$269,'Region 20'!$A$2:$A$269,M$1,'Region 20'!$X$2:$X$269,$D99,'Region 20'!$S$2:$S$269,$A99)</f>
        <v>#DIV/0!</v>
      </c>
      <c r="N99" t="e">
        <f>AVERAGEIFS('Region 20'!$W$2:$W$269,'Region 20'!$A$2:$A$269,N$1,'Region 20'!$X$2:$X$269,$D99,'Region 20'!$S$2:$S$269,$A99)</f>
        <v>#DIV/0!</v>
      </c>
      <c r="Q99" t="str">
        <f t="shared" si="31"/>
        <v>Concrete</v>
      </c>
      <c r="R99" t="str">
        <f t="shared" si="32"/>
        <v>High-rise</v>
      </c>
      <c r="S99">
        <f t="shared" si="33"/>
        <v>20</v>
      </c>
      <c r="T99">
        <f t="shared" si="21"/>
        <v>170.00781924072476</v>
      </c>
      <c r="U99" t="str">
        <f t="shared" si="22"/>
        <v>-</v>
      </c>
      <c r="V99" t="str">
        <f t="shared" si="23"/>
        <v>-</v>
      </c>
      <c r="W99">
        <f t="shared" si="24"/>
        <v>378.33669008976</v>
      </c>
      <c r="X99" t="str">
        <f t="shared" si="25"/>
        <v>-</v>
      </c>
      <c r="Y99" t="str">
        <f t="shared" si="26"/>
        <v>-</v>
      </c>
      <c r="Z99" t="str">
        <f t="shared" si="27"/>
        <v>-</v>
      </c>
      <c r="AA99" t="str">
        <f t="shared" si="28"/>
        <v>-</v>
      </c>
      <c r="AB99" t="str">
        <f t="shared" si="29"/>
        <v>-</v>
      </c>
      <c r="AC99" t="str">
        <f t="shared" si="30"/>
        <v>-</v>
      </c>
    </row>
    <row r="100" spans="1:29" x14ac:dyDescent="0.3">
      <c r="A100" t="s">
        <v>65</v>
      </c>
      <c r="B100" t="s">
        <v>895</v>
      </c>
      <c r="C100">
        <f t="shared" si="20"/>
        <v>21</v>
      </c>
      <c r="D100">
        <v>4</v>
      </c>
      <c r="E100" t="e">
        <f>AVERAGEIFS('Region 21'!$W$2:$W$497,'Region 21'!$A$2:$A$497,E$1,'Region 21'!$X$2:$X$497,$D100,'Region 21'!$S$2:$S$497,$A100)</f>
        <v>#DIV/0!</v>
      </c>
      <c r="F100" t="e">
        <f>AVERAGEIFS('Region 21'!$W$2:$W$497,'Region 21'!$A$2:$A$497,F$1,'Region 21'!$X$2:$X$497,$D100,'Region 21'!$S$2:$S$497,$A100)</f>
        <v>#DIV/0!</v>
      </c>
      <c r="G100" t="e">
        <f>AVERAGEIFS('Region 21'!$W$2:$W$497,'Region 21'!$A$2:$A$497,G$1,'Region 21'!$X$2:$X$497,$D100,'Region 21'!$S$2:$S$497,$A100)</f>
        <v>#DIV/0!</v>
      </c>
      <c r="H100" t="e">
        <f>AVERAGEIFS('Region 21'!$W$2:$W$497,'Region 21'!$A$2:$A$497,H$1,'Region 21'!$X$2:$X$497,$D100,'Region 21'!$S$2:$S$497,$A100)</f>
        <v>#DIV/0!</v>
      </c>
      <c r="I100" t="e">
        <f>AVERAGEIFS('Region 21'!$W$2:$W$497,'Region 21'!$A$2:$A$497,I$1,'Region 21'!$X$2:$X$497,$D100,'Region 21'!$S$2:$S$497,$A100)</f>
        <v>#DIV/0!</v>
      </c>
      <c r="J100" t="e">
        <f>AVERAGEIFS('Region 21'!$W$2:$W$497,'Region 21'!$A$2:$A$497,J$1,'Region 21'!$X$2:$X$497,$D100,'Region 21'!$S$2:$S$497,$A100)</f>
        <v>#DIV/0!</v>
      </c>
      <c r="K100" t="e">
        <f>AVERAGEIFS('Region 21'!$W$2:$W$497,'Region 21'!$A$2:$A$497,K$1,'Region 21'!$X$2:$X$497,$D100,'Region 21'!$S$2:$S$497,$A100)</f>
        <v>#DIV/0!</v>
      </c>
      <c r="L100" t="e">
        <f>AVERAGEIFS('Region 21'!$W$2:$W$497,'Region 21'!$A$2:$A$497,L$1,'Region 21'!$X$2:$X$497,$D100,'Region 21'!$S$2:$S$497,$A100)</f>
        <v>#DIV/0!</v>
      </c>
      <c r="M100" t="e">
        <f>AVERAGEIFS('Region 21'!$W$2:$W$497,'Region 21'!$A$2:$A$497,M$1,'Region 21'!$X$2:$X$497,$D100,'Region 21'!$S$2:$S$497,$A100)</f>
        <v>#DIV/0!</v>
      </c>
      <c r="N100" t="e">
        <f>AVERAGEIFS('Region 21'!$W$2:$W$497,'Region 21'!$A$2:$A$497,N$1,'Region 21'!$X$2:$X$497,$D100,'Region 21'!$S$2:$S$497,$A100)</f>
        <v>#DIV/0!</v>
      </c>
      <c r="Q100" t="str">
        <f t="shared" si="31"/>
        <v>Concrete</v>
      </c>
      <c r="R100" t="str">
        <f t="shared" si="32"/>
        <v>High-rise</v>
      </c>
      <c r="S100">
        <f t="shared" si="33"/>
        <v>21</v>
      </c>
      <c r="T100" t="str">
        <f t="shared" si="21"/>
        <v>-</v>
      </c>
      <c r="U100" t="str">
        <f t="shared" si="22"/>
        <v>-</v>
      </c>
      <c r="V100" t="str">
        <f t="shared" si="23"/>
        <v>-</v>
      </c>
      <c r="W100" t="str">
        <f t="shared" si="24"/>
        <v>-</v>
      </c>
      <c r="X100" t="str">
        <f t="shared" si="25"/>
        <v>-</v>
      </c>
      <c r="Y100" t="str">
        <f t="shared" si="26"/>
        <v>-</v>
      </c>
      <c r="Z100" t="str">
        <f t="shared" si="27"/>
        <v>-</v>
      </c>
      <c r="AA100" t="str">
        <f t="shared" si="28"/>
        <v>-</v>
      </c>
      <c r="AB100" t="str">
        <f t="shared" si="29"/>
        <v>-</v>
      </c>
      <c r="AC100" t="str">
        <f t="shared" si="30"/>
        <v>-</v>
      </c>
    </row>
    <row r="101" spans="1:29" x14ac:dyDescent="0.3">
      <c r="A101" t="s">
        <v>65</v>
      </c>
      <c r="B101" t="s">
        <v>895</v>
      </c>
      <c r="C101">
        <f t="shared" si="20"/>
        <v>22</v>
      </c>
      <c r="D101">
        <v>4</v>
      </c>
      <c r="E101" t="e">
        <f>AVERAGEIFS('Region 22'!$W$2:$W$510,'Region 22'!$A$2:$A$510,E$1,'Region 22'!$X$2:$X$510,$D101,'Region 22'!$S$2:$S$510,$A101)</f>
        <v>#DIV/0!</v>
      </c>
      <c r="F101" t="e">
        <f>AVERAGEIFS('Region 22'!$W$2:$W$510,'Region 22'!$A$2:$A$510,F$1,'Region 22'!$X$2:$X$510,$D101,'Region 22'!$S$2:$S$510,$A101)</f>
        <v>#DIV/0!</v>
      </c>
      <c r="G101" t="e">
        <f>AVERAGEIFS('Region 22'!$W$2:$W$510,'Region 22'!$A$2:$A$510,G$1,'Region 22'!$X$2:$X$510,$D101,'Region 22'!$S$2:$S$510,$A101)</f>
        <v>#DIV/0!</v>
      </c>
      <c r="H101" t="e">
        <f>AVERAGEIFS('Region 22'!$W$2:$W$510,'Region 22'!$A$2:$A$510,H$1,'Region 22'!$X$2:$X$510,$D101,'Region 22'!$S$2:$S$510,$A101)</f>
        <v>#DIV/0!</v>
      </c>
      <c r="I101" t="e">
        <f>AVERAGEIFS('Region 22'!$W$2:$W$510,'Region 22'!$A$2:$A$510,I$1,'Region 22'!$X$2:$X$510,$D101,'Region 22'!$S$2:$S$510,$A101)</f>
        <v>#DIV/0!</v>
      </c>
      <c r="J101" t="e">
        <f>AVERAGEIFS('Region 22'!$W$2:$W$510,'Region 22'!$A$2:$A$510,J$1,'Region 22'!$X$2:$X$510,$D101,'Region 22'!$S$2:$S$510,$A101)</f>
        <v>#DIV/0!</v>
      </c>
      <c r="K101" t="e">
        <f>AVERAGEIFS('Region 22'!$W$2:$W$510,'Region 22'!$A$2:$A$510,K$1,'Region 22'!$X$2:$X$510,$D101,'Region 22'!$S$2:$S$510,$A101)</f>
        <v>#DIV/0!</v>
      </c>
      <c r="L101" t="e">
        <f>AVERAGEIFS('Region 22'!$W$2:$W$510,'Region 22'!$A$2:$A$510,L$1,'Region 22'!$X$2:$X$510,$D101,'Region 22'!$S$2:$S$510,$A101)</f>
        <v>#DIV/0!</v>
      </c>
      <c r="M101" t="e">
        <f>AVERAGEIFS('Region 22'!$W$2:$W$510,'Region 22'!$A$2:$A$510,M$1,'Region 22'!$X$2:$X$510,$D101,'Region 22'!$S$2:$S$510,$A101)</f>
        <v>#DIV/0!</v>
      </c>
      <c r="N101" t="e">
        <f>AVERAGEIFS('Region 22'!$W$2:$W$510,'Region 22'!$A$2:$A$510,N$1,'Region 22'!$X$2:$X$510,$D101,'Region 22'!$S$2:$S$510,$A101)</f>
        <v>#DIV/0!</v>
      </c>
      <c r="Q101" t="str">
        <f t="shared" si="31"/>
        <v>Concrete</v>
      </c>
      <c r="R101" t="str">
        <f t="shared" si="32"/>
        <v>High-rise</v>
      </c>
      <c r="S101">
        <f t="shared" si="33"/>
        <v>22</v>
      </c>
      <c r="T101" t="str">
        <f t="shared" si="21"/>
        <v>-</v>
      </c>
      <c r="U101" t="str">
        <f t="shared" si="22"/>
        <v>-</v>
      </c>
      <c r="V101" t="str">
        <f t="shared" si="23"/>
        <v>-</v>
      </c>
      <c r="W101" t="str">
        <f t="shared" si="24"/>
        <v>-</v>
      </c>
      <c r="X101" t="str">
        <f t="shared" si="25"/>
        <v>-</v>
      </c>
      <c r="Y101" t="str">
        <f t="shared" si="26"/>
        <v>-</v>
      </c>
      <c r="Z101" t="str">
        <f t="shared" si="27"/>
        <v>-</v>
      </c>
      <c r="AA101" t="str">
        <f t="shared" si="28"/>
        <v>-</v>
      </c>
      <c r="AB101" t="str">
        <f t="shared" si="29"/>
        <v>-</v>
      </c>
      <c r="AC101" t="str">
        <f t="shared" si="30"/>
        <v>-</v>
      </c>
    </row>
    <row r="102" spans="1:29" x14ac:dyDescent="0.3">
      <c r="A102" t="s">
        <v>65</v>
      </c>
      <c r="B102" t="s">
        <v>895</v>
      </c>
      <c r="C102">
        <f t="shared" si="20"/>
        <v>23</v>
      </c>
      <c r="D102">
        <v>4</v>
      </c>
      <c r="E102" t="e">
        <f>AVERAGEIFS('Region 23'!$W$2:$W$468,'Region 23'!$A$2:$A$468,E$1,'Region 23'!$X$2:$X$468,$D102,'Region 23'!$S$2:$S$468,$A102)</f>
        <v>#DIV/0!</v>
      </c>
      <c r="F102">
        <f>AVERAGEIFS('Region 23'!$W$2:$W$468,'Region 23'!$A$2:$A$468,F$1,'Region 23'!$X$2:$X$468,$D102,'Region 23'!$S$2:$S$468,$A102)</f>
        <v>1871</v>
      </c>
      <c r="G102" t="e">
        <f>AVERAGEIFS('Region 23'!$W$2:$W$468,'Region 23'!$A$2:$A$468,G$1,'Region 23'!$X$2:$X$468,$D102,'Region 23'!$S$2:$S$468,$A102)</f>
        <v>#DIV/0!</v>
      </c>
      <c r="H102" t="e">
        <f>AVERAGEIFS('Region 23'!$W$2:$W$468,'Region 23'!$A$2:$A$468,H$1,'Region 23'!$X$2:$X$468,$D102,'Region 23'!$S$2:$S$468,$A102)</f>
        <v>#DIV/0!</v>
      </c>
      <c r="I102" t="e">
        <f>AVERAGEIFS('Region 23'!$W$2:$W$468,'Region 23'!$A$2:$A$468,I$1,'Region 23'!$X$2:$X$468,$D102,'Region 23'!$S$2:$S$468,$A102)</f>
        <v>#DIV/0!</v>
      </c>
      <c r="J102" t="e">
        <f>AVERAGEIFS('Region 23'!$W$2:$W$468,'Region 23'!$A$2:$A$468,J$1,'Region 23'!$X$2:$X$468,$D102,'Region 23'!$S$2:$S$468,$A102)</f>
        <v>#DIV/0!</v>
      </c>
      <c r="K102" t="e">
        <f>AVERAGEIFS('Region 23'!$W$2:$W$468,'Region 23'!$A$2:$A$468,K$1,'Region 23'!$X$2:$X$468,$D102,'Region 23'!$S$2:$S$468,$A102)</f>
        <v>#DIV/0!</v>
      </c>
      <c r="L102" t="e">
        <f>AVERAGEIFS('Region 23'!$W$2:$W$468,'Region 23'!$A$2:$A$468,L$1,'Region 23'!$X$2:$X$468,$D102,'Region 23'!$S$2:$S$468,$A102)</f>
        <v>#DIV/0!</v>
      </c>
      <c r="M102" t="e">
        <f>AVERAGEIFS('Region 23'!$W$2:$W$468,'Region 23'!$A$2:$A$468,M$1,'Region 23'!$X$2:$X$468,$D102,'Region 23'!$S$2:$S$468,$A102)</f>
        <v>#DIV/0!</v>
      </c>
      <c r="N102" t="e">
        <f>AVERAGEIFS('Region 23'!$W$2:$W$468,'Region 23'!$A$2:$A$468,N$1,'Region 23'!$X$2:$X$468,$D102,'Region 23'!$S$2:$S$468,$A102)</f>
        <v>#DIV/0!</v>
      </c>
      <c r="Q102" t="str">
        <f t="shared" si="31"/>
        <v>Concrete</v>
      </c>
      <c r="R102" t="str">
        <f t="shared" si="32"/>
        <v>High-rise</v>
      </c>
      <c r="S102">
        <f t="shared" si="33"/>
        <v>23</v>
      </c>
      <c r="T102" t="str">
        <f t="shared" si="21"/>
        <v>-</v>
      </c>
      <c r="U102">
        <f t="shared" si="22"/>
        <v>1871</v>
      </c>
      <c r="V102" t="str">
        <f t="shared" si="23"/>
        <v>-</v>
      </c>
      <c r="W102" t="str">
        <f t="shared" si="24"/>
        <v>-</v>
      </c>
      <c r="X102" t="str">
        <f t="shared" si="25"/>
        <v>-</v>
      </c>
      <c r="Y102" t="str">
        <f t="shared" si="26"/>
        <v>-</v>
      </c>
      <c r="Z102" t="str">
        <f t="shared" si="27"/>
        <v>-</v>
      </c>
      <c r="AA102" t="str">
        <f t="shared" si="28"/>
        <v>-</v>
      </c>
      <c r="AB102" t="str">
        <f t="shared" si="29"/>
        <v>-</v>
      </c>
      <c r="AC102" t="str">
        <f t="shared" si="30"/>
        <v>-</v>
      </c>
    </row>
    <row r="103" spans="1:29" x14ac:dyDescent="0.3">
      <c r="A103" t="s">
        <v>65</v>
      </c>
      <c r="B103" t="s">
        <v>895</v>
      </c>
      <c r="C103">
        <f t="shared" si="20"/>
        <v>24</v>
      </c>
      <c r="D103">
        <v>4</v>
      </c>
      <c r="E103" t="e">
        <f>AVERAGEIFS('Region 24'!$W$2:$W$454,'Region 24'!$A$2:$A$454,E$1,'Region 24'!$X$2:$X$454,$D103,'Region 24'!$S$2:$S$454,$A103)</f>
        <v>#DIV/0!</v>
      </c>
      <c r="F103" t="e">
        <f>AVERAGEIFS('Region 24'!$W$2:$W$454,'Region 24'!$A$2:$A$454,F$1,'Region 24'!$X$2:$X$454,$D103,'Region 24'!$S$2:$S$454,$A103)</f>
        <v>#DIV/0!</v>
      </c>
      <c r="G103" t="e">
        <f>AVERAGEIFS('Region 24'!$W$2:$W$454,'Region 24'!$A$2:$A$454,G$1,'Region 24'!$X$2:$X$454,$D103,'Region 24'!$S$2:$S$454,$A103)</f>
        <v>#DIV/0!</v>
      </c>
      <c r="H103" t="e">
        <f>AVERAGEIFS('Region 24'!$W$2:$W$454,'Region 24'!$A$2:$A$454,H$1,'Region 24'!$X$2:$X$454,$D103,'Region 24'!$S$2:$S$454,$A103)</f>
        <v>#DIV/0!</v>
      </c>
      <c r="I103">
        <f>AVERAGEIFS('Region 24'!$W$2:$W$454,'Region 24'!$A$2:$A$454,I$1,'Region 24'!$X$2:$X$454,$D103,'Region 24'!$S$2:$S$454,$A103)</f>
        <v>1112.8018711077295</v>
      </c>
      <c r="J103" t="e">
        <f>AVERAGEIFS('Region 24'!$W$2:$W$454,'Region 24'!$A$2:$A$454,J$1,'Region 24'!$X$2:$X$454,$D103,'Region 24'!$S$2:$S$454,$A103)</f>
        <v>#DIV/0!</v>
      </c>
      <c r="K103">
        <f>AVERAGEIFS('Region 24'!$W$2:$W$454,'Region 24'!$A$2:$A$454,K$1,'Region 24'!$X$2:$X$454,$D103,'Region 24'!$S$2:$S$454,$A103)</f>
        <v>1148.1791204357123</v>
      </c>
      <c r="L103" t="e">
        <f>AVERAGEIFS('Region 24'!$W$2:$W$454,'Region 24'!$A$2:$A$454,L$1,'Region 24'!$X$2:$X$454,$D103,'Region 24'!$S$2:$S$454,$A103)</f>
        <v>#DIV/0!</v>
      </c>
      <c r="M103" t="e">
        <f>AVERAGEIFS('Region 24'!$W$2:$W$454,'Region 24'!$A$2:$A$454,M$1,'Region 24'!$X$2:$X$454,$D103,'Region 24'!$S$2:$S$454,$A103)</f>
        <v>#DIV/0!</v>
      </c>
      <c r="N103" t="e">
        <f>AVERAGEIFS('Region 24'!$W$2:$W$454,'Region 24'!$A$2:$A$454,N$1,'Region 24'!$X$2:$X$454,$D103,'Region 24'!$S$2:$S$454,$A103)</f>
        <v>#DIV/0!</v>
      </c>
      <c r="Q103" t="str">
        <f t="shared" si="31"/>
        <v>Concrete</v>
      </c>
      <c r="R103" t="str">
        <f t="shared" si="32"/>
        <v>High-rise</v>
      </c>
      <c r="S103">
        <f t="shared" si="33"/>
        <v>24</v>
      </c>
      <c r="T103" t="str">
        <f t="shared" si="21"/>
        <v>-</v>
      </c>
      <c r="U103" t="str">
        <f t="shared" si="22"/>
        <v>-</v>
      </c>
      <c r="V103" t="str">
        <f t="shared" si="23"/>
        <v>-</v>
      </c>
      <c r="W103" t="str">
        <f t="shared" si="24"/>
        <v>-</v>
      </c>
      <c r="X103">
        <f t="shared" si="25"/>
        <v>1112.8018711077295</v>
      </c>
      <c r="Y103" t="str">
        <f t="shared" si="26"/>
        <v>-</v>
      </c>
      <c r="Z103">
        <f t="shared" si="27"/>
        <v>1148.1791204357123</v>
      </c>
      <c r="AA103" t="str">
        <f t="shared" si="28"/>
        <v>-</v>
      </c>
      <c r="AB103" t="str">
        <f t="shared" si="29"/>
        <v>-</v>
      </c>
      <c r="AC103" t="str">
        <f t="shared" si="30"/>
        <v>-</v>
      </c>
    </row>
    <row r="104" spans="1:29" x14ac:dyDescent="0.3">
      <c r="A104" t="s">
        <v>65</v>
      </c>
      <c r="B104" t="s">
        <v>895</v>
      </c>
      <c r="C104">
        <f t="shared" si="20"/>
        <v>25</v>
      </c>
      <c r="D104">
        <v>4</v>
      </c>
      <c r="E104" t="e">
        <f>AVERAGEIFS('Region 25'!$W$2:$W$499,'Region 25'!$A$2:$A$499,E$1,'Region 25'!$X$2:$X$499,$D104,'Region 25'!$S$2:$S$499,$A104)</f>
        <v>#DIV/0!</v>
      </c>
      <c r="F104" t="e">
        <f>AVERAGEIFS('Region 25'!$W$2:$W$499,'Region 25'!$A$2:$A$499,F$1,'Region 25'!$X$2:$X$499,$D104,'Region 25'!$S$2:$S$499,$A104)</f>
        <v>#DIV/0!</v>
      </c>
      <c r="G104" t="e">
        <f>AVERAGEIFS('Region 25'!$W$2:$W$499,'Region 25'!$A$2:$A$499,G$1,'Region 25'!$X$2:$X$499,$D104,'Region 25'!$S$2:$S$499,$A104)</f>
        <v>#DIV/0!</v>
      </c>
      <c r="H104" t="e">
        <f>AVERAGEIFS('Region 25'!$W$2:$W$499,'Region 25'!$A$2:$A$499,H$1,'Region 25'!$X$2:$X$499,$D104,'Region 25'!$S$2:$S$499,$A104)</f>
        <v>#DIV/0!</v>
      </c>
      <c r="I104" t="e">
        <f>AVERAGEIFS('Region 25'!$W$2:$W$499,'Region 25'!$A$2:$A$499,I$1,'Region 25'!$X$2:$X$499,$D104,'Region 25'!$S$2:$S$499,$A104)</f>
        <v>#DIV/0!</v>
      </c>
      <c r="J104" t="e">
        <f>AVERAGEIFS('Region 25'!$W$2:$W$499,'Region 25'!$A$2:$A$499,J$1,'Region 25'!$X$2:$X$499,$D104,'Region 25'!$S$2:$S$499,$A104)</f>
        <v>#DIV/0!</v>
      </c>
      <c r="K104" t="e">
        <f>AVERAGEIFS('Region 25'!$W$2:$W$499,'Region 25'!$A$2:$A$499,K$1,'Region 25'!$X$2:$X$499,$D104,'Region 25'!$S$2:$S$499,$A104)</f>
        <v>#DIV/0!</v>
      </c>
      <c r="L104" t="e">
        <f>AVERAGEIFS('Region 25'!$W$2:$W$499,'Region 25'!$A$2:$A$499,L$1,'Region 25'!$X$2:$X$499,$D104,'Region 25'!$S$2:$S$499,$A104)</f>
        <v>#DIV/0!</v>
      </c>
      <c r="M104" t="e">
        <f>AVERAGEIFS('Region 25'!$W$2:$W$499,'Region 25'!$A$2:$A$499,M$1,'Region 25'!$X$2:$X$499,$D104,'Region 25'!$S$2:$S$499,$A104)</f>
        <v>#DIV/0!</v>
      </c>
      <c r="N104" t="e">
        <f>AVERAGEIFS('Region 25'!$W$2:$W$499,'Region 25'!$A$2:$A$499,N$1,'Region 25'!$X$2:$X$499,$D104,'Region 25'!$S$2:$S$499,$A104)</f>
        <v>#DIV/0!</v>
      </c>
      <c r="Q104" t="str">
        <f t="shared" si="31"/>
        <v>Concrete</v>
      </c>
      <c r="R104" t="str">
        <f t="shared" si="32"/>
        <v>High-rise</v>
      </c>
      <c r="S104">
        <f t="shared" si="33"/>
        <v>25</v>
      </c>
      <c r="T104" t="str">
        <f t="shared" si="21"/>
        <v>-</v>
      </c>
      <c r="U104" t="str">
        <f t="shared" si="22"/>
        <v>-</v>
      </c>
      <c r="V104" t="str">
        <f t="shared" si="23"/>
        <v>-</v>
      </c>
      <c r="W104" t="str">
        <f t="shared" si="24"/>
        <v>-</v>
      </c>
      <c r="X104" t="str">
        <f t="shared" si="25"/>
        <v>-</v>
      </c>
      <c r="Y104" t="str">
        <f t="shared" si="26"/>
        <v>-</v>
      </c>
      <c r="Z104" t="str">
        <f t="shared" si="27"/>
        <v>-</v>
      </c>
      <c r="AA104" t="str">
        <f t="shared" si="28"/>
        <v>-</v>
      </c>
      <c r="AB104" t="str">
        <f t="shared" si="29"/>
        <v>-</v>
      </c>
      <c r="AC104" t="str">
        <f t="shared" si="30"/>
        <v>-</v>
      </c>
    </row>
    <row r="105" spans="1:29" x14ac:dyDescent="0.3">
      <c r="A105" t="s">
        <v>65</v>
      </c>
      <c r="B105" t="s">
        <v>895</v>
      </c>
      <c r="C105">
        <f t="shared" si="20"/>
        <v>26</v>
      </c>
      <c r="D105">
        <v>4</v>
      </c>
      <c r="E105" t="e">
        <f ca="1">AVERAGEIFS('Region 26'!$W$2:$W$500,'Region 26'!$A$2:$A$500,E$1,'Region 26'!$X$2:$X$500,$D105,'Region 26'!$S$2:$S$500,$A105)</f>
        <v>#DIV/0!</v>
      </c>
      <c r="F105" t="e">
        <f ca="1">AVERAGEIFS('Region 26'!$W$2:$W$500,'Region 26'!$A$2:$A$500,F$1,'Region 26'!$X$2:$X$500,$D105,'Region 26'!$S$2:$S$500,$A105)</f>
        <v>#DIV/0!</v>
      </c>
      <c r="G105" t="e">
        <f ca="1">AVERAGEIFS('Region 26'!$W$2:$W$500,'Region 26'!$A$2:$A$500,G$1,'Region 26'!$X$2:$X$500,$D105,'Region 26'!$S$2:$S$500,$A105)</f>
        <v>#DIV/0!</v>
      </c>
      <c r="H105" t="e">
        <f ca="1">AVERAGEIFS('Region 26'!$W$2:$W$500,'Region 26'!$A$2:$A$500,H$1,'Region 26'!$X$2:$X$500,$D105,'Region 26'!$S$2:$S$500,$A105)</f>
        <v>#DIV/0!</v>
      </c>
      <c r="I105" t="e">
        <f ca="1">AVERAGEIFS('Region 26'!$W$2:$W$500,'Region 26'!$A$2:$A$500,I$1,'Region 26'!$X$2:$X$500,$D105,'Region 26'!$S$2:$S$500,$A105)</f>
        <v>#DIV/0!</v>
      </c>
      <c r="J105" t="e">
        <f ca="1">AVERAGEIFS('Region 26'!$W$2:$W$500,'Region 26'!$A$2:$A$500,J$1,'Region 26'!$X$2:$X$500,$D105,'Region 26'!$S$2:$S$500,$A105)</f>
        <v>#DIV/0!</v>
      </c>
      <c r="K105" t="e">
        <f ca="1">AVERAGEIFS('Region 26'!$W$2:$W$500,'Region 26'!$A$2:$A$500,K$1,'Region 26'!$X$2:$X$500,$D105,'Region 26'!$S$2:$S$500,$A105)</f>
        <v>#DIV/0!</v>
      </c>
      <c r="L105" t="e">
        <f ca="1">AVERAGEIFS('Region 26'!$W$2:$W$500,'Region 26'!$A$2:$A$500,L$1,'Region 26'!$X$2:$X$500,$D105,'Region 26'!$S$2:$S$500,$A105)</f>
        <v>#DIV/0!</v>
      </c>
      <c r="M105" t="e">
        <f ca="1">AVERAGEIFS('Region 26'!$W$2:$W$500,'Region 26'!$A$2:$A$500,M$1,'Region 26'!$X$2:$X$500,$D105,'Region 26'!$S$2:$S$500,$A105)</f>
        <v>#DIV/0!</v>
      </c>
      <c r="N105" t="e">
        <f ca="1">AVERAGEIFS('Region 26'!$W$2:$W$500,'Region 26'!$A$2:$A$500,N$1,'Region 26'!$X$2:$X$500,$D105,'Region 26'!$S$2:$S$500,$A105)</f>
        <v>#DIV/0!</v>
      </c>
      <c r="Q105" t="str">
        <f t="shared" si="31"/>
        <v>Concrete</v>
      </c>
      <c r="R105" t="str">
        <f t="shared" si="32"/>
        <v>High-rise</v>
      </c>
      <c r="S105">
        <f t="shared" si="33"/>
        <v>26</v>
      </c>
      <c r="T105" t="str">
        <f t="shared" ca="1" si="21"/>
        <v>-</v>
      </c>
      <c r="U105" t="str">
        <f t="shared" ca="1" si="22"/>
        <v>-</v>
      </c>
      <c r="V105" t="str">
        <f t="shared" ca="1" si="23"/>
        <v>-</v>
      </c>
      <c r="W105" t="str">
        <f t="shared" ca="1" si="24"/>
        <v>-</v>
      </c>
      <c r="X105" t="str">
        <f t="shared" ca="1" si="25"/>
        <v>-</v>
      </c>
      <c r="Y105" t="str">
        <f t="shared" ca="1" si="26"/>
        <v>-</v>
      </c>
      <c r="Z105" t="str">
        <f t="shared" ca="1" si="27"/>
        <v>-</v>
      </c>
      <c r="AA105" t="str">
        <f t="shared" ca="1" si="28"/>
        <v>-</v>
      </c>
      <c r="AB105" t="str">
        <f t="shared" ca="1" si="29"/>
        <v>-</v>
      </c>
      <c r="AC105" t="str">
        <f t="shared" ca="1" si="30"/>
        <v>-</v>
      </c>
    </row>
    <row r="106" spans="1:29" x14ac:dyDescent="0.3">
      <c r="A106" t="s">
        <v>30</v>
      </c>
      <c r="B106" t="str">
        <f>B2</f>
        <v>Detached</v>
      </c>
      <c r="C106">
        <f>C2</f>
        <v>1</v>
      </c>
      <c r="D106">
        <f>D2</f>
        <v>1</v>
      </c>
      <c r="E106">
        <f>AVERAGEIFS('Region 1'!$W$2:$W$498,'Region 1'!$A$2:$A$498,E$1,'Region 1'!$X$2:$X$498,$D106,'Region 1'!$S$2:$S$498,$A106)</f>
        <v>13.433851037297359</v>
      </c>
      <c r="F106" t="e">
        <f>AVERAGEIFS('Region 1'!$W$2:$W$498,'Region 1'!$A$2:$A$498,F$1,'Region 1'!$X$2:$X$498,$D106,'Region 1'!$S$2:$S$498,$A106)</f>
        <v>#DIV/0!</v>
      </c>
      <c r="G106">
        <f>AVERAGEIFS('Region 1'!$W$2:$W$498,'Region 1'!$A$2:$A$498,G$1,'Region 1'!$X$2:$X$498,$D106,'Region 1'!$S$2:$S$498,$A106)</f>
        <v>41.7423875</v>
      </c>
      <c r="H106" t="e">
        <f>AVERAGEIFS('Region 1'!$W$2:$W$498,'Region 1'!$A$2:$A$498,H$1,'Region 1'!$X$2:$X$498,$D106,'Region 1'!$S$2:$S$498,$A106)</f>
        <v>#DIV/0!</v>
      </c>
      <c r="I106" t="e">
        <f>AVERAGEIFS('Region 1'!$W$2:$W$498,'Region 1'!$A$2:$A$498,I$1,'Region 1'!$X$2:$X$498,$D106,'Region 1'!$S$2:$S$498,$A106)</f>
        <v>#DIV/0!</v>
      </c>
      <c r="J106" t="e">
        <f>AVERAGEIFS('Region 1'!$W$2:$W$498,'Region 1'!$A$2:$A$498,J$1,'Region 1'!$X$2:$X$498,$D106,'Region 1'!$S$2:$S$498,$A106)</f>
        <v>#DIV/0!</v>
      </c>
      <c r="K106" t="e">
        <f>AVERAGEIFS('Region 1'!$W$2:$W$498,'Region 1'!$A$2:$A$498,K$1,'Region 1'!$X$2:$X$498,$D106,'Region 1'!$S$2:$S$498,$A106)</f>
        <v>#DIV/0!</v>
      </c>
      <c r="L106" t="e">
        <f>AVERAGEIFS('Region 1'!$W$2:$W$498,'Region 1'!$A$2:$A$498,L$1,'Region 1'!$X$2:$X$498,$D106,'Region 1'!$S$2:$S$498,$A106)</f>
        <v>#DIV/0!</v>
      </c>
      <c r="M106" t="e">
        <f>AVERAGEIFS('Region 1'!$W$2:$W$498,'Region 1'!$A$2:$A$498,M$1,'Region 1'!$X$2:$X$498,$D106,'Region 1'!$S$2:$S$498,$A106)</f>
        <v>#DIV/0!</v>
      </c>
      <c r="N106" t="e">
        <f>AVERAGEIFS('Region 1'!$W$2:$W$498,'Region 1'!$A$2:$A$498,N$1,'Region 1'!$X$2:$X$498,$D106,'Region 1'!$S$2:$S$498,$A106)</f>
        <v>#DIV/0!</v>
      </c>
      <c r="Q106" t="str">
        <f t="shared" si="31"/>
        <v>Steel</v>
      </c>
      <c r="R106" t="str">
        <f t="shared" si="32"/>
        <v>Detached</v>
      </c>
      <c r="S106">
        <f t="shared" si="33"/>
        <v>1</v>
      </c>
      <c r="T106">
        <f t="shared" si="21"/>
        <v>13.433851037297359</v>
      </c>
      <c r="U106" t="str">
        <f t="shared" si="22"/>
        <v>-</v>
      </c>
      <c r="V106">
        <f t="shared" si="23"/>
        <v>41.7423875</v>
      </c>
      <c r="W106" t="str">
        <f t="shared" si="24"/>
        <v>-</v>
      </c>
      <c r="X106" t="str">
        <f t="shared" si="25"/>
        <v>-</v>
      </c>
      <c r="Y106" t="str">
        <f t="shared" si="26"/>
        <v>-</v>
      </c>
      <c r="Z106" t="str">
        <f t="shared" si="27"/>
        <v>-</v>
      </c>
      <c r="AA106" t="str">
        <f t="shared" si="28"/>
        <v>-</v>
      </c>
      <c r="AB106" t="str">
        <f t="shared" si="29"/>
        <v>-</v>
      </c>
      <c r="AC106" t="str">
        <f t="shared" si="30"/>
        <v>-</v>
      </c>
    </row>
    <row r="107" spans="1:29" x14ac:dyDescent="0.3">
      <c r="A107" t="s">
        <v>30</v>
      </c>
      <c r="B107" t="str">
        <f t="shared" ref="B107:D107" si="34">B3</f>
        <v>Detached</v>
      </c>
      <c r="C107">
        <f t="shared" si="34"/>
        <v>2</v>
      </c>
      <c r="D107">
        <f t="shared" si="34"/>
        <v>1</v>
      </c>
      <c r="E107">
        <f>AVERAGEIFS('Region 2'!$W$2:$W$498,'Region 2'!$A$2:$A$498,E$1,'Region 2'!$X$2:$X$498,$D107,'Region 2'!$S$2:$S$498,$A107)</f>
        <v>17.2038078768995</v>
      </c>
      <c r="F107" t="e">
        <f>AVERAGEIFS('Region 2'!$W$2:$W$498,'Region 2'!$A$2:$A$498,F$1,'Region 2'!$X$2:$X$498,$D107,'Region 2'!$S$2:$S$498,$A107)</f>
        <v>#DIV/0!</v>
      </c>
      <c r="G107">
        <f>AVERAGEIFS('Region 2'!$W$2:$W$498,'Region 2'!$A$2:$A$498,G$1,'Region 2'!$X$2:$X$498,$D107,'Region 2'!$S$2:$S$498,$A107)</f>
        <v>3.9486672498164772</v>
      </c>
      <c r="H107" t="e">
        <f>AVERAGEIFS('Region 2'!$W$2:$W$498,'Region 2'!$A$2:$A$498,H$1,'Region 2'!$X$2:$X$498,$D107,'Region 2'!$S$2:$S$498,$A107)</f>
        <v>#DIV/0!</v>
      </c>
      <c r="I107" t="e">
        <f>AVERAGEIFS('Region 2'!$W$2:$W$498,'Region 2'!$A$2:$A$498,I$1,'Region 2'!$X$2:$X$498,$D107,'Region 2'!$S$2:$S$498,$A107)</f>
        <v>#DIV/0!</v>
      </c>
      <c r="J107" t="e">
        <f>AVERAGEIFS('Region 2'!$W$2:$W$498,'Region 2'!$A$2:$A$498,J$1,'Region 2'!$X$2:$X$498,$D107,'Region 2'!$S$2:$S$498,$A107)</f>
        <v>#DIV/0!</v>
      </c>
      <c r="K107" t="e">
        <f>AVERAGEIFS('Region 2'!$W$2:$W$498,'Region 2'!$A$2:$A$498,K$1,'Region 2'!$X$2:$X$498,$D107,'Region 2'!$S$2:$S$498,$A107)</f>
        <v>#DIV/0!</v>
      </c>
      <c r="L107" t="e">
        <f>AVERAGEIFS('Region 2'!$W$2:$W$498,'Region 2'!$A$2:$A$498,L$1,'Region 2'!$X$2:$X$498,$D107,'Region 2'!$S$2:$S$498,$A107)</f>
        <v>#DIV/0!</v>
      </c>
      <c r="M107" t="e">
        <f>AVERAGEIFS('Region 2'!$W$2:$W$498,'Region 2'!$A$2:$A$498,M$1,'Region 2'!$X$2:$X$498,$D107,'Region 2'!$S$2:$S$498,$A107)</f>
        <v>#DIV/0!</v>
      </c>
      <c r="N107" t="e">
        <f>AVERAGEIFS('Region 2'!$W$2:$W$498,'Region 2'!$A$2:$A$498,N$1,'Region 2'!$X$2:$X$498,$D107,'Region 2'!$S$2:$S$498,$A107)</f>
        <v>#DIV/0!</v>
      </c>
      <c r="Q107" t="str">
        <f t="shared" si="31"/>
        <v>Steel</v>
      </c>
      <c r="R107" t="str">
        <f t="shared" si="32"/>
        <v>Detached</v>
      </c>
      <c r="S107">
        <f t="shared" si="33"/>
        <v>2</v>
      </c>
      <c r="T107">
        <f t="shared" si="21"/>
        <v>17.2038078768995</v>
      </c>
      <c r="U107" t="str">
        <f t="shared" si="22"/>
        <v>-</v>
      </c>
      <c r="V107">
        <f t="shared" si="23"/>
        <v>3.9486672498164772</v>
      </c>
      <c r="W107" t="str">
        <f t="shared" si="24"/>
        <v>-</v>
      </c>
      <c r="X107" t="str">
        <f t="shared" si="25"/>
        <v>-</v>
      </c>
      <c r="Y107" t="str">
        <f t="shared" si="26"/>
        <v>-</v>
      </c>
      <c r="Z107" t="str">
        <f t="shared" si="27"/>
        <v>-</v>
      </c>
      <c r="AA107" t="str">
        <f t="shared" si="28"/>
        <v>-</v>
      </c>
      <c r="AB107" t="str">
        <f t="shared" si="29"/>
        <v>-</v>
      </c>
      <c r="AC107" t="str">
        <f t="shared" si="30"/>
        <v>-</v>
      </c>
    </row>
    <row r="108" spans="1:29" x14ac:dyDescent="0.3">
      <c r="A108" t="s">
        <v>30</v>
      </c>
      <c r="B108" t="str">
        <f t="shared" ref="B108:D108" si="35">B4</f>
        <v>Detached</v>
      </c>
      <c r="C108">
        <f t="shared" si="35"/>
        <v>3</v>
      </c>
      <c r="D108">
        <f t="shared" si="35"/>
        <v>1</v>
      </c>
      <c r="E108" t="e">
        <f ca="1">AVERAGEIFS('Region 3'!$W$2:$W$500,'Region 3'!$A$2:$A$500,E$1,'Region 3'!$X$2:$X$500,$D108,'Region 3'!$S$2:$S$500,$A108)</f>
        <v>#DIV/0!</v>
      </c>
      <c r="F108" t="e">
        <f ca="1">AVERAGEIFS('Region 3'!$W$2:$W$500,'Region 3'!$A$2:$A$500,F$1,'Region 3'!$X$2:$X$500,$D108,'Region 3'!$S$2:$S$500,$A108)</f>
        <v>#DIV/0!</v>
      </c>
      <c r="G108" t="e">
        <f ca="1">AVERAGEIFS('Region 3'!$W$2:$W$500,'Region 3'!$A$2:$A$500,G$1,'Region 3'!$X$2:$X$500,$D108,'Region 3'!$S$2:$S$500,$A108)</f>
        <v>#DIV/0!</v>
      </c>
      <c r="H108" t="e">
        <f ca="1">AVERAGEIFS('Region 3'!$W$2:$W$500,'Region 3'!$A$2:$A$500,H$1,'Region 3'!$X$2:$X$500,$D108,'Region 3'!$S$2:$S$500,$A108)</f>
        <v>#DIV/0!</v>
      </c>
      <c r="I108" t="e">
        <f ca="1">AVERAGEIFS('Region 3'!$W$2:$W$500,'Region 3'!$A$2:$A$500,I$1,'Region 3'!$X$2:$X$500,$D108,'Region 3'!$S$2:$S$500,$A108)</f>
        <v>#DIV/0!</v>
      </c>
      <c r="J108" t="e">
        <f ca="1">AVERAGEIFS('Region 3'!$W$2:$W$500,'Region 3'!$A$2:$A$500,J$1,'Region 3'!$X$2:$X$500,$D108,'Region 3'!$S$2:$S$500,$A108)</f>
        <v>#DIV/0!</v>
      </c>
      <c r="K108" t="e">
        <f ca="1">AVERAGEIFS('Region 3'!$W$2:$W$500,'Region 3'!$A$2:$A$500,K$1,'Region 3'!$X$2:$X$500,$D108,'Region 3'!$S$2:$S$500,$A108)</f>
        <v>#DIV/0!</v>
      </c>
      <c r="L108" t="e">
        <f ca="1">AVERAGEIFS('Region 3'!$W$2:$W$500,'Region 3'!$A$2:$A$500,L$1,'Region 3'!$X$2:$X$500,$D108,'Region 3'!$S$2:$S$500,$A108)</f>
        <v>#DIV/0!</v>
      </c>
      <c r="M108" t="e">
        <f ca="1">AVERAGEIFS('Region 3'!$W$2:$W$500,'Region 3'!$A$2:$A$500,M$1,'Region 3'!$X$2:$X$500,$D108,'Region 3'!$S$2:$S$500,$A108)</f>
        <v>#DIV/0!</v>
      </c>
      <c r="N108" t="e">
        <f ca="1">AVERAGEIFS('Region 3'!$W$2:$W$500,'Region 3'!$A$2:$A$500,N$1,'Region 3'!$X$2:$X$500,$D108,'Region 3'!$S$2:$S$500,$A108)</f>
        <v>#DIV/0!</v>
      </c>
      <c r="Q108" t="str">
        <f t="shared" si="31"/>
        <v>Steel</v>
      </c>
      <c r="R108" t="str">
        <f t="shared" si="32"/>
        <v>Detached</v>
      </c>
      <c r="S108">
        <f t="shared" si="33"/>
        <v>3</v>
      </c>
      <c r="T108" t="str">
        <f t="shared" ca="1" si="21"/>
        <v>-</v>
      </c>
      <c r="U108" t="str">
        <f t="shared" ca="1" si="22"/>
        <v>-</v>
      </c>
      <c r="V108" t="str">
        <f t="shared" ca="1" si="23"/>
        <v>-</v>
      </c>
      <c r="W108" t="str">
        <f t="shared" ca="1" si="24"/>
        <v>-</v>
      </c>
      <c r="X108" t="str">
        <f t="shared" ca="1" si="25"/>
        <v>-</v>
      </c>
      <c r="Y108" t="str">
        <f t="shared" ca="1" si="26"/>
        <v>-</v>
      </c>
      <c r="Z108" t="str">
        <f t="shared" ca="1" si="27"/>
        <v>-</v>
      </c>
      <c r="AA108" t="str">
        <f t="shared" ca="1" si="28"/>
        <v>-</v>
      </c>
      <c r="AB108" t="str">
        <f t="shared" ca="1" si="29"/>
        <v>-</v>
      </c>
      <c r="AC108" t="str">
        <f t="shared" ca="1" si="30"/>
        <v>-</v>
      </c>
    </row>
    <row r="109" spans="1:29" x14ac:dyDescent="0.3">
      <c r="A109" t="s">
        <v>30</v>
      </c>
      <c r="B109" t="str">
        <f t="shared" ref="B109:D109" si="36">B5</f>
        <v>Detached</v>
      </c>
      <c r="C109">
        <f t="shared" si="36"/>
        <v>4</v>
      </c>
      <c r="D109">
        <f t="shared" si="36"/>
        <v>1</v>
      </c>
      <c r="E109">
        <f>AVERAGEIFS('Region 4'!$W$2:$W$10,'Region 4'!$A$2:$A$10,E$1,'Region 4'!$X$2:$X$10,$D109,'Region 4'!$S$2:$S$10,$A109)</f>
        <v>35.5</v>
      </c>
      <c r="F109" t="e">
        <f>AVERAGEIFS('Region 4'!$W$2:$W$10,'Region 4'!$A$2:$A$10,F$1,'Region 4'!$X$2:$X$10,$D109,'Region 4'!$S$2:$S$10,$A109)</f>
        <v>#DIV/0!</v>
      </c>
      <c r="G109" t="e">
        <f>AVERAGEIFS('Region 4'!$W$2:$W$10,'Region 4'!$A$2:$A$10,G$1,'Region 4'!$X$2:$X$10,$D109,'Region 4'!$S$2:$S$10,$A109)</f>
        <v>#DIV/0!</v>
      </c>
      <c r="H109" t="e">
        <f>AVERAGEIFS('Region 4'!$W$2:$W$10,'Region 4'!$A$2:$A$10,H$1,'Region 4'!$X$2:$X$10,$D109,'Region 4'!$S$2:$S$10,$A109)</f>
        <v>#DIV/0!</v>
      </c>
      <c r="I109" t="e">
        <f>AVERAGEIFS('Region 4'!$W$2:$W$10,'Region 4'!$A$2:$A$10,I$1,'Region 4'!$X$2:$X$10,$D109,'Region 4'!$S$2:$S$10,$A109)</f>
        <v>#DIV/0!</v>
      </c>
      <c r="J109" t="e">
        <f>AVERAGEIFS('Region 4'!$W$2:$W$10,'Region 4'!$A$2:$A$10,J$1,'Region 4'!$X$2:$X$10,$D109,'Region 4'!$S$2:$S$10,$A109)</f>
        <v>#DIV/0!</v>
      </c>
      <c r="K109" t="e">
        <f>AVERAGEIFS('Region 4'!$W$2:$W$10,'Region 4'!$A$2:$A$10,K$1,'Region 4'!$X$2:$X$10,$D109,'Region 4'!$S$2:$S$10,$A109)</f>
        <v>#DIV/0!</v>
      </c>
      <c r="L109" t="e">
        <f>AVERAGEIFS('Region 4'!$W$2:$W$10,'Region 4'!$A$2:$A$10,L$1,'Region 4'!$X$2:$X$10,$D109,'Region 4'!$S$2:$S$10,$A109)</f>
        <v>#DIV/0!</v>
      </c>
      <c r="M109" t="e">
        <f>AVERAGEIFS('Region 4'!$W$2:$W$10,'Region 4'!$A$2:$A$10,M$1,'Region 4'!$X$2:$X$10,$D109,'Region 4'!$S$2:$S$10,$A109)</f>
        <v>#DIV/0!</v>
      </c>
      <c r="N109" t="e">
        <f>AVERAGEIFS('Region 4'!$W$2:$W$10,'Region 4'!$A$2:$A$10,N$1,'Region 4'!$X$2:$X$10,$D109,'Region 4'!$S$2:$S$10,$A109)</f>
        <v>#DIV/0!</v>
      </c>
      <c r="Q109" t="str">
        <f t="shared" si="31"/>
        <v>Steel</v>
      </c>
      <c r="R109" t="str">
        <f t="shared" si="32"/>
        <v>Detached</v>
      </c>
      <c r="S109">
        <f t="shared" si="33"/>
        <v>4</v>
      </c>
      <c r="T109">
        <f t="shared" si="21"/>
        <v>35.5</v>
      </c>
      <c r="U109" t="str">
        <f t="shared" si="22"/>
        <v>-</v>
      </c>
      <c r="V109" t="str">
        <f t="shared" si="23"/>
        <v>-</v>
      </c>
      <c r="W109" t="str">
        <f t="shared" si="24"/>
        <v>-</v>
      </c>
      <c r="X109" t="str">
        <f t="shared" si="25"/>
        <v>-</v>
      </c>
      <c r="Y109" t="str">
        <f t="shared" si="26"/>
        <v>-</v>
      </c>
      <c r="Z109" t="str">
        <f t="shared" si="27"/>
        <v>-</v>
      </c>
      <c r="AA109" t="str">
        <f t="shared" si="28"/>
        <v>-</v>
      </c>
      <c r="AB109" t="str">
        <f t="shared" si="29"/>
        <v>-</v>
      </c>
      <c r="AC109" t="str">
        <f t="shared" si="30"/>
        <v>-</v>
      </c>
    </row>
    <row r="110" spans="1:29" x14ac:dyDescent="0.3">
      <c r="A110" t="s">
        <v>30</v>
      </c>
      <c r="B110" t="str">
        <f t="shared" ref="B110:D110" si="37">B6</f>
        <v>Detached</v>
      </c>
      <c r="C110">
        <f t="shared" si="37"/>
        <v>5</v>
      </c>
      <c r="D110">
        <f t="shared" si="37"/>
        <v>1</v>
      </c>
      <c r="E110" t="e">
        <f>AVERAGEIFS('Region 5'!$W$2:$W$496,'Region 5'!$A$2:$A$496,E$1,'Region 5'!$X$2:$X$496,$D110,'Region 5'!$S$2:$S$496,$A110)</f>
        <v>#DIV/0!</v>
      </c>
      <c r="F110" t="e">
        <f>AVERAGEIFS('Region 5'!$W$2:$W$496,'Region 5'!$A$2:$A$496,F$1,'Region 5'!$X$2:$X$496,$D110,'Region 5'!$S$2:$S$496,$A110)</f>
        <v>#DIV/0!</v>
      </c>
      <c r="G110" t="e">
        <f>AVERAGEIFS('Region 5'!$W$2:$W$496,'Region 5'!$A$2:$A$496,G$1,'Region 5'!$X$2:$X$496,$D110,'Region 5'!$S$2:$S$496,$A110)</f>
        <v>#DIV/0!</v>
      </c>
      <c r="H110" t="e">
        <f>AVERAGEIFS('Region 5'!$W$2:$W$496,'Region 5'!$A$2:$A$496,H$1,'Region 5'!$X$2:$X$496,$D110,'Region 5'!$S$2:$S$496,$A110)</f>
        <v>#DIV/0!</v>
      </c>
      <c r="I110" t="e">
        <f>AVERAGEIFS('Region 5'!$W$2:$W$496,'Region 5'!$A$2:$A$496,I$1,'Region 5'!$X$2:$X$496,$D110,'Region 5'!$S$2:$S$496,$A110)</f>
        <v>#DIV/0!</v>
      </c>
      <c r="J110" t="e">
        <f>AVERAGEIFS('Region 5'!$W$2:$W$496,'Region 5'!$A$2:$A$496,J$1,'Region 5'!$X$2:$X$496,$D110,'Region 5'!$S$2:$S$496,$A110)</f>
        <v>#DIV/0!</v>
      </c>
      <c r="K110" t="e">
        <f>AVERAGEIFS('Region 5'!$W$2:$W$496,'Region 5'!$A$2:$A$496,K$1,'Region 5'!$X$2:$X$496,$D110,'Region 5'!$S$2:$S$496,$A110)</f>
        <v>#DIV/0!</v>
      </c>
      <c r="L110" t="e">
        <f>AVERAGEIFS('Region 5'!$W$2:$W$496,'Region 5'!$A$2:$A$496,L$1,'Region 5'!$X$2:$X$496,$D110,'Region 5'!$S$2:$S$496,$A110)</f>
        <v>#DIV/0!</v>
      </c>
      <c r="M110" t="e">
        <f>AVERAGEIFS('Region 5'!$W$2:$W$496,'Region 5'!$A$2:$A$496,M$1,'Region 5'!$X$2:$X$496,$D110,'Region 5'!$S$2:$S$496,$A110)</f>
        <v>#DIV/0!</v>
      </c>
      <c r="N110" t="e">
        <f>AVERAGEIFS('Region 5'!$W$2:$W$496,'Region 5'!$A$2:$A$496,N$1,'Region 5'!$X$2:$X$496,$D110,'Region 5'!$S$2:$S$496,$A110)</f>
        <v>#DIV/0!</v>
      </c>
      <c r="Q110" t="str">
        <f t="shared" si="31"/>
        <v>Steel</v>
      </c>
      <c r="R110" t="str">
        <f t="shared" si="32"/>
        <v>Detached</v>
      </c>
      <c r="S110">
        <f t="shared" si="33"/>
        <v>5</v>
      </c>
      <c r="T110" t="str">
        <f t="shared" si="21"/>
        <v>-</v>
      </c>
      <c r="U110" t="str">
        <f t="shared" si="22"/>
        <v>-</v>
      </c>
      <c r="V110" t="str">
        <f t="shared" si="23"/>
        <v>-</v>
      </c>
      <c r="W110" t="str">
        <f t="shared" si="24"/>
        <v>-</v>
      </c>
      <c r="X110" t="str">
        <f t="shared" si="25"/>
        <v>-</v>
      </c>
      <c r="Y110" t="str">
        <f t="shared" si="26"/>
        <v>-</v>
      </c>
      <c r="Z110" t="str">
        <f t="shared" si="27"/>
        <v>-</v>
      </c>
      <c r="AA110" t="str">
        <f t="shared" si="28"/>
        <v>-</v>
      </c>
      <c r="AB110" t="str">
        <f t="shared" si="29"/>
        <v>-</v>
      </c>
      <c r="AC110" t="str">
        <f t="shared" si="30"/>
        <v>-</v>
      </c>
    </row>
    <row r="111" spans="1:29" x14ac:dyDescent="0.3">
      <c r="A111" t="s">
        <v>30</v>
      </c>
      <c r="B111" t="str">
        <f t="shared" ref="B111:D111" si="38">B7</f>
        <v>Detached</v>
      </c>
      <c r="C111">
        <f t="shared" si="38"/>
        <v>6</v>
      </c>
      <c r="D111">
        <f t="shared" si="38"/>
        <v>1</v>
      </c>
      <c r="E111">
        <f>AVERAGEIFS('Region 6'!$W$2:$W$496,'Region 6'!$A$2:$A$496,E$1,'Region 6'!$X$2:$X$496,$D111,'Region 6'!$S$2:$S$496,$A111)</f>
        <v>34.800000000000004</v>
      </c>
      <c r="F111">
        <f>AVERAGEIFS('Region 6'!$W$2:$W$496,'Region 6'!$A$2:$A$496,F$1,'Region 6'!$X$2:$X$496,$D111,'Region 6'!$S$2:$S$496,$A111)</f>
        <v>35.5</v>
      </c>
      <c r="G111" t="e">
        <f>AVERAGEIFS('Region 6'!$W$2:$W$496,'Region 6'!$A$2:$A$496,G$1,'Region 6'!$X$2:$X$496,$D111,'Region 6'!$S$2:$S$496,$A111)</f>
        <v>#DIV/0!</v>
      </c>
      <c r="H111" t="e">
        <f>AVERAGEIFS('Region 6'!$W$2:$W$496,'Region 6'!$A$2:$A$496,H$1,'Region 6'!$X$2:$X$496,$D111,'Region 6'!$S$2:$S$496,$A111)</f>
        <v>#DIV/0!</v>
      </c>
      <c r="I111" t="e">
        <f>AVERAGEIFS('Region 6'!$W$2:$W$496,'Region 6'!$A$2:$A$496,I$1,'Region 6'!$X$2:$X$496,$D111,'Region 6'!$S$2:$S$496,$A111)</f>
        <v>#DIV/0!</v>
      </c>
      <c r="J111" t="e">
        <f>AVERAGEIFS('Region 6'!$W$2:$W$496,'Region 6'!$A$2:$A$496,J$1,'Region 6'!$X$2:$X$496,$D111,'Region 6'!$S$2:$S$496,$A111)</f>
        <v>#DIV/0!</v>
      </c>
      <c r="K111" t="e">
        <f>AVERAGEIFS('Region 6'!$W$2:$W$496,'Region 6'!$A$2:$A$496,K$1,'Region 6'!$X$2:$X$496,$D111,'Region 6'!$S$2:$S$496,$A111)</f>
        <v>#DIV/0!</v>
      </c>
      <c r="L111" t="e">
        <f>AVERAGEIFS('Region 6'!$W$2:$W$496,'Region 6'!$A$2:$A$496,L$1,'Region 6'!$X$2:$X$496,$D111,'Region 6'!$S$2:$S$496,$A111)</f>
        <v>#DIV/0!</v>
      </c>
      <c r="M111" t="e">
        <f>AVERAGEIFS('Region 6'!$W$2:$W$496,'Region 6'!$A$2:$A$496,M$1,'Region 6'!$X$2:$X$496,$D111,'Region 6'!$S$2:$S$496,$A111)</f>
        <v>#DIV/0!</v>
      </c>
      <c r="N111" t="e">
        <f>AVERAGEIFS('Region 6'!$W$2:$W$496,'Region 6'!$A$2:$A$496,N$1,'Region 6'!$X$2:$X$496,$D111,'Region 6'!$S$2:$S$496,$A111)</f>
        <v>#DIV/0!</v>
      </c>
      <c r="Q111" t="str">
        <f t="shared" si="31"/>
        <v>Steel</v>
      </c>
      <c r="R111" t="str">
        <f t="shared" si="32"/>
        <v>Detached</v>
      </c>
      <c r="S111">
        <f t="shared" si="33"/>
        <v>6</v>
      </c>
      <c r="T111">
        <f t="shared" si="21"/>
        <v>34.800000000000004</v>
      </c>
      <c r="U111">
        <f t="shared" si="22"/>
        <v>35.5</v>
      </c>
      <c r="V111" t="str">
        <f t="shared" si="23"/>
        <v>-</v>
      </c>
      <c r="W111" t="str">
        <f t="shared" si="24"/>
        <v>-</v>
      </c>
      <c r="X111" t="str">
        <f t="shared" si="25"/>
        <v>-</v>
      </c>
      <c r="Y111" t="str">
        <f t="shared" si="26"/>
        <v>-</v>
      </c>
      <c r="Z111" t="str">
        <f t="shared" si="27"/>
        <v>-</v>
      </c>
      <c r="AA111" t="str">
        <f t="shared" si="28"/>
        <v>-</v>
      </c>
      <c r="AB111" t="str">
        <f t="shared" si="29"/>
        <v>-</v>
      </c>
      <c r="AC111" t="str">
        <f t="shared" si="30"/>
        <v>-</v>
      </c>
    </row>
    <row r="112" spans="1:29" x14ac:dyDescent="0.3">
      <c r="A112" t="s">
        <v>30</v>
      </c>
      <c r="B112" t="str">
        <f t="shared" ref="B112:D112" si="39">B8</f>
        <v>Detached</v>
      </c>
      <c r="C112">
        <f t="shared" si="39"/>
        <v>7</v>
      </c>
      <c r="D112">
        <f t="shared" si="39"/>
        <v>1</v>
      </c>
      <c r="E112" t="e">
        <f ca="1">AVERAGEIFS('Region 7'!$W$2:$W$500,'Region 7'!$A$2:$A$500,E$1,'Region 7'!$X$2:$X$500,$D112,'Region 7'!$S$2:$S$500,$A112)</f>
        <v>#DIV/0!</v>
      </c>
      <c r="F112" t="e">
        <f ca="1">AVERAGEIFS('Region 7'!$W$2:$W$500,'Region 7'!$A$2:$A$500,F$1,'Region 7'!$X$2:$X$500,$D112,'Region 7'!$S$2:$S$500,$A112)</f>
        <v>#DIV/0!</v>
      </c>
      <c r="G112" t="e">
        <f ca="1">AVERAGEIFS('Region 7'!$W$2:$W$500,'Region 7'!$A$2:$A$500,G$1,'Region 7'!$X$2:$X$500,$D112,'Region 7'!$S$2:$S$500,$A112)</f>
        <v>#DIV/0!</v>
      </c>
      <c r="H112" t="e">
        <f ca="1">AVERAGEIFS('Region 7'!$W$2:$W$500,'Region 7'!$A$2:$A$500,H$1,'Region 7'!$X$2:$X$500,$D112,'Region 7'!$S$2:$S$500,$A112)</f>
        <v>#DIV/0!</v>
      </c>
      <c r="I112" t="e">
        <f ca="1">AVERAGEIFS('Region 7'!$W$2:$W$500,'Region 7'!$A$2:$A$500,I$1,'Region 7'!$X$2:$X$500,$D112,'Region 7'!$S$2:$S$500,$A112)</f>
        <v>#DIV/0!</v>
      </c>
      <c r="J112" t="e">
        <f ca="1">AVERAGEIFS('Region 7'!$W$2:$W$500,'Region 7'!$A$2:$A$500,J$1,'Region 7'!$X$2:$X$500,$D112,'Region 7'!$S$2:$S$500,$A112)</f>
        <v>#DIV/0!</v>
      </c>
      <c r="K112" t="e">
        <f ca="1">AVERAGEIFS('Region 7'!$W$2:$W$500,'Region 7'!$A$2:$A$500,K$1,'Region 7'!$X$2:$X$500,$D112,'Region 7'!$S$2:$S$500,$A112)</f>
        <v>#DIV/0!</v>
      </c>
      <c r="L112" t="e">
        <f ca="1">AVERAGEIFS('Region 7'!$W$2:$W$500,'Region 7'!$A$2:$A$500,L$1,'Region 7'!$X$2:$X$500,$D112,'Region 7'!$S$2:$S$500,$A112)</f>
        <v>#DIV/0!</v>
      </c>
      <c r="M112" t="e">
        <f ca="1">AVERAGEIFS('Region 7'!$W$2:$W$500,'Region 7'!$A$2:$A$500,M$1,'Region 7'!$X$2:$X$500,$D112,'Region 7'!$S$2:$S$500,$A112)</f>
        <v>#DIV/0!</v>
      </c>
      <c r="N112" t="e">
        <f ca="1">AVERAGEIFS('Region 7'!$W$2:$W$500,'Region 7'!$A$2:$A$500,N$1,'Region 7'!$X$2:$X$500,$D112,'Region 7'!$S$2:$S$500,$A112)</f>
        <v>#DIV/0!</v>
      </c>
      <c r="Q112" t="str">
        <f t="shared" si="31"/>
        <v>Steel</v>
      </c>
      <c r="R112" t="str">
        <f t="shared" si="32"/>
        <v>Detached</v>
      </c>
      <c r="S112">
        <f t="shared" si="33"/>
        <v>7</v>
      </c>
      <c r="T112" t="str">
        <f t="shared" ca="1" si="21"/>
        <v>-</v>
      </c>
      <c r="U112" t="str">
        <f t="shared" ca="1" si="22"/>
        <v>-</v>
      </c>
      <c r="V112" t="str">
        <f t="shared" ca="1" si="23"/>
        <v>-</v>
      </c>
      <c r="W112" t="str">
        <f t="shared" ca="1" si="24"/>
        <v>-</v>
      </c>
      <c r="X112" t="str">
        <f t="shared" ca="1" si="25"/>
        <v>-</v>
      </c>
      <c r="Y112" t="str">
        <f t="shared" ca="1" si="26"/>
        <v>-</v>
      </c>
      <c r="Z112" t="str">
        <f t="shared" ca="1" si="27"/>
        <v>-</v>
      </c>
      <c r="AA112" t="str">
        <f t="shared" ca="1" si="28"/>
        <v>-</v>
      </c>
      <c r="AB112" t="str">
        <f t="shared" ca="1" si="29"/>
        <v>-</v>
      </c>
      <c r="AC112" t="str">
        <f t="shared" ca="1" si="30"/>
        <v>-</v>
      </c>
    </row>
    <row r="113" spans="1:29" x14ac:dyDescent="0.3">
      <c r="A113" t="s">
        <v>30</v>
      </c>
      <c r="B113" t="str">
        <f t="shared" ref="B113:D113" si="40">B9</f>
        <v>Detached</v>
      </c>
      <c r="C113">
        <f t="shared" si="40"/>
        <v>8</v>
      </c>
      <c r="D113">
        <f t="shared" si="40"/>
        <v>1</v>
      </c>
      <c r="E113">
        <f>AVERAGEIFS('Region 8'!$W$2:$W$497,'Region 8'!$A$2:$A$497,E$1,'Region 8'!$X$2:$X$497,$D113,'Region 8'!$S$2:$S$497,$A113)</f>
        <v>8.9345216411166355</v>
      </c>
      <c r="F113" t="e">
        <f>AVERAGEIFS('Region 8'!$W$2:$W$497,'Region 8'!$A$2:$A$497,F$1,'Region 8'!$X$2:$X$497,$D113,'Region 8'!$S$2:$S$497,$A113)</f>
        <v>#DIV/0!</v>
      </c>
      <c r="G113" t="e">
        <f>AVERAGEIFS('Region 8'!$W$2:$W$497,'Region 8'!$A$2:$A$497,G$1,'Region 8'!$X$2:$X$497,$D113,'Region 8'!$S$2:$S$497,$A113)</f>
        <v>#DIV/0!</v>
      </c>
      <c r="H113" t="e">
        <f>AVERAGEIFS('Region 8'!$W$2:$W$497,'Region 8'!$A$2:$A$497,H$1,'Region 8'!$X$2:$X$497,$D113,'Region 8'!$S$2:$S$497,$A113)</f>
        <v>#DIV/0!</v>
      </c>
      <c r="I113" t="e">
        <f>AVERAGEIFS('Region 8'!$W$2:$W$497,'Region 8'!$A$2:$A$497,I$1,'Region 8'!$X$2:$X$497,$D113,'Region 8'!$S$2:$S$497,$A113)</f>
        <v>#DIV/0!</v>
      </c>
      <c r="J113" t="e">
        <f>AVERAGEIFS('Region 8'!$W$2:$W$497,'Region 8'!$A$2:$A$497,J$1,'Region 8'!$X$2:$X$497,$D113,'Region 8'!$S$2:$S$497,$A113)</f>
        <v>#DIV/0!</v>
      </c>
      <c r="K113" t="e">
        <f>AVERAGEIFS('Region 8'!$W$2:$W$497,'Region 8'!$A$2:$A$497,K$1,'Region 8'!$X$2:$X$497,$D113,'Region 8'!$S$2:$S$497,$A113)</f>
        <v>#DIV/0!</v>
      </c>
      <c r="L113" t="e">
        <f>AVERAGEIFS('Region 8'!$W$2:$W$497,'Region 8'!$A$2:$A$497,L$1,'Region 8'!$X$2:$X$497,$D113,'Region 8'!$S$2:$S$497,$A113)</f>
        <v>#DIV/0!</v>
      </c>
      <c r="M113" t="e">
        <f>AVERAGEIFS('Region 8'!$W$2:$W$497,'Region 8'!$A$2:$A$497,M$1,'Region 8'!$X$2:$X$497,$D113,'Region 8'!$S$2:$S$497,$A113)</f>
        <v>#DIV/0!</v>
      </c>
      <c r="N113" t="e">
        <f>AVERAGEIFS('Region 8'!$W$2:$W$497,'Region 8'!$A$2:$A$497,N$1,'Region 8'!$X$2:$X$497,$D113,'Region 8'!$S$2:$S$497,$A113)</f>
        <v>#DIV/0!</v>
      </c>
      <c r="Q113" t="str">
        <f t="shared" si="31"/>
        <v>Steel</v>
      </c>
      <c r="R113" t="str">
        <f t="shared" si="32"/>
        <v>Detached</v>
      </c>
      <c r="S113">
        <f t="shared" si="33"/>
        <v>8</v>
      </c>
      <c r="T113">
        <f t="shared" si="21"/>
        <v>8.9345216411166355</v>
      </c>
      <c r="U113" t="str">
        <f t="shared" si="22"/>
        <v>-</v>
      </c>
      <c r="V113" t="str">
        <f t="shared" si="23"/>
        <v>-</v>
      </c>
      <c r="W113" t="str">
        <f t="shared" si="24"/>
        <v>-</v>
      </c>
      <c r="X113" t="str">
        <f t="shared" si="25"/>
        <v>-</v>
      </c>
      <c r="Y113" t="str">
        <f t="shared" si="26"/>
        <v>-</v>
      </c>
      <c r="Z113" t="str">
        <f t="shared" si="27"/>
        <v>-</v>
      </c>
      <c r="AA113" t="str">
        <f t="shared" si="28"/>
        <v>-</v>
      </c>
      <c r="AB113" t="str">
        <f t="shared" si="29"/>
        <v>-</v>
      </c>
      <c r="AC113" t="str">
        <f t="shared" si="30"/>
        <v>-</v>
      </c>
    </row>
    <row r="114" spans="1:29" x14ac:dyDescent="0.3">
      <c r="A114" t="s">
        <v>30</v>
      </c>
      <c r="B114" t="str">
        <f t="shared" ref="B114:D114" si="41">B10</f>
        <v>Detached</v>
      </c>
      <c r="C114">
        <f t="shared" si="41"/>
        <v>9</v>
      </c>
      <c r="D114">
        <f t="shared" si="41"/>
        <v>1</v>
      </c>
      <c r="E114" t="e">
        <f ca="1">AVERAGEIFS('Region 9'!$W$2:$W$500,'Region 9'!$A$2:$A$500,E$1,'Region 9'!$X$2:$X$500,$D114,'Region 9'!$S$2:$S$500,$A114)</f>
        <v>#DIV/0!</v>
      </c>
      <c r="F114" t="e">
        <f ca="1">AVERAGEIFS('Region 9'!$W$2:$W$500,'Region 9'!$A$2:$A$500,F$1,'Region 9'!$X$2:$X$500,$D114,'Region 9'!$S$2:$S$500,$A114)</f>
        <v>#DIV/0!</v>
      </c>
      <c r="G114" t="e">
        <f ca="1">AVERAGEIFS('Region 9'!$W$2:$W$500,'Region 9'!$A$2:$A$500,G$1,'Region 9'!$X$2:$X$500,$D114,'Region 9'!$S$2:$S$500,$A114)</f>
        <v>#DIV/0!</v>
      </c>
      <c r="H114" t="e">
        <f ca="1">AVERAGEIFS('Region 9'!$W$2:$W$500,'Region 9'!$A$2:$A$500,H$1,'Region 9'!$X$2:$X$500,$D114,'Region 9'!$S$2:$S$500,$A114)</f>
        <v>#DIV/0!</v>
      </c>
      <c r="I114" t="e">
        <f ca="1">AVERAGEIFS('Region 9'!$W$2:$W$500,'Region 9'!$A$2:$A$500,I$1,'Region 9'!$X$2:$X$500,$D114,'Region 9'!$S$2:$S$500,$A114)</f>
        <v>#DIV/0!</v>
      </c>
      <c r="J114" t="e">
        <f ca="1">AVERAGEIFS('Region 9'!$W$2:$W$500,'Region 9'!$A$2:$A$500,J$1,'Region 9'!$X$2:$X$500,$D114,'Region 9'!$S$2:$S$500,$A114)</f>
        <v>#DIV/0!</v>
      </c>
      <c r="K114" t="e">
        <f ca="1">AVERAGEIFS('Region 9'!$W$2:$W$500,'Region 9'!$A$2:$A$500,K$1,'Region 9'!$X$2:$X$500,$D114,'Region 9'!$S$2:$S$500,$A114)</f>
        <v>#DIV/0!</v>
      </c>
      <c r="L114" t="e">
        <f ca="1">AVERAGEIFS('Region 9'!$W$2:$W$500,'Region 9'!$A$2:$A$500,L$1,'Region 9'!$X$2:$X$500,$D114,'Region 9'!$S$2:$S$500,$A114)</f>
        <v>#DIV/0!</v>
      </c>
      <c r="M114" t="e">
        <f ca="1">AVERAGEIFS('Region 9'!$W$2:$W$500,'Region 9'!$A$2:$A$500,M$1,'Region 9'!$X$2:$X$500,$D114,'Region 9'!$S$2:$S$500,$A114)</f>
        <v>#DIV/0!</v>
      </c>
      <c r="N114" t="e">
        <f ca="1">AVERAGEIFS('Region 9'!$W$2:$W$500,'Region 9'!$A$2:$A$500,N$1,'Region 9'!$X$2:$X$500,$D114,'Region 9'!$S$2:$S$500,$A114)</f>
        <v>#DIV/0!</v>
      </c>
      <c r="Q114" t="str">
        <f t="shared" si="31"/>
        <v>Steel</v>
      </c>
      <c r="R114" t="str">
        <f t="shared" si="32"/>
        <v>Detached</v>
      </c>
      <c r="S114">
        <f t="shared" si="33"/>
        <v>9</v>
      </c>
      <c r="T114" t="str">
        <f t="shared" ca="1" si="21"/>
        <v>-</v>
      </c>
      <c r="U114" t="str">
        <f t="shared" ca="1" si="22"/>
        <v>-</v>
      </c>
      <c r="V114" t="str">
        <f t="shared" ca="1" si="23"/>
        <v>-</v>
      </c>
      <c r="W114" t="str">
        <f t="shared" ca="1" si="24"/>
        <v>-</v>
      </c>
      <c r="X114" t="str">
        <f t="shared" ca="1" si="25"/>
        <v>-</v>
      </c>
      <c r="Y114" t="str">
        <f t="shared" ca="1" si="26"/>
        <v>-</v>
      </c>
      <c r="Z114" t="str">
        <f t="shared" ca="1" si="27"/>
        <v>-</v>
      </c>
      <c r="AA114" t="str">
        <f t="shared" ca="1" si="28"/>
        <v>-</v>
      </c>
      <c r="AB114" t="str">
        <f t="shared" ca="1" si="29"/>
        <v>-</v>
      </c>
      <c r="AC114" t="str">
        <f t="shared" ca="1" si="30"/>
        <v>-</v>
      </c>
    </row>
    <row r="115" spans="1:29" x14ac:dyDescent="0.3">
      <c r="A115" t="s">
        <v>30</v>
      </c>
      <c r="B115" t="str">
        <f t="shared" ref="B115:D115" si="42">B11</f>
        <v>Detached</v>
      </c>
      <c r="C115">
        <f t="shared" si="42"/>
        <v>10</v>
      </c>
      <c r="D115">
        <f t="shared" si="42"/>
        <v>1</v>
      </c>
      <c r="E115" t="e">
        <f>AVERAGEIFS('Region 10'!$W$2:$W$500,'Region 10'!$A$2:$A$500,E$1,'Region 10'!$X$2:$X$500,$D115,'Region 10'!$S$2:$S$500,$A115)</f>
        <v>#DIV/0!</v>
      </c>
      <c r="F115" t="e">
        <f>AVERAGEIFS('Region 10'!$W$2:$W$500,'Region 10'!$A$2:$A$500,F$1,'Region 10'!$X$2:$X$500,$D115,'Region 10'!$S$2:$S$500,$A115)</f>
        <v>#DIV/0!</v>
      </c>
      <c r="G115" t="e">
        <f>AVERAGEIFS('Region 10'!$W$2:$W$500,'Region 10'!$A$2:$A$500,G$1,'Region 10'!$X$2:$X$500,$D115,'Region 10'!$S$2:$S$500,$A115)</f>
        <v>#DIV/0!</v>
      </c>
      <c r="H115" t="e">
        <f>AVERAGEIFS('Region 10'!$W$2:$W$500,'Region 10'!$A$2:$A$500,H$1,'Region 10'!$X$2:$X$500,$D115,'Region 10'!$S$2:$S$500,$A115)</f>
        <v>#DIV/0!</v>
      </c>
      <c r="I115" t="e">
        <f>AVERAGEIFS('Region 10'!$W$2:$W$500,'Region 10'!$A$2:$A$500,I$1,'Region 10'!$X$2:$X$500,$D115,'Region 10'!$S$2:$S$500,$A115)</f>
        <v>#DIV/0!</v>
      </c>
      <c r="J115" t="e">
        <f>AVERAGEIFS('Region 10'!$W$2:$W$500,'Region 10'!$A$2:$A$500,J$1,'Region 10'!$X$2:$X$500,$D115,'Region 10'!$S$2:$S$500,$A115)</f>
        <v>#DIV/0!</v>
      </c>
      <c r="K115" t="e">
        <f>AVERAGEIFS('Region 10'!$W$2:$W$500,'Region 10'!$A$2:$A$500,K$1,'Region 10'!$X$2:$X$500,$D115,'Region 10'!$S$2:$S$500,$A115)</f>
        <v>#DIV/0!</v>
      </c>
      <c r="L115" t="e">
        <f>AVERAGEIFS('Region 10'!$W$2:$W$500,'Region 10'!$A$2:$A$500,L$1,'Region 10'!$X$2:$X$500,$D115,'Region 10'!$S$2:$S$500,$A115)</f>
        <v>#DIV/0!</v>
      </c>
      <c r="M115" t="e">
        <f>AVERAGEIFS('Region 10'!$W$2:$W$500,'Region 10'!$A$2:$A$500,M$1,'Region 10'!$X$2:$X$500,$D115,'Region 10'!$S$2:$S$500,$A115)</f>
        <v>#DIV/0!</v>
      </c>
      <c r="N115" t="e">
        <f>AVERAGEIFS('Region 10'!$W$2:$W$500,'Region 10'!$A$2:$A$500,N$1,'Region 10'!$X$2:$X$500,$D115,'Region 10'!$S$2:$S$500,$A115)</f>
        <v>#DIV/0!</v>
      </c>
      <c r="Q115" t="str">
        <f t="shared" si="31"/>
        <v>Steel</v>
      </c>
      <c r="R115" t="str">
        <f t="shared" si="32"/>
        <v>Detached</v>
      </c>
      <c r="S115">
        <f t="shared" si="33"/>
        <v>10</v>
      </c>
      <c r="T115" t="str">
        <f t="shared" si="21"/>
        <v>-</v>
      </c>
      <c r="U115" t="str">
        <f t="shared" si="22"/>
        <v>-</v>
      </c>
      <c r="V115" t="str">
        <f t="shared" si="23"/>
        <v>-</v>
      </c>
      <c r="W115" t="str">
        <f t="shared" si="24"/>
        <v>-</v>
      </c>
      <c r="X115" t="str">
        <f t="shared" si="25"/>
        <v>-</v>
      </c>
      <c r="Y115" t="str">
        <f t="shared" si="26"/>
        <v>-</v>
      </c>
      <c r="Z115" t="str">
        <f t="shared" si="27"/>
        <v>-</v>
      </c>
      <c r="AA115" t="str">
        <f t="shared" si="28"/>
        <v>-</v>
      </c>
      <c r="AB115" t="str">
        <f t="shared" si="29"/>
        <v>-</v>
      </c>
      <c r="AC115" t="str">
        <f t="shared" si="30"/>
        <v>-</v>
      </c>
    </row>
    <row r="116" spans="1:29" x14ac:dyDescent="0.3">
      <c r="A116" t="s">
        <v>30</v>
      </c>
      <c r="B116" t="str">
        <f t="shared" ref="B116:D116" si="43">B12</f>
        <v>Detached</v>
      </c>
      <c r="C116">
        <f t="shared" si="43"/>
        <v>11</v>
      </c>
      <c r="D116">
        <f t="shared" si="43"/>
        <v>1</v>
      </c>
      <c r="E116" t="e">
        <f>AVERAGEIFS('Region 11'!$W$2:$W$391,'Region 11'!$A$2:$A$391,E$1,'Region 11'!$X$2:$X$391,$D116,'Region 11'!$S$2:$S$391,$A116)</f>
        <v>#DIV/0!</v>
      </c>
      <c r="F116" t="e">
        <f>AVERAGEIFS('Region 11'!$W$2:$W$391,'Region 11'!$A$2:$A$391,F$1,'Region 11'!$X$2:$X$391,$D116,'Region 11'!$S$2:$S$391,$A116)</f>
        <v>#DIV/0!</v>
      </c>
      <c r="G116">
        <f>AVERAGEIFS('Region 11'!$W$2:$W$391,'Region 11'!$A$2:$A$391,G$1,'Region 11'!$X$2:$X$391,$D116,'Region 11'!$S$2:$S$391,$A116)</f>
        <v>39.909090909090907</v>
      </c>
      <c r="H116" t="e">
        <f>AVERAGEIFS('Region 11'!$W$2:$W$391,'Region 11'!$A$2:$A$391,H$1,'Region 11'!$X$2:$X$391,$D116,'Region 11'!$S$2:$S$391,$A116)</f>
        <v>#DIV/0!</v>
      </c>
      <c r="I116" t="e">
        <f>AVERAGEIFS('Region 11'!$W$2:$W$391,'Region 11'!$A$2:$A$391,I$1,'Region 11'!$X$2:$X$391,$D116,'Region 11'!$S$2:$S$391,$A116)</f>
        <v>#DIV/0!</v>
      </c>
      <c r="J116" t="e">
        <f>AVERAGEIFS('Region 11'!$W$2:$W$391,'Region 11'!$A$2:$A$391,J$1,'Region 11'!$X$2:$X$391,$D116,'Region 11'!$S$2:$S$391,$A116)</f>
        <v>#DIV/0!</v>
      </c>
      <c r="K116">
        <f>AVERAGEIFS('Region 11'!$W$2:$W$391,'Region 11'!$A$2:$A$391,K$1,'Region 11'!$X$2:$X$391,$D116,'Region 11'!$S$2:$S$391,$A116)</f>
        <v>57.142857142857146</v>
      </c>
      <c r="L116">
        <f>AVERAGEIFS('Region 11'!$W$2:$W$391,'Region 11'!$A$2:$A$391,L$1,'Region 11'!$X$2:$X$391,$D116,'Region 11'!$S$2:$S$391,$A116)</f>
        <v>29</v>
      </c>
      <c r="M116" t="e">
        <f>AVERAGEIFS('Region 11'!$W$2:$W$391,'Region 11'!$A$2:$A$391,M$1,'Region 11'!$X$2:$X$391,$D116,'Region 11'!$S$2:$S$391,$A116)</f>
        <v>#DIV/0!</v>
      </c>
      <c r="N116" t="e">
        <f>AVERAGEIFS('Region 11'!$W$2:$W$391,'Region 11'!$A$2:$A$391,N$1,'Region 11'!$X$2:$X$391,$D116,'Region 11'!$S$2:$S$391,$A116)</f>
        <v>#DIV/0!</v>
      </c>
      <c r="Q116" t="str">
        <f t="shared" si="31"/>
        <v>Steel</v>
      </c>
      <c r="R116" t="str">
        <f t="shared" si="32"/>
        <v>Detached</v>
      </c>
      <c r="S116">
        <f t="shared" si="33"/>
        <v>11</v>
      </c>
      <c r="T116" t="str">
        <f t="shared" si="21"/>
        <v>-</v>
      </c>
      <c r="U116" t="str">
        <f t="shared" si="22"/>
        <v>-</v>
      </c>
      <c r="V116">
        <f t="shared" si="23"/>
        <v>39.909090909090907</v>
      </c>
      <c r="W116" t="str">
        <f t="shared" si="24"/>
        <v>-</v>
      </c>
      <c r="X116" t="str">
        <f t="shared" si="25"/>
        <v>-</v>
      </c>
      <c r="Y116" t="str">
        <f t="shared" si="26"/>
        <v>-</v>
      </c>
      <c r="Z116">
        <f t="shared" si="27"/>
        <v>57.142857142857146</v>
      </c>
      <c r="AA116">
        <f t="shared" si="28"/>
        <v>29</v>
      </c>
      <c r="AB116" t="str">
        <f t="shared" si="29"/>
        <v>-</v>
      </c>
      <c r="AC116" t="str">
        <f t="shared" si="30"/>
        <v>-</v>
      </c>
    </row>
    <row r="117" spans="1:29" x14ac:dyDescent="0.3">
      <c r="A117" t="s">
        <v>30</v>
      </c>
      <c r="B117" t="str">
        <f t="shared" ref="B117:D117" si="44">B13</f>
        <v>Detached</v>
      </c>
      <c r="C117">
        <f t="shared" si="44"/>
        <v>12</v>
      </c>
      <c r="D117">
        <f t="shared" si="44"/>
        <v>1</v>
      </c>
      <c r="E117" t="e">
        <f>AVERAGEIFS('Region 12'!$W$2:$W$459,'Region 12'!$A$2:$A$459,E$1,'Region 12'!$X$2:$X$459,$D117,'Region 12'!$S$2:$S$459,$A117)</f>
        <v>#DIV/0!</v>
      </c>
      <c r="F117" t="e">
        <f>AVERAGEIFS('Region 12'!$W$2:$W$459,'Region 12'!$A$2:$A$459,F$1,'Region 12'!$X$2:$X$459,$D117,'Region 12'!$S$2:$S$459,$A117)</f>
        <v>#DIV/0!</v>
      </c>
      <c r="G117" t="e">
        <f>AVERAGEIFS('Region 12'!$W$2:$W$459,'Region 12'!$A$2:$A$459,G$1,'Region 12'!$X$2:$X$459,$D117,'Region 12'!$S$2:$S$459,$A117)</f>
        <v>#DIV/0!</v>
      </c>
      <c r="H117" t="e">
        <f>AVERAGEIFS('Region 12'!$W$2:$W$459,'Region 12'!$A$2:$A$459,H$1,'Region 12'!$X$2:$X$459,$D117,'Region 12'!$S$2:$S$459,$A117)</f>
        <v>#DIV/0!</v>
      </c>
      <c r="I117" t="e">
        <f>AVERAGEIFS('Region 12'!$W$2:$W$459,'Region 12'!$A$2:$A$459,I$1,'Region 12'!$X$2:$X$459,$D117,'Region 12'!$S$2:$S$459,$A117)</f>
        <v>#DIV/0!</v>
      </c>
      <c r="J117" t="e">
        <f>AVERAGEIFS('Region 12'!$W$2:$W$459,'Region 12'!$A$2:$A$459,J$1,'Region 12'!$X$2:$X$459,$D117,'Region 12'!$S$2:$S$459,$A117)</f>
        <v>#DIV/0!</v>
      </c>
      <c r="K117" t="e">
        <f>AVERAGEIFS('Region 12'!$W$2:$W$459,'Region 12'!$A$2:$A$459,K$1,'Region 12'!$X$2:$X$459,$D117,'Region 12'!$S$2:$S$459,$A117)</f>
        <v>#DIV/0!</v>
      </c>
      <c r="L117" t="e">
        <f>AVERAGEIFS('Region 12'!$W$2:$W$459,'Region 12'!$A$2:$A$459,L$1,'Region 12'!$X$2:$X$459,$D117,'Region 12'!$S$2:$S$459,$A117)</f>
        <v>#DIV/0!</v>
      </c>
      <c r="M117" t="e">
        <f>AVERAGEIFS('Region 12'!$W$2:$W$459,'Region 12'!$A$2:$A$459,M$1,'Region 12'!$X$2:$X$459,$D117,'Region 12'!$S$2:$S$459,$A117)</f>
        <v>#DIV/0!</v>
      </c>
      <c r="N117" t="e">
        <f>AVERAGEIFS('Region 12'!$W$2:$W$459,'Region 12'!$A$2:$A$459,N$1,'Region 12'!$X$2:$X$459,$D117,'Region 12'!$S$2:$S$459,$A117)</f>
        <v>#DIV/0!</v>
      </c>
      <c r="Q117" t="str">
        <f t="shared" si="31"/>
        <v>Steel</v>
      </c>
      <c r="R117" t="str">
        <f t="shared" si="32"/>
        <v>Detached</v>
      </c>
      <c r="S117">
        <f t="shared" si="33"/>
        <v>12</v>
      </c>
      <c r="T117" t="str">
        <f t="shared" si="21"/>
        <v>-</v>
      </c>
      <c r="U117" t="str">
        <f t="shared" si="22"/>
        <v>-</v>
      </c>
      <c r="V117" t="str">
        <f t="shared" si="23"/>
        <v>-</v>
      </c>
      <c r="W117" t="str">
        <f t="shared" si="24"/>
        <v>-</v>
      </c>
      <c r="X117" t="str">
        <f t="shared" si="25"/>
        <v>-</v>
      </c>
      <c r="Y117" t="str">
        <f t="shared" si="26"/>
        <v>-</v>
      </c>
      <c r="Z117" t="str">
        <f t="shared" si="27"/>
        <v>-</v>
      </c>
      <c r="AA117" t="str">
        <f t="shared" si="28"/>
        <v>-</v>
      </c>
      <c r="AB117" t="str">
        <f t="shared" si="29"/>
        <v>-</v>
      </c>
      <c r="AC117" t="str">
        <f t="shared" si="30"/>
        <v>-</v>
      </c>
    </row>
    <row r="118" spans="1:29" x14ac:dyDescent="0.3">
      <c r="A118" t="s">
        <v>30</v>
      </c>
      <c r="B118" t="str">
        <f t="shared" ref="B118:D118" si="45">B14</f>
        <v>Detached</v>
      </c>
      <c r="C118">
        <f t="shared" si="45"/>
        <v>13</v>
      </c>
      <c r="D118">
        <f t="shared" si="45"/>
        <v>1</v>
      </c>
      <c r="E118" t="e">
        <f>AVERAGEIFS('Region 13'!$W$2:$W$500,'Region 13'!$A$2:$A$500,E$1,'Region 13'!$X$2:$X$500,$D118,'Region 13'!$S$2:$S$500,$A118)</f>
        <v>#DIV/0!</v>
      </c>
      <c r="F118" t="e">
        <f>AVERAGEIFS('Region 13'!$W$2:$W$500,'Region 13'!$A$2:$A$500,F$1,'Region 13'!$X$2:$X$500,$D118,'Region 13'!$S$2:$S$500,$A118)</f>
        <v>#DIV/0!</v>
      </c>
      <c r="G118" t="e">
        <f>AVERAGEIFS('Region 13'!$W$2:$W$500,'Region 13'!$A$2:$A$500,G$1,'Region 13'!$X$2:$X$500,$D118,'Region 13'!$S$2:$S$500,$A118)</f>
        <v>#DIV/0!</v>
      </c>
      <c r="H118" t="e">
        <f>AVERAGEIFS('Region 13'!$W$2:$W$500,'Region 13'!$A$2:$A$500,H$1,'Region 13'!$X$2:$X$500,$D118,'Region 13'!$S$2:$S$500,$A118)</f>
        <v>#DIV/0!</v>
      </c>
      <c r="I118" t="e">
        <f>AVERAGEIFS('Region 13'!$W$2:$W$500,'Region 13'!$A$2:$A$500,I$1,'Region 13'!$X$2:$X$500,$D118,'Region 13'!$S$2:$S$500,$A118)</f>
        <v>#DIV/0!</v>
      </c>
      <c r="J118" t="e">
        <f>AVERAGEIFS('Region 13'!$W$2:$W$500,'Region 13'!$A$2:$A$500,J$1,'Region 13'!$X$2:$X$500,$D118,'Region 13'!$S$2:$S$500,$A118)</f>
        <v>#DIV/0!</v>
      </c>
      <c r="K118" t="e">
        <f>AVERAGEIFS('Region 13'!$W$2:$W$500,'Region 13'!$A$2:$A$500,K$1,'Region 13'!$X$2:$X$500,$D118,'Region 13'!$S$2:$S$500,$A118)</f>
        <v>#DIV/0!</v>
      </c>
      <c r="L118" t="e">
        <f>AVERAGEIFS('Region 13'!$W$2:$W$500,'Region 13'!$A$2:$A$500,L$1,'Region 13'!$X$2:$X$500,$D118,'Region 13'!$S$2:$S$500,$A118)</f>
        <v>#DIV/0!</v>
      </c>
      <c r="M118" t="e">
        <f>AVERAGEIFS('Region 13'!$W$2:$W$500,'Region 13'!$A$2:$A$500,M$1,'Region 13'!$X$2:$X$500,$D118,'Region 13'!$S$2:$S$500,$A118)</f>
        <v>#DIV/0!</v>
      </c>
      <c r="N118" t="e">
        <f>AVERAGEIFS('Region 13'!$W$2:$W$500,'Region 13'!$A$2:$A$500,N$1,'Region 13'!$X$2:$X$500,$D118,'Region 13'!$S$2:$S$500,$A118)</f>
        <v>#DIV/0!</v>
      </c>
      <c r="Q118" t="str">
        <f t="shared" si="31"/>
        <v>Steel</v>
      </c>
      <c r="R118" t="str">
        <f t="shared" si="32"/>
        <v>Detached</v>
      </c>
      <c r="S118">
        <f t="shared" si="33"/>
        <v>13</v>
      </c>
      <c r="T118" t="str">
        <f t="shared" si="21"/>
        <v>-</v>
      </c>
      <c r="U118" t="str">
        <f t="shared" si="22"/>
        <v>-</v>
      </c>
      <c r="V118" t="str">
        <f t="shared" si="23"/>
        <v>-</v>
      </c>
      <c r="W118" t="str">
        <f t="shared" si="24"/>
        <v>-</v>
      </c>
      <c r="X118" t="str">
        <f t="shared" si="25"/>
        <v>-</v>
      </c>
      <c r="Y118" t="str">
        <f t="shared" si="26"/>
        <v>-</v>
      </c>
      <c r="Z118" t="str">
        <f t="shared" si="27"/>
        <v>-</v>
      </c>
      <c r="AA118" t="str">
        <f t="shared" si="28"/>
        <v>-</v>
      </c>
      <c r="AB118" t="str">
        <f t="shared" si="29"/>
        <v>-</v>
      </c>
      <c r="AC118" t="str">
        <f t="shared" si="30"/>
        <v>-</v>
      </c>
    </row>
    <row r="119" spans="1:29" x14ac:dyDescent="0.3">
      <c r="A119" t="s">
        <v>30</v>
      </c>
      <c r="B119" t="str">
        <f t="shared" ref="B119:D119" si="46">B15</f>
        <v>Detached</v>
      </c>
      <c r="C119">
        <f t="shared" si="46"/>
        <v>14</v>
      </c>
      <c r="D119">
        <f t="shared" si="46"/>
        <v>1</v>
      </c>
      <c r="E119" t="e">
        <f ca="1">AVERAGEIFS('Region 14'!$W$2:$W$500,'Region 14'!$A$2:$A$500,E$1,'Region 14'!$X$2:$X$500,$D119,'Region 14'!$S$2:$S$500,$A119)</f>
        <v>#DIV/0!</v>
      </c>
      <c r="F119" t="e">
        <f ca="1">AVERAGEIFS('Region 14'!$W$2:$W$500,'Region 14'!$A$2:$A$500,F$1,'Region 14'!$X$2:$X$500,$D119,'Region 14'!$S$2:$S$500,$A119)</f>
        <v>#DIV/0!</v>
      </c>
      <c r="G119" t="e">
        <f ca="1">AVERAGEIFS('Region 14'!$W$2:$W$500,'Region 14'!$A$2:$A$500,G$1,'Region 14'!$X$2:$X$500,$D119,'Region 14'!$S$2:$S$500,$A119)</f>
        <v>#DIV/0!</v>
      </c>
      <c r="H119" t="e">
        <f ca="1">AVERAGEIFS('Region 14'!$W$2:$W$500,'Region 14'!$A$2:$A$500,H$1,'Region 14'!$X$2:$X$500,$D119,'Region 14'!$S$2:$S$500,$A119)</f>
        <v>#DIV/0!</v>
      </c>
      <c r="I119" t="e">
        <f ca="1">AVERAGEIFS('Region 14'!$W$2:$W$500,'Region 14'!$A$2:$A$500,I$1,'Region 14'!$X$2:$X$500,$D119,'Region 14'!$S$2:$S$500,$A119)</f>
        <v>#DIV/0!</v>
      </c>
      <c r="J119" t="e">
        <f ca="1">AVERAGEIFS('Region 14'!$W$2:$W$500,'Region 14'!$A$2:$A$500,J$1,'Region 14'!$X$2:$X$500,$D119,'Region 14'!$S$2:$S$500,$A119)</f>
        <v>#DIV/0!</v>
      </c>
      <c r="K119" t="e">
        <f ca="1">AVERAGEIFS('Region 14'!$W$2:$W$500,'Region 14'!$A$2:$A$500,K$1,'Region 14'!$X$2:$X$500,$D119,'Region 14'!$S$2:$S$500,$A119)</f>
        <v>#DIV/0!</v>
      </c>
      <c r="L119" t="e">
        <f ca="1">AVERAGEIFS('Region 14'!$W$2:$W$500,'Region 14'!$A$2:$A$500,L$1,'Region 14'!$X$2:$X$500,$D119,'Region 14'!$S$2:$S$500,$A119)</f>
        <v>#DIV/0!</v>
      </c>
      <c r="M119" t="e">
        <f ca="1">AVERAGEIFS('Region 14'!$W$2:$W$500,'Region 14'!$A$2:$A$500,M$1,'Region 14'!$X$2:$X$500,$D119,'Region 14'!$S$2:$S$500,$A119)</f>
        <v>#DIV/0!</v>
      </c>
      <c r="N119" t="e">
        <f ca="1">AVERAGEIFS('Region 14'!$W$2:$W$500,'Region 14'!$A$2:$A$500,N$1,'Region 14'!$X$2:$X$500,$D119,'Region 14'!$S$2:$S$500,$A119)</f>
        <v>#DIV/0!</v>
      </c>
      <c r="Q119" t="str">
        <f t="shared" si="31"/>
        <v>Steel</v>
      </c>
      <c r="R119" t="str">
        <f t="shared" si="32"/>
        <v>Detached</v>
      </c>
      <c r="S119">
        <f t="shared" si="33"/>
        <v>14</v>
      </c>
      <c r="T119" t="str">
        <f t="shared" ca="1" si="21"/>
        <v>-</v>
      </c>
      <c r="U119" t="str">
        <f t="shared" ca="1" si="22"/>
        <v>-</v>
      </c>
      <c r="V119" t="str">
        <f t="shared" ca="1" si="23"/>
        <v>-</v>
      </c>
      <c r="W119" t="str">
        <f t="shared" ca="1" si="24"/>
        <v>-</v>
      </c>
      <c r="X119" t="str">
        <f t="shared" ca="1" si="25"/>
        <v>-</v>
      </c>
      <c r="Y119" t="str">
        <f t="shared" ca="1" si="26"/>
        <v>-</v>
      </c>
      <c r="Z119" t="str">
        <f t="shared" ca="1" si="27"/>
        <v>-</v>
      </c>
      <c r="AA119" t="str">
        <f t="shared" ca="1" si="28"/>
        <v>-</v>
      </c>
      <c r="AB119" t="str">
        <f t="shared" ca="1" si="29"/>
        <v>-</v>
      </c>
      <c r="AC119" t="str">
        <f t="shared" ca="1" si="30"/>
        <v>-</v>
      </c>
    </row>
    <row r="120" spans="1:29" x14ac:dyDescent="0.3">
      <c r="A120" t="s">
        <v>30</v>
      </c>
      <c r="B120" t="str">
        <f t="shared" ref="B120:D120" si="47">B16</f>
        <v>Detached</v>
      </c>
      <c r="C120">
        <f t="shared" si="47"/>
        <v>15</v>
      </c>
      <c r="D120">
        <f t="shared" si="47"/>
        <v>1</v>
      </c>
      <c r="E120" t="e">
        <f ca="1">AVERAGEIFS('Region 15'!$W$2:$W$500,'Region 15'!$A$2:$A$500,E$1,'Region 15'!$X$2:$X$500,$D120,'Region 15'!$S$2:$S$500,$A120)</f>
        <v>#DIV/0!</v>
      </c>
      <c r="F120" t="e">
        <f ca="1">AVERAGEIFS('Region 15'!$W$2:$W$500,'Region 15'!$A$2:$A$500,F$1,'Region 15'!$X$2:$X$500,$D120,'Region 15'!$S$2:$S$500,$A120)</f>
        <v>#DIV/0!</v>
      </c>
      <c r="G120" t="e">
        <f ca="1">AVERAGEIFS('Region 15'!$W$2:$W$500,'Region 15'!$A$2:$A$500,G$1,'Region 15'!$X$2:$X$500,$D120,'Region 15'!$S$2:$S$500,$A120)</f>
        <v>#DIV/0!</v>
      </c>
      <c r="H120" t="e">
        <f ca="1">AVERAGEIFS('Region 15'!$W$2:$W$500,'Region 15'!$A$2:$A$500,H$1,'Region 15'!$X$2:$X$500,$D120,'Region 15'!$S$2:$S$500,$A120)</f>
        <v>#DIV/0!</v>
      </c>
      <c r="I120" t="e">
        <f ca="1">AVERAGEIFS('Region 15'!$W$2:$W$500,'Region 15'!$A$2:$A$500,I$1,'Region 15'!$X$2:$X$500,$D120,'Region 15'!$S$2:$S$500,$A120)</f>
        <v>#DIV/0!</v>
      </c>
      <c r="J120" t="e">
        <f ca="1">AVERAGEIFS('Region 15'!$W$2:$W$500,'Region 15'!$A$2:$A$500,J$1,'Region 15'!$X$2:$X$500,$D120,'Region 15'!$S$2:$S$500,$A120)</f>
        <v>#DIV/0!</v>
      </c>
      <c r="K120" t="e">
        <f ca="1">AVERAGEIFS('Region 15'!$W$2:$W$500,'Region 15'!$A$2:$A$500,K$1,'Region 15'!$X$2:$X$500,$D120,'Region 15'!$S$2:$S$500,$A120)</f>
        <v>#DIV/0!</v>
      </c>
      <c r="L120" t="e">
        <f ca="1">AVERAGEIFS('Region 15'!$W$2:$W$500,'Region 15'!$A$2:$A$500,L$1,'Region 15'!$X$2:$X$500,$D120,'Region 15'!$S$2:$S$500,$A120)</f>
        <v>#DIV/0!</v>
      </c>
      <c r="M120" t="e">
        <f ca="1">AVERAGEIFS('Region 15'!$W$2:$W$500,'Region 15'!$A$2:$A$500,M$1,'Region 15'!$X$2:$X$500,$D120,'Region 15'!$S$2:$S$500,$A120)</f>
        <v>#DIV/0!</v>
      </c>
      <c r="N120" t="e">
        <f ca="1">AVERAGEIFS('Region 15'!$W$2:$W$500,'Region 15'!$A$2:$A$500,N$1,'Region 15'!$X$2:$X$500,$D120,'Region 15'!$S$2:$S$500,$A120)</f>
        <v>#DIV/0!</v>
      </c>
      <c r="Q120" t="str">
        <f t="shared" si="31"/>
        <v>Steel</v>
      </c>
      <c r="R120" t="str">
        <f t="shared" si="32"/>
        <v>Detached</v>
      </c>
      <c r="S120">
        <f t="shared" si="33"/>
        <v>15</v>
      </c>
      <c r="T120" t="str">
        <f t="shared" ca="1" si="21"/>
        <v>-</v>
      </c>
      <c r="U120" t="str">
        <f t="shared" ca="1" si="22"/>
        <v>-</v>
      </c>
      <c r="V120" t="str">
        <f t="shared" ca="1" si="23"/>
        <v>-</v>
      </c>
      <c r="W120" t="str">
        <f t="shared" ca="1" si="24"/>
        <v>-</v>
      </c>
      <c r="X120" t="str">
        <f t="shared" ca="1" si="25"/>
        <v>-</v>
      </c>
      <c r="Y120" t="str">
        <f t="shared" ca="1" si="26"/>
        <v>-</v>
      </c>
      <c r="Z120" t="str">
        <f t="shared" ca="1" si="27"/>
        <v>-</v>
      </c>
      <c r="AA120" t="str">
        <f t="shared" ca="1" si="28"/>
        <v>-</v>
      </c>
      <c r="AB120" t="str">
        <f t="shared" ca="1" si="29"/>
        <v>-</v>
      </c>
      <c r="AC120" t="str">
        <f t="shared" ca="1" si="30"/>
        <v>-</v>
      </c>
    </row>
    <row r="121" spans="1:29" x14ac:dyDescent="0.3">
      <c r="A121" t="s">
        <v>30</v>
      </c>
      <c r="B121" t="str">
        <f t="shared" ref="B121:D121" si="48">B17</f>
        <v>Detached</v>
      </c>
      <c r="C121">
        <f t="shared" si="48"/>
        <v>16</v>
      </c>
      <c r="D121">
        <f t="shared" si="48"/>
        <v>1</v>
      </c>
      <c r="E121" t="e">
        <f ca="1">AVERAGEIFS('Region 16'!$W$2:$W$500,'Region 16'!$A$2:$A$500,E$1,'Region 16'!$X$2:$X$500,$D121,'Region 16'!$S$2:$S$500,$A121)</f>
        <v>#DIV/0!</v>
      </c>
      <c r="F121" t="e">
        <f ca="1">AVERAGEIFS('Region 16'!$W$2:$W$500,'Region 16'!$A$2:$A$500,F$1,'Region 16'!$X$2:$X$500,$D121,'Region 16'!$S$2:$S$500,$A121)</f>
        <v>#DIV/0!</v>
      </c>
      <c r="G121" t="e">
        <f ca="1">AVERAGEIFS('Region 16'!$W$2:$W$500,'Region 16'!$A$2:$A$500,G$1,'Region 16'!$X$2:$X$500,$D121,'Region 16'!$S$2:$S$500,$A121)</f>
        <v>#DIV/0!</v>
      </c>
      <c r="H121" t="e">
        <f ca="1">AVERAGEIFS('Region 16'!$W$2:$W$500,'Region 16'!$A$2:$A$500,H$1,'Region 16'!$X$2:$X$500,$D121,'Region 16'!$S$2:$S$500,$A121)</f>
        <v>#DIV/0!</v>
      </c>
      <c r="I121" t="e">
        <f ca="1">AVERAGEIFS('Region 16'!$W$2:$W$500,'Region 16'!$A$2:$A$500,I$1,'Region 16'!$X$2:$X$500,$D121,'Region 16'!$S$2:$S$500,$A121)</f>
        <v>#DIV/0!</v>
      </c>
      <c r="J121" t="e">
        <f ca="1">AVERAGEIFS('Region 16'!$W$2:$W$500,'Region 16'!$A$2:$A$500,J$1,'Region 16'!$X$2:$X$500,$D121,'Region 16'!$S$2:$S$500,$A121)</f>
        <v>#DIV/0!</v>
      </c>
      <c r="K121" t="e">
        <f ca="1">AVERAGEIFS('Region 16'!$W$2:$W$500,'Region 16'!$A$2:$A$500,K$1,'Region 16'!$X$2:$X$500,$D121,'Region 16'!$S$2:$S$500,$A121)</f>
        <v>#DIV/0!</v>
      </c>
      <c r="L121" t="e">
        <f ca="1">AVERAGEIFS('Region 16'!$W$2:$W$500,'Region 16'!$A$2:$A$500,L$1,'Region 16'!$X$2:$X$500,$D121,'Region 16'!$S$2:$S$500,$A121)</f>
        <v>#DIV/0!</v>
      </c>
      <c r="M121" t="e">
        <f ca="1">AVERAGEIFS('Region 16'!$W$2:$W$500,'Region 16'!$A$2:$A$500,M$1,'Region 16'!$X$2:$X$500,$D121,'Region 16'!$S$2:$S$500,$A121)</f>
        <v>#DIV/0!</v>
      </c>
      <c r="N121" t="e">
        <f ca="1">AVERAGEIFS('Region 16'!$W$2:$W$500,'Region 16'!$A$2:$A$500,N$1,'Region 16'!$X$2:$X$500,$D121,'Region 16'!$S$2:$S$500,$A121)</f>
        <v>#DIV/0!</v>
      </c>
      <c r="Q121" t="str">
        <f t="shared" si="31"/>
        <v>Steel</v>
      </c>
      <c r="R121" t="str">
        <f t="shared" si="32"/>
        <v>Detached</v>
      </c>
      <c r="S121">
        <f t="shared" si="33"/>
        <v>16</v>
      </c>
      <c r="T121" t="str">
        <f t="shared" ca="1" si="21"/>
        <v>-</v>
      </c>
      <c r="U121" t="str">
        <f t="shared" ca="1" si="22"/>
        <v>-</v>
      </c>
      <c r="V121" t="str">
        <f t="shared" ca="1" si="23"/>
        <v>-</v>
      </c>
      <c r="W121" t="str">
        <f t="shared" ca="1" si="24"/>
        <v>-</v>
      </c>
      <c r="X121" t="str">
        <f t="shared" ca="1" si="25"/>
        <v>-</v>
      </c>
      <c r="Y121" t="str">
        <f t="shared" ca="1" si="26"/>
        <v>-</v>
      </c>
      <c r="Z121" t="str">
        <f t="shared" ca="1" si="27"/>
        <v>-</v>
      </c>
      <c r="AA121" t="str">
        <f t="shared" ca="1" si="28"/>
        <v>-</v>
      </c>
      <c r="AB121" t="str">
        <f t="shared" ca="1" si="29"/>
        <v>-</v>
      </c>
      <c r="AC121" t="str">
        <f t="shared" ca="1" si="30"/>
        <v>-</v>
      </c>
    </row>
    <row r="122" spans="1:29" x14ac:dyDescent="0.3">
      <c r="A122" t="s">
        <v>30</v>
      </c>
      <c r="B122" t="str">
        <f t="shared" ref="B122:D122" si="49">B18</f>
        <v>Detached</v>
      </c>
      <c r="C122">
        <f t="shared" si="49"/>
        <v>17</v>
      </c>
      <c r="D122">
        <f t="shared" si="49"/>
        <v>1</v>
      </c>
      <c r="E122" t="e">
        <f>AVERAGEIFS('Region 17'!$W$2:$W$498,'Region 17'!$A$2:$A$498,E$1,'Region 17'!$X$2:$X$498,$D122,'Region 17'!$S$2:$S$498,$A122)</f>
        <v>#DIV/0!</v>
      </c>
      <c r="F122">
        <f>AVERAGEIFS('Region 17'!$W$2:$W$498,'Region 17'!$A$2:$A$498,F$1,'Region 17'!$X$2:$X$498,$D122,'Region 17'!$S$2:$S$498,$A122)</f>
        <v>102.55316574401792</v>
      </c>
      <c r="G122" t="e">
        <f>AVERAGEIFS('Region 17'!$W$2:$W$498,'Region 17'!$A$2:$A$498,G$1,'Region 17'!$X$2:$X$498,$D122,'Region 17'!$S$2:$S$498,$A122)</f>
        <v>#DIV/0!</v>
      </c>
      <c r="H122" t="e">
        <f>AVERAGEIFS('Region 17'!$W$2:$W$498,'Region 17'!$A$2:$A$498,H$1,'Region 17'!$X$2:$X$498,$D122,'Region 17'!$S$2:$S$498,$A122)</f>
        <v>#DIV/0!</v>
      </c>
      <c r="I122" t="e">
        <f>AVERAGEIFS('Region 17'!$W$2:$W$498,'Region 17'!$A$2:$A$498,I$1,'Region 17'!$X$2:$X$498,$D122,'Region 17'!$S$2:$S$498,$A122)</f>
        <v>#DIV/0!</v>
      </c>
      <c r="J122" t="e">
        <f>AVERAGEIFS('Region 17'!$W$2:$W$498,'Region 17'!$A$2:$A$498,J$1,'Region 17'!$X$2:$X$498,$D122,'Region 17'!$S$2:$S$498,$A122)</f>
        <v>#DIV/0!</v>
      </c>
      <c r="K122" t="e">
        <f>AVERAGEIFS('Region 17'!$W$2:$W$498,'Region 17'!$A$2:$A$498,K$1,'Region 17'!$X$2:$X$498,$D122,'Region 17'!$S$2:$S$498,$A122)</f>
        <v>#DIV/0!</v>
      </c>
      <c r="L122" t="e">
        <f>AVERAGEIFS('Region 17'!$W$2:$W$498,'Region 17'!$A$2:$A$498,L$1,'Region 17'!$X$2:$X$498,$D122,'Region 17'!$S$2:$S$498,$A122)</f>
        <v>#DIV/0!</v>
      </c>
      <c r="M122" t="e">
        <f>AVERAGEIFS('Region 17'!$W$2:$W$498,'Region 17'!$A$2:$A$498,M$1,'Region 17'!$X$2:$X$498,$D122,'Region 17'!$S$2:$S$498,$A122)</f>
        <v>#DIV/0!</v>
      </c>
      <c r="N122" t="e">
        <f>AVERAGEIFS('Region 17'!$W$2:$W$498,'Region 17'!$A$2:$A$498,N$1,'Region 17'!$X$2:$X$498,$D122,'Region 17'!$S$2:$S$498,$A122)</f>
        <v>#DIV/0!</v>
      </c>
      <c r="Q122" t="str">
        <f t="shared" si="31"/>
        <v>Steel</v>
      </c>
      <c r="R122" t="str">
        <f t="shared" si="32"/>
        <v>Detached</v>
      </c>
      <c r="S122">
        <f t="shared" si="33"/>
        <v>17</v>
      </c>
      <c r="T122" t="str">
        <f t="shared" si="21"/>
        <v>-</v>
      </c>
      <c r="U122">
        <f t="shared" si="22"/>
        <v>102.55316574401792</v>
      </c>
      <c r="V122" t="str">
        <f t="shared" si="23"/>
        <v>-</v>
      </c>
      <c r="W122" t="str">
        <f t="shared" si="24"/>
        <v>-</v>
      </c>
      <c r="X122" t="str">
        <f t="shared" si="25"/>
        <v>-</v>
      </c>
      <c r="Y122" t="str">
        <f t="shared" si="26"/>
        <v>-</v>
      </c>
      <c r="Z122" t="str">
        <f t="shared" si="27"/>
        <v>-</v>
      </c>
      <c r="AA122" t="str">
        <f t="shared" si="28"/>
        <v>-</v>
      </c>
      <c r="AB122" t="str">
        <f t="shared" si="29"/>
        <v>-</v>
      </c>
      <c r="AC122" t="str">
        <f t="shared" si="30"/>
        <v>-</v>
      </c>
    </row>
    <row r="123" spans="1:29" x14ac:dyDescent="0.3">
      <c r="A123" t="s">
        <v>30</v>
      </c>
      <c r="B123" t="str">
        <f t="shared" ref="B123:D123" si="50">B19</f>
        <v>Detached</v>
      </c>
      <c r="C123">
        <f t="shared" si="50"/>
        <v>18</v>
      </c>
      <c r="D123">
        <f t="shared" si="50"/>
        <v>1</v>
      </c>
      <c r="E123" t="e">
        <f>AVERAGEIFS('Region 18'!$W$2:$W$468,'Region 18'!$A$2:$A$468,E$1,'Region 18'!$X$2:$X$468,$D123,'Region 18'!$S$2:$S$468,$A123)</f>
        <v>#DIV/0!</v>
      </c>
      <c r="F123">
        <f>AVERAGEIFS('Region 18'!$W$2:$W$468,'Region 18'!$A$2:$A$468,F$1,'Region 18'!$X$2:$X$468,$D123,'Region 18'!$S$2:$S$468,$A123)</f>
        <v>17.514285714285709</v>
      </c>
      <c r="G123">
        <f>AVERAGEIFS('Region 18'!$W$2:$W$468,'Region 18'!$A$2:$A$468,G$1,'Region 18'!$X$2:$X$468,$D123,'Region 18'!$S$2:$S$468,$A123)</f>
        <v>47.340182648401822</v>
      </c>
      <c r="H123">
        <f>AVERAGEIFS('Region 18'!$W$2:$W$468,'Region 18'!$A$2:$A$468,H$1,'Region 18'!$X$2:$X$468,$D123,'Region 18'!$S$2:$S$468,$A123)</f>
        <v>62.638076673164392</v>
      </c>
      <c r="I123" t="e">
        <f>AVERAGEIFS('Region 18'!$W$2:$W$468,'Region 18'!$A$2:$A$468,I$1,'Region 18'!$X$2:$X$468,$D123,'Region 18'!$S$2:$S$468,$A123)</f>
        <v>#DIV/0!</v>
      </c>
      <c r="J123" t="e">
        <f>AVERAGEIFS('Region 18'!$W$2:$W$468,'Region 18'!$A$2:$A$468,J$1,'Region 18'!$X$2:$X$468,$D123,'Region 18'!$S$2:$S$468,$A123)</f>
        <v>#DIV/0!</v>
      </c>
      <c r="K123" t="e">
        <f>AVERAGEIFS('Region 18'!$W$2:$W$468,'Region 18'!$A$2:$A$468,K$1,'Region 18'!$X$2:$X$468,$D123,'Region 18'!$S$2:$S$468,$A123)</f>
        <v>#DIV/0!</v>
      </c>
      <c r="L123" t="e">
        <f>AVERAGEIFS('Region 18'!$W$2:$W$468,'Region 18'!$A$2:$A$468,L$1,'Region 18'!$X$2:$X$468,$D123,'Region 18'!$S$2:$S$468,$A123)</f>
        <v>#DIV/0!</v>
      </c>
      <c r="M123" t="e">
        <f>AVERAGEIFS('Region 18'!$W$2:$W$468,'Region 18'!$A$2:$A$468,M$1,'Region 18'!$X$2:$X$468,$D123,'Region 18'!$S$2:$S$468,$A123)</f>
        <v>#DIV/0!</v>
      </c>
      <c r="N123" t="e">
        <f>AVERAGEIFS('Region 18'!$W$2:$W$468,'Region 18'!$A$2:$A$468,N$1,'Region 18'!$X$2:$X$468,$D123,'Region 18'!$S$2:$S$468,$A123)</f>
        <v>#DIV/0!</v>
      </c>
      <c r="Q123" t="str">
        <f t="shared" si="31"/>
        <v>Steel</v>
      </c>
      <c r="R123" t="str">
        <f t="shared" si="32"/>
        <v>Detached</v>
      </c>
      <c r="S123">
        <f t="shared" si="33"/>
        <v>18</v>
      </c>
      <c r="T123" t="str">
        <f t="shared" si="21"/>
        <v>-</v>
      </c>
      <c r="U123">
        <f t="shared" si="22"/>
        <v>17.514285714285709</v>
      </c>
      <c r="V123">
        <f t="shared" si="23"/>
        <v>47.340182648401822</v>
      </c>
      <c r="W123">
        <f t="shared" si="24"/>
        <v>62.638076673164392</v>
      </c>
      <c r="X123" t="str">
        <f t="shared" si="25"/>
        <v>-</v>
      </c>
      <c r="Y123" t="str">
        <f t="shared" si="26"/>
        <v>-</v>
      </c>
      <c r="Z123" t="str">
        <f t="shared" si="27"/>
        <v>-</v>
      </c>
      <c r="AA123" t="str">
        <f t="shared" si="28"/>
        <v>-</v>
      </c>
      <c r="AB123" t="str">
        <f t="shared" si="29"/>
        <v>-</v>
      </c>
      <c r="AC123" t="str">
        <f t="shared" si="30"/>
        <v>-</v>
      </c>
    </row>
    <row r="124" spans="1:29" x14ac:dyDescent="0.3">
      <c r="A124" t="s">
        <v>30</v>
      </c>
      <c r="B124" t="str">
        <f t="shared" ref="B124:D124" si="51">B20</f>
        <v>Detached</v>
      </c>
      <c r="C124">
        <f t="shared" si="51"/>
        <v>19</v>
      </c>
      <c r="D124">
        <f t="shared" si="51"/>
        <v>1</v>
      </c>
      <c r="E124" t="e">
        <f>AVERAGEIFS('Region 19'!$W$2:$W$494,'Region 19'!$A$2:$A$494,E$1,'Region 19'!$X$2:$X$494,$D124,'Region 19'!$S$2:$S$494,$A124)</f>
        <v>#DIV/0!</v>
      </c>
      <c r="F124" t="e">
        <f>AVERAGEIFS('Region 19'!$W$2:$W$494,'Region 19'!$A$2:$A$494,F$1,'Region 19'!$X$2:$X$494,$D124,'Region 19'!$S$2:$S$494,$A124)</f>
        <v>#DIV/0!</v>
      </c>
      <c r="G124" t="e">
        <f>AVERAGEIFS('Region 19'!$W$2:$W$494,'Region 19'!$A$2:$A$494,G$1,'Region 19'!$X$2:$X$494,$D124,'Region 19'!$S$2:$S$494,$A124)</f>
        <v>#DIV/0!</v>
      </c>
      <c r="H124" t="e">
        <f>AVERAGEIFS('Region 19'!$W$2:$W$494,'Region 19'!$A$2:$A$494,H$1,'Region 19'!$X$2:$X$494,$D124,'Region 19'!$S$2:$S$494,$A124)</f>
        <v>#DIV/0!</v>
      </c>
      <c r="I124" t="e">
        <f>AVERAGEIFS('Region 19'!$W$2:$W$494,'Region 19'!$A$2:$A$494,I$1,'Region 19'!$X$2:$X$494,$D124,'Region 19'!$S$2:$S$494,$A124)</f>
        <v>#DIV/0!</v>
      </c>
      <c r="J124" t="e">
        <f>AVERAGEIFS('Region 19'!$W$2:$W$494,'Region 19'!$A$2:$A$494,J$1,'Region 19'!$X$2:$X$494,$D124,'Region 19'!$S$2:$S$494,$A124)</f>
        <v>#DIV/0!</v>
      </c>
      <c r="K124" t="e">
        <f>AVERAGEIFS('Region 19'!$W$2:$W$494,'Region 19'!$A$2:$A$494,K$1,'Region 19'!$X$2:$X$494,$D124,'Region 19'!$S$2:$S$494,$A124)</f>
        <v>#DIV/0!</v>
      </c>
      <c r="L124" t="e">
        <f>AVERAGEIFS('Region 19'!$W$2:$W$494,'Region 19'!$A$2:$A$494,L$1,'Region 19'!$X$2:$X$494,$D124,'Region 19'!$S$2:$S$494,$A124)</f>
        <v>#DIV/0!</v>
      </c>
      <c r="M124" t="e">
        <f>AVERAGEIFS('Region 19'!$W$2:$W$494,'Region 19'!$A$2:$A$494,M$1,'Region 19'!$X$2:$X$494,$D124,'Region 19'!$S$2:$S$494,$A124)</f>
        <v>#DIV/0!</v>
      </c>
      <c r="N124" t="e">
        <f>AVERAGEIFS('Region 19'!$W$2:$W$494,'Region 19'!$A$2:$A$494,N$1,'Region 19'!$X$2:$X$494,$D124,'Region 19'!$S$2:$S$494,$A124)</f>
        <v>#DIV/0!</v>
      </c>
      <c r="Q124" t="str">
        <f t="shared" si="31"/>
        <v>Steel</v>
      </c>
      <c r="R124" t="str">
        <f t="shared" si="32"/>
        <v>Detached</v>
      </c>
      <c r="S124">
        <f t="shared" si="33"/>
        <v>19</v>
      </c>
      <c r="T124" t="str">
        <f t="shared" si="21"/>
        <v>-</v>
      </c>
      <c r="U124" t="str">
        <f t="shared" si="22"/>
        <v>-</v>
      </c>
      <c r="V124" t="str">
        <f t="shared" si="23"/>
        <v>-</v>
      </c>
      <c r="W124" t="str">
        <f t="shared" si="24"/>
        <v>-</v>
      </c>
      <c r="X124" t="str">
        <f t="shared" si="25"/>
        <v>-</v>
      </c>
      <c r="Y124" t="str">
        <f t="shared" si="26"/>
        <v>-</v>
      </c>
      <c r="Z124" t="str">
        <f t="shared" si="27"/>
        <v>-</v>
      </c>
      <c r="AA124" t="str">
        <f t="shared" si="28"/>
        <v>-</v>
      </c>
      <c r="AB124" t="str">
        <f t="shared" si="29"/>
        <v>-</v>
      </c>
      <c r="AC124" t="str">
        <f t="shared" si="30"/>
        <v>-</v>
      </c>
    </row>
    <row r="125" spans="1:29" x14ac:dyDescent="0.3">
      <c r="A125" t="s">
        <v>30</v>
      </c>
      <c r="B125" t="str">
        <f t="shared" ref="B125:D125" si="52">B21</f>
        <v>Detached</v>
      </c>
      <c r="C125">
        <f t="shared" si="52"/>
        <v>20</v>
      </c>
      <c r="D125">
        <f t="shared" si="52"/>
        <v>1</v>
      </c>
      <c r="E125" t="e">
        <f>AVERAGEIFS('Region 20'!$W$2:$W$269,'Region 20'!$A$2:$A$269,E$1,'Region 20'!$X$2:$X$269,$D125,'Region 20'!$S$2:$S$269,$A125)</f>
        <v>#DIV/0!</v>
      </c>
      <c r="F125">
        <f>AVERAGEIFS('Region 20'!$W$2:$W$269,'Region 20'!$A$2:$A$269,F$1,'Region 20'!$X$2:$X$269,$D125,'Region 20'!$S$2:$S$269,$A125)</f>
        <v>28.109000000000002</v>
      </c>
      <c r="G125" t="e">
        <f>AVERAGEIFS('Region 20'!$W$2:$W$269,'Region 20'!$A$2:$A$269,G$1,'Region 20'!$X$2:$X$269,$D125,'Region 20'!$S$2:$S$269,$A125)</f>
        <v>#DIV/0!</v>
      </c>
      <c r="H125" t="e">
        <f>AVERAGEIFS('Region 20'!$W$2:$W$269,'Region 20'!$A$2:$A$269,H$1,'Region 20'!$X$2:$X$269,$D125,'Region 20'!$S$2:$S$269,$A125)</f>
        <v>#DIV/0!</v>
      </c>
      <c r="I125">
        <f>AVERAGEIFS('Region 20'!$W$2:$W$269,'Region 20'!$A$2:$A$269,I$1,'Region 20'!$X$2:$X$269,$D125,'Region 20'!$S$2:$S$269,$A125)</f>
        <v>2.7029864063402087</v>
      </c>
      <c r="J125" t="e">
        <f>AVERAGEIFS('Region 20'!$W$2:$W$269,'Region 20'!$A$2:$A$269,J$1,'Region 20'!$X$2:$X$269,$D125,'Region 20'!$S$2:$S$269,$A125)</f>
        <v>#DIV/0!</v>
      </c>
      <c r="K125" t="e">
        <f>AVERAGEIFS('Region 20'!$W$2:$W$269,'Region 20'!$A$2:$A$269,K$1,'Region 20'!$X$2:$X$269,$D125,'Region 20'!$S$2:$S$269,$A125)</f>
        <v>#DIV/0!</v>
      </c>
      <c r="L125" t="e">
        <f>AVERAGEIFS('Region 20'!$W$2:$W$269,'Region 20'!$A$2:$A$269,L$1,'Region 20'!$X$2:$X$269,$D125,'Region 20'!$S$2:$S$269,$A125)</f>
        <v>#DIV/0!</v>
      </c>
      <c r="M125" t="e">
        <f>AVERAGEIFS('Region 20'!$W$2:$W$269,'Region 20'!$A$2:$A$269,M$1,'Region 20'!$X$2:$X$269,$D125,'Region 20'!$S$2:$S$269,$A125)</f>
        <v>#DIV/0!</v>
      </c>
      <c r="N125" t="e">
        <f>AVERAGEIFS('Region 20'!$W$2:$W$269,'Region 20'!$A$2:$A$269,N$1,'Region 20'!$X$2:$X$269,$D125,'Region 20'!$S$2:$S$269,$A125)</f>
        <v>#DIV/0!</v>
      </c>
      <c r="Q125" t="str">
        <f t="shared" si="31"/>
        <v>Steel</v>
      </c>
      <c r="R125" t="str">
        <f t="shared" si="32"/>
        <v>Detached</v>
      </c>
      <c r="S125">
        <f t="shared" si="33"/>
        <v>20</v>
      </c>
      <c r="T125" t="str">
        <f t="shared" si="21"/>
        <v>-</v>
      </c>
      <c r="U125">
        <f t="shared" si="22"/>
        <v>28.109000000000002</v>
      </c>
      <c r="V125" t="str">
        <f t="shared" si="23"/>
        <v>-</v>
      </c>
      <c r="W125" t="str">
        <f t="shared" si="24"/>
        <v>-</v>
      </c>
      <c r="X125">
        <f t="shared" si="25"/>
        <v>2.7029864063402087</v>
      </c>
      <c r="Y125" t="str">
        <f t="shared" si="26"/>
        <v>-</v>
      </c>
      <c r="Z125" t="str">
        <f t="shared" si="27"/>
        <v>-</v>
      </c>
      <c r="AA125" t="str">
        <f t="shared" si="28"/>
        <v>-</v>
      </c>
      <c r="AB125" t="str">
        <f t="shared" si="29"/>
        <v>-</v>
      </c>
      <c r="AC125" t="str">
        <f t="shared" si="30"/>
        <v>-</v>
      </c>
    </row>
    <row r="126" spans="1:29" x14ac:dyDescent="0.3">
      <c r="A126" t="s">
        <v>30</v>
      </c>
      <c r="B126" t="str">
        <f t="shared" ref="B126:D126" si="53">B22</f>
        <v>Detached</v>
      </c>
      <c r="C126">
        <f t="shared" si="53"/>
        <v>21</v>
      </c>
      <c r="D126">
        <f t="shared" si="53"/>
        <v>1</v>
      </c>
      <c r="E126" t="e">
        <f>AVERAGEIFS('Region 21'!$W$2:$W$497,'Region 21'!$A$2:$A$497,E$1,'Region 21'!$X$2:$X$497,$D126,'Region 21'!$S$2:$S$497,$A126)</f>
        <v>#DIV/0!</v>
      </c>
      <c r="F126" t="e">
        <f>AVERAGEIFS('Region 21'!$W$2:$W$497,'Region 21'!$A$2:$A$497,F$1,'Region 21'!$X$2:$X$497,$D126,'Region 21'!$S$2:$S$497,$A126)</f>
        <v>#DIV/0!</v>
      </c>
      <c r="G126" t="e">
        <f>AVERAGEIFS('Region 21'!$W$2:$W$497,'Region 21'!$A$2:$A$497,G$1,'Region 21'!$X$2:$X$497,$D126,'Region 21'!$S$2:$S$497,$A126)</f>
        <v>#DIV/0!</v>
      </c>
      <c r="H126" t="e">
        <f>AVERAGEIFS('Region 21'!$W$2:$W$497,'Region 21'!$A$2:$A$497,H$1,'Region 21'!$X$2:$X$497,$D126,'Region 21'!$S$2:$S$497,$A126)</f>
        <v>#DIV/0!</v>
      </c>
      <c r="I126" t="e">
        <f>AVERAGEIFS('Region 21'!$W$2:$W$497,'Region 21'!$A$2:$A$497,I$1,'Region 21'!$X$2:$X$497,$D126,'Region 21'!$S$2:$S$497,$A126)</f>
        <v>#DIV/0!</v>
      </c>
      <c r="J126" t="e">
        <f>AVERAGEIFS('Region 21'!$W$2:$W$497,'Region 21'!$A$2:$A$497,J$1,'Region 21'!$X$2:$X$497,$D126,'Region 21'!$S$2:$S$497,$A126)</f>
        <v>#DIV/0!</v>
      </c>
      <c r="K126" t="e">
        <f>AVERAGEIFS('Region 21'!$W$2:$W$497,'Region 21'!$A$2:$A$497,K$1,'Region 21'!$X$2:$X$497,$D126,'Region 21'!$S$2:$S$497,$A126)</f>
        <v>#DIV/0!</v>
      </c>
      <c r="L126" t="e">
        <f>AVERAGEIFS('Region 21'!$W$2:$W$497,'Region 21'!$A$2:$A$497,L$1,'Region 21'!$X$2:$X$497,$D126,'Region 21'!$S$2:$S$497,$A126)</f>
        <v>#DIV/0!</v>
      </c>
      <c r="M126" t="e">
        <f>AVERAGEIFS('Region 21'!$W$2:$W$497,'Region 21'!$A$2:$A$497,M$1,'Region 21'!$X$2:$X$497,$D126,'Region 21'!$S$2:$S$497,$A126)</f>
        <v>#DIV/0!</v>
      </c>
      <c r="N126" t="e">
        <f>AVERAGEIFS('Region 21'!$W$2:$W$497,'Region 21'!$A$2:$A$497,N$1,'Region 21'!$X$2:$X$497,$D126,'Region 21'!$S$2:$S$497,$A126)</f>
        <v>#DIV/0!</v>
      </c>
      <c r="Q126" t="str">
        <f t="shared" si="31"/>
        <v>Steel</v>
      </c>
      <c r="R126" t="str">
        <f t="shared" si="32"/>
        <v>Detached</v>
      </c>
      <c r="S126">
        <f t="shared" si="33"/>
        <v>21</v>
      </c>
      <c r="T126" t="str">
        <f t="shared" si="21"/>
        <v>-</v>
      </c>
      <c r="U126" t="str">
        <f t="shared" si="22"/>
        <v>-</v>
      </c>
      <c r="V126" t="str">
        <f t="shared" si="23"/>
        <v>-</v>
      </c>
      <c r="W126" t="str">
        <f t="shared" si="24"/>
        <v>-</v>
      </c>
      <c r="X126" t="str">
        <f t="shared" si="25"/>
        <v>-</v>
      </c>
      <c r="Y126" t="str">
        <f t="shared" si="26"/>
        <v>-</v>
      </c>
      <c r="Z126" t="str">
        <f t="shared" si="27"/>
        <v>-</v>
      </c>
      <c r="AA126" t="str">
        <f t="shared" si="28"/>
        <v>-</v>
      </c>
      <c r="AB126" t="str">
        <f t="shared" si="29"/>
        <v>-</v>
      </c>
      <c r="AC126" t="str">
        <f t="shared" si="30"/>
        <v>-</v>
      </c>
    </row>
    <row r="127" spans="1:29" x14ac:dyDescent="0.3">
      <c r="A127" t="s">
        <v>30</v>
      </c>
      <c r="B127" t="str">
        <f t="shared" ref="B127:D127" si="54">B23</f>
        <v>Detached</v>
      </c>
      <c r="C127">
        <f t="shared" si="54"/>
        <v>22</v>
      </c>
      <c r="D127">
        <f t="shared" si="54"/>
        <v>1</v>
      </c>
      <c r="E127" t="e">
        <f>AVERAGEIFS('Region 22'!$W$2:$W$510,'Region 22'!$A$2:$A$510,E$1,'Region 22'!$X$2:$X$510,$D127,'Region 22'!$S$2:$S$510,$A127)</f>
        <v>#DIV/0!</v>
      </c>
      <c r="F127" t="e">
        <f>AVERAGEIFS('Region 22'!$W$2:$W$510,'Region 22'!$A$2:$A$510,F$1,'Region 22'!$X$2:$X$510,$D127,'Region 22'!$S$2:$S$510,$A127)</f>
        <v>#DIV/0!</v>
      </c>
      <c r="G127">
        <f>AVERAGEIFS('Region 22'!$W$2:$W$510,'Region 22'!$A$2:$A$510,G$1,'Region 22'!$X$2:$X$510,$D127,'Region 22'!$S$2:$S$510,$A127)</f>
        <v>28.387499999999999</v>
      </c>
      <c r="H127" t="e">
        <f>AVERAGEIFS('Region 22'!$W$2:$W$510,'Region 22'!$A$2:$A$510,H$1,'Region 22'!$X$2:$X$510,$D127,'Region 22'!$S$2:$S$510,$A127)</f>
        <v>#DIV/0!</v>
      </c>
      <c r="I127" t="e">
        <f>AVERAGEIFS('Region 22'!$W$2:$W$510,'Region 22'!$A$2:$A$510,I$1,'Region 22'!$X$2:$X$510,$D127,'Region 22'!$S$2:$S$510,$A127)</f>
        <v>#DIV/0!</v>
      </c>
      <c r="J127" t="e">
        <f>AVERAGEIFS('Region 22'!$W$2:$W$510,'Region 22'!$A$2:$A$510,J$1,'Region 22'!$X$2:$X$510,$D127,'Region 22'!$S$2:$S$510,$A127)</f>
        <v>#DIV/0!</v>
      </c>
      <c r="K127" t="e">
        <f>AVERAGEIFS('Region 22'!$W$2:$W$510,'Region 22'!$A$2:$A$510,K$1,'Region 22'!$X$2:$X$510,$D127,'Region 22'!$S$2:$S$510,$A127)</f>
        <v>#DIV/0!</v>
      </c>
      <c r="L127" t="e">
        <f>AVERAGEIFS('Region 22'!$W$2:$W$510,'Region 22'!$A$2:$A$510,L$1,'Region 22'!$X$2:$X$510,$D127,'Region 22'!$S$2:$S$510,$A127)</f>
        <v>#DIV/0!</v>
      </c>
      <c r="M127" t="e">
        <f>AVERAGEIFS('Region 22'!$W$2:$W$510,'Region 22'!$A$2:$A$510,M$1,'Region 22'!$X$2:$X$510,$D127,'Region 22'!$S$2:$S$510,$A127)</f>
        <v>#DIV/0!</v>
      </c>
      <c r="N127" t="e">
        <f>AVERAGEIFS('Region 22'!$W$2:$W$510,'Region 22'!$A$2:$A$510,N$1,'Region 22'!$X$2:$X$510,$D127,'Region 22'!$S$2:$S$510,$A127)</f>
        <v>#DIV/0!</v>
      </c>
      <c r="Q127" t="str">
        <f t="shared" si="31"/>
        <v>Steel</v>
      </c>
      <c r="R127" t="str">
        <f t="shared" si="32"/>
        <v>Detached</v>
      </c>
      <c r="S127">
        <f t="shared" si="33"/>
        <v>22</v>
      </c>
      <c r="T127" t="str">
        <f t="shared" si="21"/>
        <v>-</v>
      </c>
      <c r="U127" t="str">
        <f t="shared" si="22"/>
        <v>-</v>
      </c>
      <c r="V127">
        <f t="shared" si="23"/>
        <v>28.387499999999999</v>
      </c>
      <c r="W127" t="str">
        <f t="shared" si="24"/>
        <v>-</v>
      </c>
      <c r="X127" t="str">
        <f t="shared" si="25"/>
        <v>-</v>
      </c>
      <c r="Y127" t="str">
        <f t="shared" si="26"/>
        <v>-</v>
      </c>
      <c r="Z127" t="str">
        <f t="shared" si="27"/>
        <v>-</v>
      </c>
      <c r="AA127" t="str">
        <f t="shared" si="28"/>
        <v>-</v>
      </c>
      <c r="AB127" t="str">
        <f t="shared" si="29"/>
        <v>-</v>
      </c>
      <c r="AC127" t="str">
        <f t="shared" si="30"/>
        <v>-</v>
      </c>
    </row>
    <row r="128" spans="1:29" x14ac:dyDescent="0.3">
      <c r="A128" t="s">
        <v>30</v>
      </c>
      <c r="B128" t="str">
        <f t="shared" ref="B128:D128" si="55">B24</f>
        <v>Detached</v>
      </c>
      <c r="C128">
        <f t="shared" si="55"/>
        <v>23</v>
      </c>
      <c r="D128">
        <f t="shared" si="55"/>
        <v>1</v>
      </c>
      <c r="E128">
        <f>AVERAGEIFS('Region 23'!$W$2:$W$468,'Region 23'!$A$2:$A$468,E$1,'Region 23'!$X$2:$X$468,$D128,'Region 23'!$S$2:$S$468,$A128)</f>
        <v>83.333333333333329</v>
      </c>
      <c r="F128">
        <f>AVERAGEIFS('Region 23'!$W$2:$W$468,'Region 23'!$A$2:$A$468,F$1,'Region 23'!$X$2:$X$468,$D128,'Region 23'!$S$2:$S$468,$A128)</f>
        <v>4</v>
      </c>
      <c r="G128" t="e">
        <f>AVERAGEIFS('Region 23'!$W$2:$W$468,'Region 23'!$A$2:$A$468,G$1,'Region 23'!$X$2:$X$468,$D128,'Region 23'!$S$2:$S$468,$A128)</f>
        <v>#DIV/0!</v>
      </c>
      <c r="H128">
        <f>AVERAGEIFS('Region 23'!$W$2:$W$468,'Region 23'!$A$2:$A$468,H$1,'Region 23'!$X$2:$X$468,$D128,'Region 23'!$S$2:$S$468,$A128)</f>
        <v>7</v>
      </c>
      <c r="I128" t="e">
        <f>AVERAGEIFS('Region 23'!$W$2:$W$468,'Region 23'!$A$2:$A$468,I$1,'Region 23'!$X$2:$X$468,$D128,'Region 23'!$S$2:$S$468,$A128)</f>
        <v>#DIV/0!</v>
      </c>
      <c r="J128" t="e">
        <f>AVERAGEIFS('Region 23'!$W$2:$W$468,'Region 23'!$A$2:$A$468,J$1,'Region 23'!$X$2:$X$468,$D128,'Region 23'!$S$2:$S$468,$A128)</f>
        <v>#DIV/0!</v>
      </c>
      <c r="K128" t="e">
        <f>AVERAGEIFS('Region 23'!$W$2:$W$468,'Region 23'!$A$2:$A$468,K$1,'Region 23'!$X$2:$X$468,$D128,'Region 23'!$S$2:$S$468,$A128)</f>
        <v>#DIV/0!</v>
      </c>
      <c r="L128" t="e">
        <f>AVERAGEIFS('Region 23'!$W$2:$W$468,'Region 23'!$A$2:$A$468,L$1,'Region 23'!$X$2:$X$468,$D128,'Region 23'!$S$2:$S$468,$A128)</f>
        <v>#DIV/0!</v>
      </c>
      <c r="M128" t="e">
        <f>AVERAGEIFS('Region 23'!$W$2:$W$468,'Region 23'!$A$2:$A$468,M$1,'Region 23'!$X$2:$X$468,$D128,'Region 23'!$S$2:$S$468,$A128)</f>
        <v>#DIV/0!</v>
      </c>
      <c r="N128" t="e">
        <f>AVERAGEIFS('Region 23'!$W$2:$W$468,'Region 23'!$A$2:$A$468,N$1,'Region 23'!$X$2:$X$468,$D128,'Region 23'!$S$2:$S$468,$A128)</f>
        <v>#DIV/0!</v>
      </c>
      <c r="Q128" t="str">
        <f t="shared" si="31"/>
        <v>Steel</v>
      </c>
      <c r="R128" t="str">
        <f t="shared" si="32"/>
        <v>Detached</v>
      </c>
      <c r="S128">
        <f t="shared" si="33"/>
        <v>23</v>
      </c>
      <c r="T128">
        <f t="shared" si="21"/>
        <v>83.333333333333329</v>
      </c>
      <c r="U128">
        <f t="shared" si="22"/>
        <v>4</v>
      </c>
      <c r="V128" t="str">
        <f t="shared" si="23"/>
        <v>-</v>
      </c>
      <c r="W128">
        <f t="shared" si="24"/>
        <v>7</v>
      </c>
      <c r="X128" t="str">
        <f t="shared" si="25"/>
        <v>-</v>
      </c>
      <c r="Y128" t="str">
        <f t="shared" si="26"/>
        <v>-</v>
      </c>
      <c r="Z128" t="str">
        <f t="shared" si="27"/>
        <v>-</v>
      </c>
      <c r="AA128" t="str">
        <f t="shared" si="28"/>
        <v>-</v>
      </c>
      <c r="AB128" t="str">
        <f t="shared" si="29"/>
        <v>-</v>
      </c>
      <c r="AC128" t="str">
        <f t="shared" si="30"/>
        <v>-</v>
      </c>
    </row>
    <row r="129" spans="1:29" x14ac:dyDescent="0.3">
      <c r="A129" t="s">
        <v>30</v>
      </c>
      <c r="B129" t="str">
        <f t="shared" ref="B129:D129" si="56">B25</f>
        <v>Detached</v>
      </c>
      <c r="C129">
        <f t="shared" si="56"/>
        <v>24</v>
      </c>
      <c r="D129">
        <f t="shared" si="56"/>
        <v>1</v>
      </c>
      <c r="E129">
        <f>AVERAGEIFS('Region 24'!$W$2:$W$454,'Region 24'!$A$2:$A$454,E$1,'Region 24'!$X$2:$X$454,$D129,'Region 24'!$S$2:$S$454,$A129)</f>
        <v>43.514660493827165</v>
      </c>
      <c r="F129">
        <f>AVERAGEIFS('Region 24'!$W$2:$W$454,'Region 24'!$A$2:$A$454,F$1,'Region 24'!$X$2:$X$454,$D129,'Region 24'!$S$2:$S$454,$A129)</f>
        <v>19.758172178357555</v>
      </c>
      <c r="G129">
        <f>AVERAGEIFS('Region 24'!$W$2:$W$454,'Region 24'!$A$2:$A$454,G$1,'Region 24'!$X$2:$X$454,$D129,'Region 24'!$S$2:$S$454,$A129)</f>
        <v>61.71180555555555</v>
      </c>
      <c r="H129">
        <f>AVERAGEIFS('Region 24'!$W$2:$W$454,'Region 24'!$A$2:$A$454,H$1,'Region 24'!$X$2:$X$454,$D129,'Region 24'!$S$2:$S$454,$A129)</f>
        <v>8.0746681019016844</v>
      </c>
      <c r="I129" t="e">
        <f>AVERAGEIFS('Region 24'!$W$2:$W$454,'Region 24'!$A$2:$A$454,I$1,'Region 24'!$X$2:$X$454,$D129,'Region 24'!$S$2:$S$454,$A129)</f>
        <v>#DIV/0!</v>
      </c>
      <c r="J129">
        <f>AVERAGEIFS('Region 24'!$W$2:$W$454,'Region 24'!$A$2:$A$454,J$1,'Region 24'!$X$2:$X$454,$D129,'Region 24'!$S$2:$S$454,$A129)</f>
        <v>14.609375</v>
      </c>
      <c r="K129" t="e">
        <f>AVERAGEIFS('Region 24'!$W$2:$W$454,'Region 24'!$A$2:$A$454,K$1,'Region 24'!$X$2:$X$454,$D129,'Region 24'!$S$2:$S$454,$A129)</f>
        <v>#DIV/0!</v>
      </c>
      <c r="L129" t="e">
        <f>AVERAGEIFS('Region 24'!$W$2:$W$454,'Region 24'!$A$2:$A$454,L$1,'Region 24'!$X$2:$X$454,$D129,'Region 24'!$S$2:$S$454,$A129)</f>
        <v>#DIV/0!</v>
      </c>
      <c r="M129" t="e">
        <f>AVERAGEIFS('Region 24'!$W$2:$W$454,'Region 24'!$A$2:$A$454,M$1,'Region 24'!$X$2:$X$454,$D129,'Region 24'!$S$2:$S$454,$A129)</f>
        <v>#DIV/0!</v>
      </c>
      <c r="N129" t="e">
        <f>AVERAGEIFS('Region 24'!$W$2:$W$454,'Region 24'!$A$2:$A$454,N$1,'Region 24'!$X$2:$X$454,$D129,'Region 24'!$S$2:$S$454,$A129)</f>
        <v>#DIV/0!</v>
      </c>
      <c r="Q129" t="str">
        <f t="shared" si="31"/>
        <v>Steel</v>
      </c>
      <c r="R129" t="str">
        <f t="shared" si="32"/>
        <v>Detached</v>
      </c>
      <c r="S129">
        <f t="shared" si="33"/>
        <v>24</v>
      </c>
      <c r="T129">
        <f t="shared" si="21"/>
        <v>43.514660493827165</v>
      </c>
      <c r="U129">
        <f t="shared" si="22"/>
        <v>19.758172178357555</v>
      </c>
      <c r="V129">
        <f t="shared" si="23"/>
        <v>61.71180555555555</v>
      </c>
      <c r="W129">
        <f t="shared" si="24"/>
        <v>8.0746681019016844</v>
      </c>
      <c r="X129" t="str">
        <f t="shared" si="25"/>
        <v>-</v>
      </c>
      <c r="Y129">
        <f t="shared" si="26"/>
        <v>14.609375</v>
      </c>
      <c r="Z129" t="str">
        <f t="shared" si="27"/>
        <v>-</v>
      </c>
      <c r="AA129" t="str">
        <f t="shared" si="28"/>
        <v>-</v>
      </c>
      <c r="AB129" t="str">
        <f t="shared" si="29"/>
        <v>-</v>
      </c>
      <c r="AC129" t="str">
        <f t="shared" si="30"/>
        <v>-</v>
      </c>
    </row>
    <row r="130" spans="1:29" x14ac:dyDescent="0.3">
      <c r="A130" t="s">
        <v>30</v>
      </c>
      <c r="B130" t="str">
        <f t="shared" ref="B130:D130" si="57">B26</f>
        <v>Detached</v>
      </c>
      <c r="C130">
        <f t="shared" si="57"/>
        <v>25</v>
      </c>
      <c r="D130">
        <f t="shared" si="57"/>
        <v>1</v>
      </c>
      <c r="E130" t="e">
        <f>AVERAGEIFS('Region 25'!$W$2:$W$499,'Region 25'!$A$2:$A$499,E$1,'Region 25'!$X$2:$X$499,$D130,'Region 25'!$S$2:$S$499,$A130)</f>
        <v>#DIV/0!</v>
      </c>
      <c r="F130" t="e">
        <f>AVERAGEIFS('Region 25'!$W$2:$W$499,'Region 25'!$A$2:$A$499,F$1,'Region 25'!$X$2:$X$499,$D130,'Region 25'!$S$2:$S$499,$A130)</f>
        <v>#DIV/0!</v>
      </c>
      <c r="G130" t="e">
        <f>AVERAGEIFS('Region 25'!$W$2:$W$499,'Region 25'!$A$2:$A$499,G$1,'Region 25'!$X$2:$X$499,$D130,'Region 25'!$S$2:$S$499,$A130)</f>
        <v>#DIV/0!</v>
      </c>
      <c r="H130" t="e">
        <f>AVERAGEIFS('Region 25'!$W$2:$W$499,'Region 25'!$A$2:$A$499,H$1,'Region 25'!$X$2:$X$499,$D130,'Region 25'!$S$2:$S$499,$A130)</f>
        <v>#DIV/0!</v>
      </c>
      <c r="I130" t="e">
        <f>AVERAGEIFS('Region 25'!$W$2:$W$499,'Region 25'!$A$2:$A$499,I$1,'Region 25'!$X$2:$X$499,$D130,'Region 25'!$S$2:$S$499,$A130)</f>
        <v>#DIV/0!</v>
      </c>
      <c r="J130" t="e">
        <f>AVERAGEIFS('Region 25'!$W$2:$W$499,'Region 25'!$A$2:$A$499,J$1,'Region 25'!$X$2:$X$499,$D130,'Region 25'!$S$2:$S$499,$A130)</f>
        <v>#DIV/0!</v>
      </c>
      <c r="K130" t="e">
        <f>AVERAGEIFS('Region 25'!$W$2:$W$499,'Region 25'!$A$2:$A$499,K$1,'Region 25'!$X$2:$X$499,$D130,'Region 25'!$S$2:$S$499,$A130)</f>
        <v>#DIV/0!</v>
      </c>
      <c r="L130" t="e">
        <f>AVERAGEIFS('Region 25'!$W$2:$W$499,'Region 25'!$A$2:$A$499,L$1,'Region 25'!$X$2:$X$499,$D130,'Region 25'!$S$2:$S$499,$A130)</f>
        <v>#DIV/0!</v>
      </c>
      <c r="M130" t="e">
        <f>AVERAGEIFS('Region 25'!$W$2:$W$499,'Region 25'!$A$2:$A$499,M$1,'Region 25'!$X$2:$X$499,$D130,'Region 25'!$S$2:$S$499,$A130)</f>
        <v>#DIV/0!</v>
      </c>
      <c r="N130" t="e">
        <f>AVERAGEIFS('Region 25'!$W$2:$W$499,'Region 25'!$A$2:$A$499,N$1,'Region 25'!$X$2:$X$499,$D130,'Region 25'!$S$2:$S$499,$A130)</f>
        <v>#DIV/0!</v>
      </c>
      <c r="Q130" t="str">
        <f t="shared" si="31"/>
        <v>Steel</v>
      </c>
      <c r="R130" t="str">
        <f t="shared" si="32"/>
        <v>Detached</v>
      </c>
      <c r="S130">
        <f t="shared" si="33"/>
        <v>25</v>
      </c>
      <c r="T130" t="str">
        <f t="shared" si="21"/>
        <v>-</v>
      </c>
      <c r="U130" t="str">
        <f t="shared" si="22"/>
        <v>-</v>
      </c>
      <c r="V130" t="str">
        <f t="shared" si="23"/>
        <v>-</v>
      </c>
      <c r="W130" t="str">
        <f t="shared" si="24"/>
        <v>-</v>
      </c>
      <c r="X130" t="str">
        <f t="shared" si="25"/>
        <v>-</v>
      </c>
      <c r="Y130" t="str">
        <f t="shared" si="26"/>
        <v>-</v>
      </c>
      <c r="Z130" t="str">
        <f t="shared" si="27"/>
        <v>-</v>
      </c>
      <c r="AA130" t="str">
        <f t="shared" si="28"/>
        <v>-</v>
      </c>
      <c r="AB130" t="str">
        <f t="shared" si="29"/>
        <v>-</v>
      </c>
      <c r="AC130" t="str">
        <f t="shared" si="30"/>
        <v>-</v>
      </c>
    </row>
    <row r="131" spans="1:29" x14ac:dyDescent="0.3">
      <c r="A131" t="s">
        <v>30</v>
      </c>
      <c r="B131" t="str">
        <f t="shared" ref="B131:D131" si="58">B27</f>
        <v>Detached</v>
      </c>
      <c r="C131">
        <f t="shared" si="58"/>
        <v>26</v>
      </c>
      <c r="D131">
        <f t="shared" si="58"/>
        <v>1</v>
      </c>
      <c r="E131" t="e">
        <f ca="1">AVERAGEIFS('Region 26'!$W$2:$W$500,'Region 26'!$A$2:$A$500,E$1,'Region 26'!$X$2:$X$500,$D131,'Region 26'!$S$2:$S$500,$A131)</f>
        <v>#DIV/0!</v>
      </c>
      <c r="F131" t="e">
        <f ca="1">AVERAGEIFS('Region 26'!$W$2:$W$500,'Region 26'!$A$2:$A$500,F$1,'Region 26'!$X$2:$X$500,$D131,'Region 26'!$S$2:$S$500,$A131)</f>
        <v>#DIV/0!</v>
      </c>
      <c r="G131" t="e">
        <f ca="1">AVERAGEIFS('Region 26'!$W$2:$W$500,'Region 26'!$A$2:$A$500,G$1,'Region 26'!$X$2:$X$500,$D131,'Region 26'!$S$2:$S$500,$A131)</f>
        <v>#DIV/0!</v>
      </c>
      <c r="H131" t="e">
        <f ca="1">AVERAGEIFS('Region 26'!$W$2:$W$500,'Region 26'!$A$2:$A$500,H$1,'Region 26'!$X$2:$X$500,$D131,'Region 26'!$S$2:$S$500,$A131)</f>
        <v>#DIV/0!</v>
      </c>
      <c r="I131" t="e">
        <f ca="1">AVERAGEIFS('Region 26'!$W$2:$W$500,'Region 26'!$A$2:$A$500,I$1,'Region 26'!$X$2:$X$500,$D131,'Region 26'!$S$2:$S$500,$A131)</f>
        <v>#DIV/0!</v>
      </c>
      <c r="J131" t="e">
        <f ca="1">AVERAGEIFS('Region 26'!$W$2:$W$500,'Region 26'!$A$2:$A$500,J$1,'Region 26'!$X$2:$X$500,$D131,'Region 26'!$S$2:$S$500,$A131)</f>
        <v>#DIV/0!</v>
      </c>
      <c r="K131" t="e">
        <f ca="1">AVERAGEIFS('Region 26'!$W$2:$W$500,'Region 26'!$A$2:$A$500,K$1,'Region 26'!$X$2:$X$500,$D131,'Region 26'!$S$2:$S$500,$A131)</f>
        <v>#DIV/0!</v>
      </c>
      <c r="L131" t="e">
        <f ca="1">AVERAGEIFS('Region 26'!$W$2:$W$500,'Region 26'!$A$2:$A$500,L$1,'Region 26'!$X$2:$X$500,$D131,'Region 26'!$S$2:$S$500,$A131)</f>
        <v>#DIV/0!</v>
      </c>
      <c r="M131" t="e">
        <f ca="1">AVERAGEIFS('Region 26'!$W$2:$W$500,'Region 26'!$A$2:$A$500,M$1,'Region 26'!$X$2:$X$500,$D131,'Region 26'!$S$2:$S$500,$A131)</f>
        <v>#DIV/0!</v>
      </c>
      <c r="N131" t="e">
        <f ca="1">AVERAGEIFS('Region 26'!$W$2:$W$500,'Region 26'!$A$2:$A$500,N$1,'Region 26'!$X$2:$X$500,$D131,'Region 26'!$S$2:$S$500,$A131)</f>
        <v>#DIV/0!</v>
      </c>
      <c r="Q131" t="str">
        <f t="shared" si="31"/>
        <v>Steel</v>
      </c>
      <c r="R131" t="str">
        <f t="shared" si="32"/>
        <v>Detached</v>
      </c>
      <c r="S131">
        <f t="shared" si="33"/>
        <v>26</v>
      </c>
      <c r="T131" t="str">
        <f t="shared" ref="T131:T194" ca="1" si="59">IF(ISNUMBER(E131),E131,"-")</f>
        <v>-</v>
      </c>
      <c r="U131" t="str">
        <f t="shared" ref="U131:U194" ca="1" si="60">IF(ISNUMBER(F131),F131,"-")</f>
        <v>-</v>
      </c>
      <c r="V131" t="str">
        <f t="shared" ref="V131:V194" ca="1" si="61">IF(ISNUMBER(G131),G131,"-")</f>
        <v>-</v>
      </c>
      <c r="W131" t="str">
        <f t="shared" ref="W131:W194" ca="1" si="62">IF(ISNUMBER(H131),H131,"-")</f>
        <v>-</v>
      </c>
      <c r="X131" t="str">
        <f t="shared" ref="X131:X194" ca="1" si="63">IF(ISNUMBER(I131),I131,"-")</f>
        <v>-</v>
      </c>
      <c r="Y131" t="str">
        <f t="shared" ref="Y131:Y194" ca="1" si="64">IF(ISNUMBER(J131),J131,"-")</f>
        <v>-</v>
      </c>
      <c r="Z131" t="str">
        <f t="shared" ref="Z131:Z194" ca="1" si="65">IF(ISNUMBER(K131),K131,"-")</f>
        <v>-</v>
      </c>
      <c r="AA131" t="str">
        <f t="shared" ref="AA131:AA194" ca="1" si="66">IF(ISNUMBER(L131),L131,"-")</f>
        <v>-</v>
      </c>
      <c r="AB131" t="str">
        <f t="shared" ref="AB131:AB194" ca="1" si="67">IF(ISNUMBER(M131),M131,"-")</f>
        <v>-</v>
      </c>
      <c r="AC131" t="str">
        <f t="shared" ref="AC131:AC194" ca="1" si="68">IF(ISNUMBER(N131),N131,"-")</f>
        <v>-</v>
      </c>
    </row>
    <row r="132" spans="1:29" x14ac:dyDescent="0.3">
      <c r="A132" t="s">
        <v>30</v>
      </c>
      <c r="B132" t="str">
        <f t="shared" ref="B132:D132" si="69">B28</f>
        <v>Semi-detached</v>
      </c>
      <c r="C132">
        <f t="shared" si="69"/>
        <v>1</v>
      </c>
      <c r="D132">
        <f t="shared" si="69"/>
        <v>2</v>
      </c>
      <c r="E132" t="e">
        <f>AVERAGEIFS('Region 1'!$W$2:$W$498,'Region 1'!$A$2:$A$498,E$1,'Region 1'!$X$2:$X$498,$D132,'Region 1'!$S$2:$S$498,$A132)</f>
        <v>#DIV/0!</v>
      </c>
      <c r="F132" t="e">
        <f>AVERAGEIFS('Region 1'!$W$2:$W$498,'Region 1'!$A$2:$A$498,F$1,'Region 1'!$X$2:$X$498,$D132,'Region 1'!$S$2:$S$498,$A132)</f>
        <v>#DIV/0!</v>
      </c>
      <c r="G132" t="e">
        <f>AVERAGEIFS('Region 1'!$W$2:$W$498,'Region 1'!$A$2:$A$498,G$1,'Region 1'!$X$2:$X$498,$D132,'Region 1'!$S$2:$S$498,$A132)</f>
        <v>#DIV/0!</v>
      </c>
      <c r="H132" t="e">
        <f>AVERAGEIFS('Region 1'!$W$2:$W$498,'Region 1'!$A$2:$A$498,H$1,'Region 1'!$X$2:$X$498,$D132,'Region 1'!$S$2:$S$498,$A132)</f>
        <v>#DIV/0!</v>
      </c>
      <c r="I132" t="e">
        <f>AVERAGEIFS('Region 1'!$W$2:$W$498,'Region 1'!$A$2:$A$498,I$1,'Region 1'!$X$2:$X$498,$D132,'Region 1'!$S$2:$S$498,$A132)</f>
        <v>#DIV/0!</v>
      </c>
      <c r="J132" t="e">
        <f>AVERAGEIFS('Region 1'!$W$2:$W$498,'Region 1'!$A$2:$A$498,J$1,'Region 1'!$X$2:$X$498,$D132,'Region 1'!$S$2:$S$498,$A132)</f>
        <v>#DIV/0!</v>
      </c>
      <c r="K132" t="e">
        <f>AVERAGEIFS('Region 1'!$W$2:$W$498,'Region 1'!$A$2:$A$498,K$1,'Region 1'!$X$2:$X$498,$D132,'Region 1'!$S$2:$S$498,$A132)</f>
        <v>#DIV/0!</v>
      </c>
      <c r="L132" t="e">
        <f>AVERAGEIFS('Region 1'!$W$2:$W$498,'Region 1'!$A$2:$A$498,L$1,'Region 1'!$X$2:$X$498,$D132,'Region 1'!$S$2:$S$498,$A132)</f>
        <v>#DIV/0!</v>
      </c>
      <c r="M132" t="e">
        <f>AVERAGEIFS('Region 1'!$W$2:$W$498,'Region 1'!$A$2:$A$498,M$1,'Region 1'!$X$2:$X$498,$D132,'Region 1'!$S$2:$S$498,$A132)</f>
        <v>#DIV/0!</v>
      </c>
      <c r="N132" t="e">
        <f>AVERAGEIFS('Region 1'!$W$2:$W$498,'Region 1'!$A$2:$A$498,N$1,'Region 1'!$X$2:$X$498,$D132,'Region 1'!$S$2:$S$498,$A132)</f>
        <v>#DIV/0!</v>
      </c>
      <c r="Q132" t="str">
        <f t="shared" si="31"/>
        <v>Steel</v>
      </c>
      <c r="R132" t="str">
        <f t="shared" si="32"/>
        <v>Semi-detached</v>
      </c>
      <c r="S132">
        <f t="shared" si="33"/>
        <v>1</v>
      </c>
      <c r="T132" t="str">
        <f t="shared" si="59"/>
        <v>-</v>
      </c>
      <c r="U132" t="str">
        <f t="shared" si="60"/>
        <v>-</v>
      </c>
      <c r="V132" t="str">
        <f t="shared" si="61"/>
        <v>-</v>
      </c>
      <c r="W132" t="str">
        <f t="shared" si="62"/>
        <v>-</v>
      </c>
      <c r="X132" t="str">
        <f t="shared" si="63"/>
        <v>-</v>
      </c>
      <c r="Y132" t="str">
        <f t="shared" si="64"/>
        <v>-</v>
      </c>
      <c r="Z132" t="str">
        <f t="shared" si="65"/>
        <v>-</v>
      </c>
      <c r="AA132" t="str">
        <f t="shared" si="66"/>
        <v>-</v>
      </c>
      <c r="AB132" t="str">
        <f t="shared" si="67"/>
        <v>-</v>
      </c>
      <c r="AC132" t="str">
        <f t="shared" si="68"/>
        <v>-</v>
      </c>
    </row>
    <row r="133" spans="1:29" x14ac:dyDescent="0.3">
      <c r="A133" t="s">
        <v>30</v>
      </c>
      <c r="B133" t="str">
        <f t="shared" ref="B133:D133" si="70">B29</f>
        <v>Semi-detached</v>
      </c>
      <c r="C133">
        <f t="shared" si="70"/>
        <v>2</v>
      </c>
      <c r="D133">
        <f t="shared" si="70"/>
        <v>2</v>
      </c>
      <c r="E133" t="e">
        <f>AVERAGEIFS('Region 2'!$W$2:$W$498,'Region 2'!$A$2:$A$498,E$1,'Region 2'!$X$2:$X$498,$D133,'Region 2'!$S$2:$S$498,$A133)</f>
        <v>#DIV/0!</v>
      </c>
      <c r="F133" t="e">
        <f>AVERAGEIFS('Region 2'!$W$2:$W$498,'Region 2'!$A$2:$A$498,F$1,'Region 2'!$X$2:$X$498,$D133,'Region 2'!$S$2:$S$498,$A133)</f>
        <v>#DIV/0!</v>
      </c>
      <c r="G133" t="e">
        <f>AVERAGEIFS('Region 2'!$W$2:$W$498,'Region 2'!$A$2:$A$498,G$1,'Region 2'!$X$2:$X$498,$D133,'Region 2'!$S$2:$S$498,$A133)</f>
        <v>#DIV/0!</v>
      </c>
      <c r="H133" t="e">
        <f>AVERAGEIFS('Region 2'!$W$2:$W$498,'Region 2'!$A$2:$A$498,H$1,'Region 2'!$X$2:$X$498,$D133,'Region 2'!$S$2:$S$498,$A133)</f>
        <v>#DIV/0!</v>
      </c>
      <c r="I133" t="e">
        <f>AVERAGEIFS('Region 2'!$W$2:$W$498,'Region 2'!$A$2:$A$498,I$1,'Region 2'!$X$2:$X$498,$D133,'Region 2'!$S$2:$S$498,$A133)</f>
        <v>#DIV/0!</v>
      </c>
      <c r="J133" t="e">
        <f>AVERAGEIFS('Region 2'!$W$2:$W$498,'Region 2'!$A$2:$A$498,J$1,'Region 2'!$X$2:$X$498,$D133,'Region 2'!$S$2:$S$498,$A133)</f>
        <v>#DIV/0!</v>
      </c>
      <c r="K133" t="e">
        <f>AVERAGEIFS('Region 2'!$W$2:$W$498,'Region 2'!$A$2:$A$498,K$1,'Region 2'!$X$2:$X$498,$D133,'Region 2'!$S$2:$S$498,$A133)</f>
        <v>#DIV/0!</v>
      </c>
      <c r="L133" t="e">
        <f>AVERAGEIFS('Region 2'!$W$2:$W$498,'Region 2'!$A$2:$A$498,L$1,'Region 2'!$X$2:$X$498,$D133,'Region 2'!$S$2:$S$498,$A133)</f>
        <v>#DIV/0!</v>
      </c>
      <c r="M133" t="e">
        <f>AVERAGEIFS('Region 2'!$W$2:$W$498,'Region 2'!$A$2:$A$498,M$1,'Region 2'!$X$2:$X$498,$D133,'Region 2'!$S$2:$S$498,$A133)</f>
        <v>#DIV/0!</v>
      </c>
      <c r="N133" t="e">
        <f>AVERAGEIFS('Region 2'!$W$2:$W$498,'Region 2'!$A$2:$A$498,N$1,'Region 2'!$X$2:$X$498,$D133,'Region 2'!$S$2:$S$498,$A133)</f>
        <v>#DIV/0!</v>
      </c>
      <c r="Q133" t="str">
        <f t="shared" si="31"/>
        <v>Steel</v>
      </c>
      <c r="R133" t="str">
        <f t="shared" si="32"/>
        <v>Semi-detached</v>
      </c>
      <c r="S133">
        <f t="shared" si="33"/>
        <v>2</v>
      </c>
      <c r="T133" t="str">
        <f t="shared" si="59"/>
        <v>-</v>
      </c>
      <c r="U133" t="str">
        <f t="shared" si="60"/>
        <v>-</v>
      </c>
      <c r="V133" t="str">
        <f t="shared" si="61"/>
        <v>-</v>
      </c>
      <c r="W133" t="str">
        <f t="shared" si="62"/>
        <v>-</v>
      </c>
      <c r="X133" t="str">
        <f t="shared" si="63"/>
        <v>-</v>
      </c>
      <c r="Y133" t="str">
        <f t="shared" si="64"/>
        <v>-</v>
      </c>
      <c r="Z133" t="str">
        <f t="shared" si="65"/>
        <v>-</v>
      </c>
      <c r="AA133" t="str">
        <f t="shared" si="66"/>
        <v>-</v>
      </c>
      <c r="AB133" t="str">
        <f t="shared" si="67"/>
        <v>-</v>
      </c>
      <c r="AC133" t="str">
        <f t="shared" si="68"/>
        <v>-</v>
      </c>
    </row>
    <row r="134" spans="1:29" x14ac:dyDescent="0.3">
      <c r="A134" t="s">
        <v>30</v>
      </c>
      <c r="B134" t="str">
        <f t="shared" ref="B134:D134" si="71">B30</f>
        <v>Semi-detached</v>
      </c>
      <c r="C134">
        <f t="shared" si="71"/>
        <v>3</v>
      </c>
      <c r="D134">
        <f t="shared" si="71"/>
        <v>2</v>
      </c>
      <c r="E134" t="e">
        <f ca="1">AVERAGEIFS('Region 3'!$W$2:$W$500,'Region 3'!$A$2:$A$500,E$1,'Region 3'!$X$2:$X$500,$D134,'Region 3'!$S$2:$S$500,$A134)</f>
        <v>#DIV/0!</v>
      </c>
      <c r="F134" t="e">
        <f ca="1">AVERAGEIFS('Region 3'!$W$2:$W$500,'Region 3'!$A$2:$A$500,F$1,'Region 3'!$X$2:$X$500,$D134,'Region 3'!$S$2:$S$500,$A134)</f>
        <v>#DIV/0!</v>
      </c>
      <c r="G134" t="e">
        <f ca="1">AVERAGEIFS('Region 3'!$W$2:$W$500,'Region 3'!$A$2:$A$500,G$1,'Region 3'!$X$2:$X$500,$D134,'Region 3'!$S$2:$S$500,$A134)</f>
        <v>#DIV/0!</v>
      </c>
      <c r="H134" t="e">
        <f ca="1">AVERAGEIFS('Region 3'!$W$2:$W$500,'Region 3'!$A$2:$A$500,H$1,'Region 3'!$X$2:$X$500,$D134,'Region 3'!$S$2:$S$500,$A134)</f>
        <v>#DIV/0!</v>
      </c>
      <c r="I134" t="e">
        <f ca="1">AVERAGEIFS('Region 3'!$W$2:$W$500,'Region 3'!$A$2:$A$500,I$1,'Region 3'!$X$2:$X$500,$D134,'Region 3'!$S$2:$S$500,$A134)</f>
        <v>#DIV/0!</v>
      </c>
      <c r="J134" t="e">
        <f ca="1">AVERAGEIFS('Region 3'!$W$2:$W$500,'Region 3'!$A$2:$A$500,J$1,'Region 3'!$X$2:$X$500,$D134,'Region 3'!$S$2:$S$500,$A134)</f>
        <v>#DIV/0!</v>
      </c>
      <c r="K134" t="e">
        <f ca="1">AVERAGEIFS('Region 3'!$W$2:$W$500,'Region 3'!$A$2:$A$500,K$1,'Region 3'!$X$2:$X$500,$D134,'Region 3'!$S$2:$S$500,$A134)</f>
        <v>#DIV/0!</v>
      </c>
      <c r="L134" t="e">
        <f ca="1">AVERAGEIFS('Region 3'!$W$2:$W$500,'Region 3'!$A$2:$A$500,L$1,'Region 3'!$X$2:$X$500,$D134,'Region 3'!$S$2:$S$500,$A134)</f>
        <v>#DIV/0!</v>
      </c>
      <c r="M134" t="e">
        <f ca="1">AVERAGEIFS('Region 3'!$W$2:$W$500,'Region 3'!$A$2:$A$500,M$1,'Region 3'!$X$2:$X$500,$D134,'Region 3'!$S$2:$S$500,$A134)</f>
        <v>#DIV/0!</v>
      </c>
      <c r="N134" t="e">
        <f ca="1">AVERAGEIFS('Region 3'!$W$2:$W$500,'Region 3'!$A$2:$A$500,N$1,'Region 3'!$X$2:$X$500,$D134,'Region 3'!$S$2:$S$500,$A134)</f>
        <v>#DIV/0!</v>
      </c>
      <c r="Q134" t="str">
        <f t="shared" si="31"/>
        <v>Steel</v>
      </c>
      <c r="R134" t="str">
        <f t="shared" si="32"/>
        <v>Semi-detached</v>
      </c>
      <c r="S134">
        <f t="shared" si="33"/>
        <v>3</v>
      </c>
      <c r="T134" t="str">
        <f t="shared" ca="1" si="59"/>
        <v>-</v>
      </c>
      <c r="U134" t="str">
        <f t="shared" ca="1" si="60"/>
        <v>-</v>
      </c>
      <c r="V134" t="str">
        <f t="shared" ca="1" si="61"/>
        <v>-</v>
      </c>
      <c r="W134" t="str">
        <f t="shared" ca="1" si="62"/>
        <v>-</v>
      </c>
      <c r="X134" t="str">
        <f t="shared" ca="1" si="63"/>
        <v>-</v>
      </c>
      <c r="Y134" t="str">
        <f t="shared" ca="1" si="64"/>
        <v>-</v>
      </c>
      <c r="Z134" t="str">
        <f t="shared" ca="1" si="65"/>
        <v>-</v>
      </c>
      <c r="AA134" t="str">
        <f t="shared" ca="1" si="66"/>
        <v>-</v>
      </c>
      <c r="AB134" t="str">
        <f t="shared" ca="1" si="67"/>
        <v>-</v>
      </c>
      <c r="AC134" t="str">
        <f t="shared" ca="1" si="68"/>
        <v>-</v>
      </c>
    </row>
    <row r="135" spans="1:29" x14ac:dyDescent="0.3">
      <c r="A135" t="s">
        <v>30</v>
      </c>
      <c r="B135" t="str">
        <f t="shared" ref="B135:D135" si="72">B31</f>
        <v>Semi-detached</v>
      </c>
      <c r="C135">
        <f t="shared" si="72"/>
        <v>4</v>
      </c>
      <c r="D135">
        <f t="shared" si="72"/>
        <v>2</v>
      </c>
      <c r="E135">
        <f>AVERAGEIFS('Region 4'!$W$2:$W$10,'Region 4'!$A$2:$A$10,E$1,'Region 4'!$X$2:$X$10,$D135,'Region 4'!$S$2:$S$10,$A135)</f>
        <v>27</v>
      </c>
      <c r="F135" t="e">
        <f>AVERAGEIFS('Region 4'!$W$2:$W$10,'Region 4'!$A$2:$A$10,F$1,'Region 4'!$X$2:$X$10,$D135,'Region 4'!$S$2:$S$10,$A135)</f>
        <v>#DIV/0!</v>
      </c>
      <c r="G135" t="e">
        <f>AVERAGEIFS('Region 4'!$W$2:$W$10,'Region 4'!$A$2:$A$10,G$1,'Region 4'!$X$2:$X$10,$D135,'Region 4'!$S$2:$S$10,$A135)</f>
        <v>#DIV/0!</v>
      </c>
      <c r="H135" t="e">
        <f>AVERAGEIFS('Region 4'!$W$2:$W$10,'Region 4'!$A$2:$A$10,H$1,'Region 4'!$X$2:$X$10,$D135,'Region 4'!$S$2:$S$10,$A135)</f>
        <v>#DIV/0!</v>
      </c>
      <c r="I135" t="e">
        <f>AVERAGEIFS('Region 4'!$W$2:$W$10,'Region 4'!$A$2:$A$10,I$1,'Region 4'!$X$2:$X$10,$D135,'Region 4'!$S$2:$S$10,$A135)</f>
        <v>#DIV/0!</v>
      </c>
      <c r="J135" t="e">
        <f>AVERAGEIFS('Region 4'!$W$2:$W$10,'Region 4'!$A$2:$A$10,J$1,'Region 4'!$X$2:$X$10,$D135,'Region 4'!$S$2:$S$10,$A135)</f>
        <v>#DIV/0!</v>
      </c>
      <c r="K135" t="e">
        <f>AVERAGEIFS('Region 4'!$W$2:$W$10,'Region 4'!$A$2:$A$10,K$1,'Region 4'!$X$2:$X$10,$D135,'Region 4'!$S$2:$S$10,$A135)</f>
        <v>#DIV/0!</v>
      </c>
      <c r="L135" t="e">
        <f>AVERAGEIFS('Region 4'!$W$2:$W$10,'Region 4'!$A$2:$A$10,L$1,'Region 4'!$X$2:$X$10,$D135,'Region 4'!$S$2:$S$10,$A135)</f>
        <v>#DIV/0!</v>
      </c>
      <c r="M135" t="e">
        <f>AVERAGEIFS('Region 4'!$W$2:$W$10,'Region 4'!$A$2:$A$10,M$1,'Region 4'!$X$2:$X$10,$D135,'Region 4'!$S$2:$S$10,$A135)</f>
        <v>#DIV/0!</v>
      </c>
      <c r="N135" t="e">
        <f>AVERAGEIFS('Region 4'!$W$2:$W$10,'Region 4'!$A$2:$A$10,N$1,'Region 4'!$X$2:$X$10,$D135,'Region 4'!$S$2:$S$10,$A135)</f>
        <v>#DIV/0!</v>
      </c>
      <c r="Q135" t="str">
        <f t="shared" si="31"/>
        <v>Steel</v>
      </c>
      <c r="R135" t="str">
        <f t="shared" si="32"/>
        <v>Semi-detached</v>
      </c>
      <c r="S135">
        <f t="shared" si="33"/>
        <v>4</v>
      </c>
      <c r="T135">
        <f t="shared" si="59"/>
        <v>27</v>
      </c>
      <c r="U135" t="str">
        <f t="shared" si="60"/>
        <v>-</v>
      </c>
      <c r="V135" t="str">
        <f t="shared" si="61"/>
        <v>-</v>
      </c>
      <c r="W135" t="str">
        <f t="shared" si="62"/>
        <v>-</v>
      </c>
      <c r="X135" t="str">
        <f t="shared" si="63"/>
        <v>-</v>
      </c>
      <c r="Y135" t="str">
        <f t="shared" si="64"/>
        <v>-</v>
      </c>
      <c r="Z135" t="str">
        <f t="shared" si="65"/>
        <v>-</v>
      </c>
      <c r="AA135" t="str">
        <f t="shared" si="66"/>
        <v>-</v>
      </c>
      <c r="AB135" t="str">
        <f t="shared" si="67"/>
        <v>-</v>
      </c>
      <c r="AC135" t="str">
        <f t="shared" si="68"/>
        <v>-</v>
      </c>
    </row>
    <row r="136" spans="1:29" x14ac:dyDescent="0.3">
      <c r="A136" t="s">
        <v>30</v>
      </c>
      <c r="B136" t="str">
        <f t="shared" ref="B136:D136" si="73">B32</f>
        <v>Semi-detached</v>
      </c>
      <c r="C136">
        <f t="shared" si="73"/>
        <v>5</v>
      </c>
      <c r="D136">
        <f t="shared" si="73"/>
        <v>2</v>
      </c>
      <c r="E136" t="e">
        <f>AVERAGEIFS('Region 5'!$W$2:$W$496,'Region 5'!$A$2:$A$496,E$1,'Region 5'!$X$2:$X$496,$D136,'Region 5'!$S$2:$S$496,$A136)</f>
        <v>#DIV/0!</v>
      </c>
      <c r="F136" t="e">
        <f>AVERAGEIFS('Region 5'!$W$2:$W$496,'Region 5'!$A$2:$A$496,F$1,'Region 5'!$X$2:$X$496,$D136,'Region 5'!$S$2:$S$496,$A136)</f>
        <v>#DIV/0!</v>
      </c>
      <c r="G136" t="e">
        <f>AVERAGEIFS('Region 5'!$W$2:$W$496,'Region 5'!$A$2:$A$496,G$1,'Region 5'!$X$2:$X$496,$D136,'Region 5'!$S$2:$S$496,$A136)</f>
        <v>#DIV/0!</v>
      </c>
      <c r="H136" t="e">
        <f>AVERAGEIFS('Region 5'!$W$2:$W$496,'Region 5'!$A$2:$A$496,H$1,'Region 5'!$X$2:$X$496,$D136,'Region 5'!$S$2:$S$496,$A136)</f>
        <v>#DIV/0!</v>
      </c>
      <c r="I136" t="e">
        <f>AVERAGEIFS('Region 5'!$W$2:$W$496,'Region 5'!$A$2:$A$496,I$1,'Region 5'!$X$2:$X$496,$D136,'Region 5'!$S$2:$S$496,$A136)</f>
        <v>#DIV/0!</v>
      </c>
      <c r="J136" t="e">
        <f>AVERAGEIFS('Region 5'!$W$2:$W$496,'Region 5'!$A$2:$A$496,J$1,'Region 5'!$X$2:$X$496,$D136,'Region 5'!$S$2:$S$496,$A136)</f>
        <v>#DIV/0!</v>
      </c>
      <c r="K136" t="e">
        <f>AVERAGEIFS('Region 5'!$W$2:$W$496,'Region 5'!$A$2:$A$496,K$1,'Region 5'!$X$2:$X$496,$D136,'Region 5'!$S$2:$S$496,$A136)</f>
        <v>#DIV/0!</v>
      </c>
      <c r="L136" t="e">
        <f>AVERAGEIFS('Region 5'!$W$2:$W$496,'Region 5'!$A$2:$A$496,L$1,'Region 5'!$X$2:$X$496,$D136,'Region 5'!$S$2:$S$496,$A136)</f>
        <v>#DIV/0!</v>
      </c>
      <c r="M136" t="e">
        <f>AVERAGEIFS('Region 5'!$W$2:$W$496,'Region 5'!$A$2:$A$496,M$1,'Region 5'!$X$2:$X$496,$D136,'Region 5'!$S$2:$S$496,$A136)</f>
        <v>#DIV/0!</v>
      </c>
      <c r="N136" t="e">
        <f>AVERAGEIFS('Region 5'!$W$2:$W$496,'Region 5'!$A$2:$A$496,N$1,'Region 5'!$X$2:$X$496,$D136,'Region 5'!$S$2:$S$496,$A136)</f>
        <v>#DIV/0!</v>
      </c>
      <c r="Q136" t="str">
        <f t="shared" si="31"/>
        <v>Steel</v>
      </c>
      <c r="R136" t="str">
        <f t="shared" si="32"/>
        <v>Semi-detached</v>
      </c>
      <c r="S136">
        <f t="shared" si="33"/>
        <v>5</v>
      </c>
      <c r="T136" t="str">
        <f t="shared" si="59"/>
        <v>-</v>
      </c>
      <c r="U136" t="str">
        <f t="shared" si="60"/>
        <v>-</v>
      </c>
      <c r="V136" t="str">
        <f t="shared" si="61"/>
        <v>-</v>
      </c>
      <c r="W136" t="str">
        <f t="shared" si="62"/>
        <v>-</v>
      </c>
      <c r="X136" t="str">
        <f t="shared" si="63"/>
        <v>-</v>
      </c>
      <c r="Y136" t="str">
        <f t="shared" si="64"/>
        <v>-</v>
      </c>
      <c r="Z136" t="str">
        <f t="shared" si="65"/>
        <v>-</v>
      </c>
      <c r="AA136" t="str">
        <f t="shared" si="66"/>
        <v>-</v>
      </c>
      <c r="AB136" t="str">
        <f t="shared" si="67"/>
        <v>-</v>
      </c>
      <c r="AC136" t="str">
        <f t="shared" si="68"/>
        <v>-</v>
      </c>
    </row>
    <row r="137" spans="1:29" x14ac:dyDescent="0.3">
      <c r="A137" t="s">
        <v>30</v>
      </c>
      <c r="B137" t="str">
        <f t="shared" ref="B137:D137" si="74">B33</f>
        <v>Semi-detached</v>
      </c>
      <c r="C137">
        <f t="shared" si="74"/>
        <v>6</v>
      </c>
      <c r="D137">
        <f t="shared" si="74"/>
        <v>2</v>
      </c>
      <c r="E137" t="e">
        <f>AVERAGEIFS('Region 6'!$W$2:$W$496,'Region 6'!$A$2:$A$496,E$1,'Region 6'!$X$2:$X$496,$D137,'Region 6'!$S$2:$S$496,$A137)</f>
        <v>#DIV/0!</v>
      </c>
      <c r="F137" t="e">
        <f>AVERAGEIFS('Region 6'!$W$2:$W$496,'Region 6'!$A$2:$A$496,F$1,'Region 6'!$X$2:$X$496,$D137,'Region 6'!$S$2:$S$496,$A137)</f>
        <v>#DIV/0!</v>
      </c>
      <c r="G137">
        <f>AVERAGEIFS('Region 6'!$W$2:$W$496,'Region 6'!$A$2:$A$496,G$1,'Region 6'!$X$2:$X$496,$D137,'Region 6'!$S$2:$S$496,$A137)</f>
        <v>39.285714285714285</v>
      </c>
      <c r="H137" t="e">
        <f>AVERAGEIFS('Region 6'!$W$2:$W$496,'Region 6'!$A$2:$A$496,H$1,'Region 6'!$X$2:$X$496,$D137,'Region 6'!$S$2:$S$496,$A137)</f>
        <v>#DIV/0!</v>
      </c>
      <c r="I137" t="e">
        <f>AVERAGEIFS('Region 6'!$W$2:$W$496,'Region 6'!$A$2:$A$496,I$1,'Region 6'!$X$2:$X$496,$D137,'Region 6'!$S$2:$S$496,$A137)</f>
        <v>#DIV/0!</v>
      </c>
      <c r="J137" t="e">
        <f>AVERAGEIFS('Region 6'!$W$2:$W$496,'Region 6'!$A$2:$A$496,J$1,'Region 6'!$X$2:$X$496,$D137,'Region 6'!$S$2:$S$496,$A137)</f>
        <v>#DIV/0!</v>
      </c>
      <c r="K137" t="e">
        <f>AVERAGEIFS('Region 6'!$W$2:$W$496,'Region 6'!$A$2:$A$496,K$1,'Region 6'!$X$2:$X$496,$D137,'Region 6'!$S$2:$S$496,$A137)</f>
        <v>#DIV/0!</v>
      </c>
      <c r="L137" t="e">
        <f>AVERAGEIFS('Region 6'!$W$2:$W$496,'Region 6'!$A$2:$A$496,L$1,'Region 6'!$X$2:$X$496,$D137,'Region 6'!$S$2:$S$496,$A137)</f>
        <v>#DIV/0!</v>
      </c>
      <c r="M137" t="e">
        <f>AVERAGEIFS('Region 6'!$W$2:$W$496,'Region 6'!$A$2:$A$496,M$1,'Region 6'!$X$2:$X$496,$D137,'Region 6'!$S$2:$S$496,$A137)</f>
        <v>#DIV/0!</v>
      </c>
      <c r="N137" t="e">
        <f>AVERAGEIFS('Region 6'!$W$2:$W$496,'Region 6'!$A$2:$A$496,N$1,'Region 6'!$X$2:$X$496,$D137,'Region 6'!$S$2:$S$496,$A137)</f>
        <v>#DIV/0!</v>
      </c>
      <c r="Q137" t="str">
        <f t="shared" si="31"/>
        <v>Steel</v>
      </c>
      <c r="R137" t="str">
        <f t="shared" si="32"/>
        <v>Semi-detached</v>
      </c>
      <c r="S137">
        <f t="shared" si="33"/>
        <v>6</v>
      </c>
      <c r="T137" t="str">
        <f t="shared" si="59"/>
        <v>-</v>
      </c>
      <c r="U137" t="str">
        <f t="shared" si="60"/>
        <v>-</v>
      </c>
      <c r="V137">
        <f t="shared" si="61"/>
        <v>39.285714285714285</v>
      </c>
      <c r="W137" t="str">
        <f t="shared" si="62"/>
        <v>-</v>
      </c>
      <c r="X137" t="str">
        <f t="shared" si="63"/>
        <v>-</v>
      </c>
      <c r="Y137" t="str">
        <f t="shared" si="64"/>
        <v>-</v>
      </c>
      <c r="Z137" t="str">
        <f t="shared" si="65"/>
        <v>-</v>
      </c>
      <c r="AA137" t="str">
        <f t="shared" si="66"/>
        <v>-</v>
      </c>
      <c r="AB137" t="str">
        <f t="shared" si="67"/>
        <v>-</v>
      </c>
      <c r="AC137" t="str">
        <f t="shared" si="68"/>
        <v>-</v>
      </c>
    </row>
    <row r="138" spans="1:29" x14ac:dyDescent="0.3">
      <c r="A138" t="s">
        <v>30</v>
      </c>
      <c r="B138" t="str">
        <f t="shared" ref="B138:D138" si="75">B34</f>
        <v>Semi-detached</v>
      </c>
      <c r="C138">
        <f t="shared" si="75"/>
        <v>7</v>
      </c>
      <c r="D138">
        <f t="shared" si="75"/>
        <v>2</v>
      </c>
      <c r="E138" t="e">
        <f ca="1">AVERAGEIFS('Region 7'!$W$2:$W$500,'Region 7'!$A$2:$A$500,E$1,'Region 7'!$X$2:$X$500,$D138,'Region 7'!$S$2:$S$500,$A138)</f>
        <v>#DIV/0!</v>
      </c>
      <c r="F138" t="e">
        <f ca="1">AVERAGEIFS('Region 7'!$W$2:$W$500,'Region 7'!$A$2:$A$500,F$1,'Region 7'!$X$2:$X$500,$D138,'Region 7'!$S$2:$S$500,$A138)</f>
        <v>#DIV/0!</v>
      </c>
      <c r="G138" t="e">
        <f ca="1">AVERAGEIFS('Region 7'!$W$2:$W$500,'Region 7'!$A$2:$A$500,G$1,'Region 7'!$X$2:$X$500,$D138,'Region 7'!$S$2:$S$500,$A138)</f>
        <v>#DIV/0!</v>
      </c>
      <c r="H138" t="e">
        <f ca="1">AVERAGEIFS('Region 7'!$W$2:$W$500,'Region 7'!$A$2:$A$500,H$1,'Region 7'!$X$2:$X$500,$D138,'Region 7'!$S$2:$S$500,$A138)</f>
        <v>#DIV/0!</v>
      </c>
      <c r="I138" t="e">
        <f ca="1">AVERAGEIFS('Region 7'!$W$2:$W$500,'Region 7'!$A$2:$A$500,I$1,'Region 7'!$X$2:$X$500,$D138,'Region 7'!$S$2:$S$500,$A138)</f>
        <v>#DIV/0!</v>
      </c>
      <c r="J138" t="e">
        <f ca="1">AVERAGEIFS('Region 7'!$W$2:$W$500,'Region 7'!$A$2:$A$500,J$1,'Region 7'!$X$2:$X$500,$D138,'Region 7'!$S$2:$S$500,$A138)</f>
        <v>#DIV/0!</v>
      </c>
      <c r="K138" t="e">
        <f ca="1">AVERAGEIFS('Region 7'!$W$2:$W$500,'Region 7'!$A$2:$A$500,K$1,'Region 7'!$X$2:$X$500,$D138,'Region 7'!$S$2:$S$500,$A138)</f>
        <v>#DIV/0!</v>
      </c>
      <c r="L138" t="e">
        <f ca="1">AVERAGEIFS('Region 7'!$W$2:$W$500,'Region 7'!$A$2:$A$500,L$1,'Region 7'!$X$2:$X$500,$D138,'Region 7'!$S$2:$S$500,$A138)</f>
        <v>#DIV/0!</v>
      </c>
      <c r="M138" t="e">
        <f ca="1">AVERAGEIFS('Region 7'!$W$2:$W$500,'Region 7'!$A$2:$A$500,M$1,'Region 7'!$X$2:$X$500,$D138,'Region 7'!$S$2:$S$500,$A138)</f>
        <v>#DIV/0!</v>
      </c>
      <c r="N138" t="e">
        <f ca="1">AVERAGEIFS('Region 7'!$W$2:$W$500,'Region 7'!$A$2:$A$500,N$1,'Region 7'!$X$2:$X$500,$D138,'Region 7'!$S$2:$S$500,$A138)</f>
        <v>#DIV/0!</v>
      </c>
      <c r="Q138" t="str">
        <f t="shared" si="31"/>
        <v>Steel</v>
      </c>
      <c r="R138" t="str">
        <f t="shared" si="32"/>
        <v>Semi-detached</v>
      </c>
      <c r="S138">
        <f t="shared" si="33"/>
        <v>7</v>
      </c>
      <c r="T138" t="str">
        <f t="shared" ca="1" si="59"/>
        <v>-</v>
      </c>
      <c r="U138" t="str">
        <f t="shared" ca="1" si="60"/>
        <v>-</v>
      </c>
      <c r="V138" t="str">
        <f t="shared" ca="1" si="61"/>
        <v>-</v>
      </c>
      <c r="W138" t="str">
        <f t="shared" ca="1" si="62"/>
        <v>-</v>
      </c>
      <c r="X138" t="str">
        <f t="shared" ca="1" si="63"/>
        <v>-</v>
      </c>
      <c r="Y138" t="str">
        <f t="shared" ca="1" si="64"/>
        <v>-</v>
      </c>
      <c r="Z138" t="str">
        <f t="shared" ca="1" si="65"/>
        <v>-</v>
      </c>
      <c r="AA138" t="str">
        <f t="shared" ca="1" si="66"/>
        <v>-</v>
      </c>
      <c r="AB138" t="str">
        <f t="shared" ca="1" si="67"/>
        <v>-</v>
      </c>
      <c r="AC138" t="str">
        <f t="shared" ca="1" si="68"/>
        <v>-</v>
      </c>
    </row>
    <row r="139" spans="1:29" x14ac:dyDescent="0.3">
      <c r="A139" t="s">
        <v>30</v>
      </c>
      <c r="B139" t="str">
        <f t="shared" ref="B139:D139" si="76">B35</f>
        <v>Semi-detached</v>
      </c>
      <c r="C139">
        <f t="shared" si="76"/>
        <v>8</v>
      </c>
      <c r="D139">
        <f t="shared" si="76"/>
        <v>2</v>
      </c>
      <c r="E139" t="e">
        <f>AVERAGEIFS('Region 8'!$W$2:$W$497,'Region 8'!$A$2:$A$497,E$1,'Region 8'!$X$2:$X$497,$D139,'Region 8'!$S$2:$S$497,$A139)</f>
        <v>#DIV/0!</v>
      </c>
      <c r="F139" t="e">
        <f>AVERAGEIFS('Region 8'!$W$2:$W$497,'Region 8'!$A$2:$A$497,F$1,'Region 8'!$X$2:$X$497,$D139,'Region 8'!$S$2:$S$497,$A139)</f>
        <v>#DIV/0!</v>
      </c>
      <c r="G139" t="e">
        <f>AVERAGEIFS('Region 8'!$W$2:$W$497,'Region 8'!$A$2:$A$497,G$1,'Region 8'!$X$2:$X$497,$D139,'Region 8'!$S$2:$S$497,$A139)</f>
        <v>#DIV/0!</v>
      </c>
      <c r="H139" t="e">
        <f>AVERAGEIFS('Region 8'!$W$2:$W$497,'Region 8'!$A$2:$A$497,H$1,'Region 8'!$X$2:$X$497,$D139,'Region 8'!$S$2:$S$497,$A139)</f>
        <v>#DIV/0!</v>
      </c>
      <c r="I139" t="e">
        <f>AVERAGEIFS('Region 8'!$W$2:$W$497,'Region 8'!$A$2:$A$497,I$1,'Region 8'!$X$2:$X$497,$D139,'Region 8'!$S$2:$S$497,$A139)</f>
        <v>#DIV/0!</v>
      </c>
      <c r="J139" t="e">
        <f>AVERAGEIFS('Region 8'!$W$2:$W$497,'Region 8'!$A$2:$A$497,J$1,'Region 8'!$X$2:$X$497,$D139,'Region 8'!$S$2:$S$497,$A139)</f>
        <v>#DIV/0!</v>
      </c>
      <c r="K139" t="e">
        <f>AVERAGEIFS('Region 8'!$W$2:$W$497,'Region 8'!$A$2:$A$497,K$1,'Region 8'!$X$2:$X$497,$D139,'Region 8'!$S$2:$S$497,$A139)</f>
        <v>#DIV/0!</v>
      </c>
      <c r="L139" t="e">
        <f>AVERAGEIFS('Region 8'!$W$2:$W$497,'Region 8'!$A$2:$A$497,L$1,'Region 8'!$X$2:$X$497,$D139,'Region 8'!$S$2:$S$497,$A139)</f>
        <v>#DIV/0!</v>
      </c>
      <c r="M139" t="e">
        <f>AVERAGEIFS('Region 8'!$W$2:$W$497,'Region 8'!$A$2:$A$497,M$1,'Region 8'!$X$2:$X$497,$D139,'Region 8'!$S$2:$S$497,$A139)</f>
        <v>#DIV/0!</v>
      </c>
      <c r="N139" t="e">
        <f>AVERAGEIFS('Region 8'!$W$2:$W$497,'Region 8'!$A$2:$A$497,N$1,'Region 8'!$X$2:$X$497,$D139,'Region 8'!$S$2:$S$497,$A139)</f>
        <v>#DIV/0!</v>
      </c>
      <c r="Q139" t="str">
        <f t="shared" ref="Q139:Q202" si="77">A139</f>
        <v>Steel</v>
      </c>
      <c r="R139" t="str">
        <f t="shared" ref="R139:R202" si="78">B139</f>
        <v>Semi-detached</v>
      </c>
      <c r="S139">
        <f t="shared" ref="S139:S202" si="79">C139</f>
        <v>8</v>
      </c>
      <c r="T139" t="str">
        <f t="shared" si="59"/>
        <v>-</v>
      </c>
      <c r="U139" t="str">
        <f t="shared" si="60"/>
        <v>-</v>
      </c>
      <c r="V139" t="str">
        <f t="shared" si="61"/>
        <v>-</v>
      </c>
      <c r="W139" t="str">
        <f t="shared" si="62"/>
        <v>-</v>
      </c>
      <c r="X139" t="str">
        <f t="shared" si="63"/>
        <v>-</v>
      </c>
      <c r="Y139" t="str">
        <f t="shared" si="64"/>
        <v>-</v>
      </c>
      <c r="Z139" t="str">
        <f t="shared" si="65"/>
        <v>-</v>
      </c>
      <c r="AA139" t="str">
        <f t="shared" si="66"/>
        <v>-</v>
      </c>
      <c r="AB139" t="str">
        <f t="shared" si="67"/>
        <v>-</v>
      </c>
      <c r="AC139" t="str">
        <f t="shared" si="68"/>
        <v>-</v>
      </c>
    </row>
    <row r="140" spans="1:29" x14ac:dyDescent="0.3">
      <c r="A140" t="s">
        <v>30</v>
      </c>
      <c r="B140" t="str">
        <f t="shared" ref="B140:D140" si="80">B36</f>
        <v>Semi-detached</v>
      </c>
      <c r="C140">
        <f t="shared" si="80"/>
        <v>9</v>
      </c>
      <c r="D140">
        <f t="shared" si="80"/>
        <v>2</v>
      </c>
      <c r="E140" t="e">
        <f ca="1">AVERAGEIFS('Region 9'!$W$2:$W$500,'Region 9'!$A$2:$A$500,E$1,'Region 9'!$X$2:$X$500,$D140,'Region 9'!$S$2:$S$500,$A140)</f>
        <v>#DIV/0!</v>
      </c>
      <c r="F140" t="e">
        <f ca="1">AVERAGEIFS('Region 9'!$W$2:$W$500,'Region 9'!$A$2:$A$500,F$1,'Region 9'!$X$2:$X$500,$D140,'Region 9'!$S$2:$S$500,$A140)</f>
        <v>#DIV/0!</v>
      </c>
      <c r="G140" t="e">
        <f ca="1">AVERAGEIFS('Region 9'!$W$2:$W$500,'Region 9'!$A$2:$A$500,G$1,'Region 9'!$X$2:$X$500,$D140,'Region 9'!$S$2:$S$500,$A140)</f>
        <v>#DIV/0!</v>
      </c>
      <c r="H140" t="e">
        <f ca="1">AVERAGEIFS('Region 9'!$W$2:$W$500,'Region 9'!$A$2:$A$500,H$1,'Region 9'!$X$2:$X$500,$D140,'Region 9'!$S$2:$S$500,$A140)</f>
        <v>#DIV/0!</v>
      </c>
      <c r="I140" t="e">
        <f ca="1">AVERAGEIFS('Region 9'!$W$2:$W$500,'Region 9'!$A$2:$A$500,I$1,'Region 9'!$X$2:$X$500,$D140,'Region 9'!$S$2:$S$500,$A140)</f>
        <v>#DIV/0!</v>
      </c>
      <c r="J140" t="e">
        <f ca="1">AVERAGEIFS('Region 9'!$W$2:$W$500,'Region 9'!$A$2:$A$500,J$1,'Region 9'!$X$2:$X$500,$D140,'Region 9'!$S$2:$S$500,$A140)</f>
        <v>#DIV/0!</v>
      </c>
      <c r="K140" t="e">
        <f ca="1">AVERAGEIFS('Region 9'!$W$2:$W$500,'Region 9'!$A$2:$A$500,K$1,'Region 9'!$X$2:$X$500,$D140,'Region 9'!$S$2:$S$500,$A140)</f>
        <v>#DIV/0!</v>
      </c>
      <c r="L140" t="e">
        <f ca="1">AVERAGEIFS('Region 9'!$W$2:$W$500,'Region 9'!$A$2:$A$500,L$1,'Region 9'!$X$2:$X$500,$D140,'Region 9'!$S$2:$S$500,$A140)</f>
        <v>#DIV/0!</v>
      </c>
      <c r="M140" t="e">
        <f ca="1">AVERAGEIFS('Region 9'!$W$2:$W$500,'Region 9'!$A$2:$A$500,M$1,'Region 9'!$X$2:$X$500,$D140,'Region 9'!$S$2:$S$500,$A140)</f>
        <v>#DIV/0!</v>
      </c>
      <c r="N140" t="e">
        <f ca="1">AVERAGEIFS('Region 9'!$W$2:$W$500,'Region 9'!$A$2:$A$500,N$1,'Region 9'!$X$2:$X$500,$D140,'Region 9'!$S$2:$S$500,$A140)</f>
        <v>#DIV/0!</v>
      </c>
      <c r="Q140" t="str">
        <f t="shared" si="77"/>
        <v>Steel</v>
      </c>
      <c r="R140" t="str">
        <f t="shared" si="78"/>
        <v>Semi-detached</v>
      </c>
      <c r="S140">
        <f t="shared" si="79"/>
        <v>9</v>
      </c>
      <c r="T140" t="str">
        <f t="shared" ca="1" si="59"/>
        <v>-</v>
      </c>
      <c r="U140" t="str">
        <f t="shared" ca="1" si="60"/>
        <v>-</v>
      </c>
      <c r="V140" t="str">
        <f t="shared" ca="1" si="61"/>
        <v>-</v>
      </c>
      <c r="W140" t="str">
        <f t="shared" ca="1" si="62"/>
        <v>-</v>
      </c>
      <c r="X140" t="str">
        <f t="shared" ca="1" si="63"/>
        <v>-</v>
      </c>
      <c r="Y140" t="str">
        <f t="shared" ca="1" si="64"/>
        <v>-</v>
      </c>
      <c r="Z140" t="str">
        <f t="shared" ca="1" si="65"/>
        <v>-</v>
      </c>
      <c r="AA140" t="str">
        <f t="shared" ca="1" si="66"/>
        <v>-</v>
      </c>
      <c r="AB140" t="str">
        <f t="shared" ca="1" si="67"/>
        <v>-</v>
      </c>
      <c r="AC140" t="str">
        <f t="shared" ca="1" si="68"/>
        <v>-</v>
      </c>
    </row>
    <row r="141" spans="1:29" x14ac:dyDescent="0.3">
      <c r="A141" t="s">
        <v>30</v>
      </c>
      <c r="B141" t="str">
        <f t="shared" ref="B141:D141" si="81">B37</f>
        <v>Semi-detached</v>
      </c>
      <c r="C141">
        <f t="shared" si="81"/>
        <v>10</v>
      </c>
      <c r="D141">
        <f t="shared" si="81"/>
        <v>2</v>
      </c>
      <c r="E141" t="e">
        <f>AVERAGEIFS('Region 10'!$W$2:$W$500,'Region 10'!$A$2:$A$500,E$1,'Region 10'!$X$2:$X$500,$D141,'Region 10'!$S$2:$S$500,$A141)</f>
        <v>#DIV/0!</v>
      </c>
      <c r="F141" t="e">
        <f>AVERAGEIFS('Region 10'!$W$2:$W$500,'Region 10'!$A$2:$A$500,F$1,'Region 10'!$X$2:$X$500,$D141,'Region 10'!$S$2:$S$500,$A141)</f>
        <v>#DIV/0!</v>
      </c>
      <c r="G141" t="e">
        <f>AVERAGEIFS('Region 10'!$W$2:$W$500,'Region 10'!$A$2:$A$500,G$1,'Region 10'!$X$2:$X$500,$D141,'Region 10'!$S$2:$S$500,$A141)</f>
        <v>#DIV/0!</v>
      </c>
      <c r="H141" t="e">
        <f>AVERAGEIFS('Region 10'!$W$2:$W$500,'Region 10'!$A$2:$A$500,H$1,'Region 10'!$X$2:$X$500,$D141,'Region 10'!$S$2:$S$500,$A141)</f>
        <v>#DIV/0!</v>
      </c>
      <c r="I141" t="e">
        <f>AVERAGEIFS('Region 10'!$W$2:$W$500,'Region 10'!$A$2:$A$500,I$1,'Region 10'!$X$2:$X$500,$D141,'Region 10'!$S$2:$S$500,$A141)</f>
        <v>#DIV/0!</v>
      </c>
      <c r="J141" t="e">
        <f>AVERAGEIFS('Region 10'!$W$2:$W$500,'Region 10'!$A$2:$A$500,J$1,'Region 10'!$X$2:$X$500,$D141,'Region 10'!$S$2:$S$500,$A141)</f>
        <v>#DIV/0!</v>
      </c>
      <c r="K141" t="e">
        <f>AVERAGEIFS('Region 10'!$W$2:$W$500,'Region 10'!$A$2:$A$500,K$1,'Region 10'!$X$2:$X$500,$D141,'Region 10'!$S$2:$S$500,$A141)</f>
        <v>#DIV/0!</v>
      </c>
      <c r="L141" t="e">
        <f>AVERAGEIFS('Region 10'!$W$2:$W$500,'Region 10'!$A$2:$A$500,L$1,'Region 10'!$X$2:$X$500,$D141,'Region 10'!$S$2:$S$500,$A141)</f>
        <v>#DIV/0!</v>
      </c>
      <c r="M141" t="e">
        <f>AVERAGEIFS('Region 10'!$W$2:$W$500,'Region 10'!$A$2:$A$500,M$1,'Region 10'!$X$2:$X$500,$D141,'Region 10'!$S$2:$S$500,$A141)</f>
        <v>#DIV/0!</v>
      </c>
      <c r="N141" t="e">
        <f>AVERAGEIFS('Region 10'!$W$2:$W$500,'Region 10'!$A$2:$A$500,N$1,'Region 10'!$X$2:$X$500,$D141,'Region 10'!$S$2:$S$500,$A141)</f>
        <v>#DIV/0!</v>
      </c>
      <c r="Q141" t="str">
        <f t="shared" si="77"/>
        <v>Steel</v>
      </c>
      <c r="R141" t="str">
        <f t="shared" si="78"/>
        <v>Semi-detached</v>
      </c>
      <c r="S141">
        <f t="shared" si="79"/>
        <v>10</v>
      </c>
      <c r="T141" t="str">
        <f t="shared" si="59"/>
        <v>-</v>
      </c>
      <c r="U141" t="str">
        <f t="shared" si="60"/>
        <v>-</v>
      </c>
      <c r="V141" t="str">
        <f t="shared" si="61"/>
        <v>-</v>
      </c>
      <c r="W141" t="str">
        <f t="shared" si="62"/>
        <v>-</v>
      </c>
      <c r="X141" t="str">
        <f t="shared" si="63"/>
        <v>-</v>
      </c>
      <c r="Y141" t="str">
        <f t="shared" si="64"/>
        <v>-</v>
      </c>
      <c r="Z141" t="str">
        <f t="shared" si="65"/>
        <v>-</v>
      </c>
      <c r="AA141" t="str">
        <f t="shared" si="66"/>
        <v>-</v>
      </c>
      <c r="AB141" t="str">
        <f t="shared" si="67"/>
        <v>-</v>
      </c>
      <c r="AC141" t="str">
        <f t="shared" si="68"/>
        <v>-</v>
      </c>
    </row>
    <row r="142" spans="1:29" x14ac:dyDescent="0.3">
      <c r="A142" t="s">
        <v>30</v>
      </c>
      <c r="B142" t="str">
        <f t="shared" ref="B142:D142" si="82">B38</f>
        <v>Semi-detached</v>
      </c>
      <c r="C142">
        <f t="shared" si="82"/>
        <v>11</v>
      </c>
      <c r="D142">
        <f t="shared" si="82"/>
        <v>2</v>
      </c>
      <c r="E142" t="e">
        <f>AVERAGEIFS('Region 11'!$W$2:$W$391,'Region 11'!$A$2:$A$391,E$1,'Region 11'!$X$2:$X$391,$D142,'Region 11'!$S$2:$S$391,$A142)</f>
        <v>#DIV/0!</v>
      </c>
      <c r="F142" t="e">
        <f>AVERAGEIFS('Region 11'!$W$2:$W$391,'Region 11'!$A$2:$A$391,F$1,'Region 11'!$X$2:$X$391,$D142,'Region 11'!$S$2:$S$391,$A142)</f>
        <v>#DIV/0!</v>
      </c>
      <c r="G142" t="e">
        <f>AVERAGEIFS('Region 11'!$W$2:$W$391,'Region 11'!$A$2:$A$391,G$1,'Region 11'!$X$2:$X$391,$D142,'Region 11'!$S$2:$S$391,$A142)</f>
        <v>#DIV/0!</v>
      </c>
      <c r="H142" t="e">
        <f>AVERAGEIFS('Region 11'!$W$2:$W$391,'Region 11'!$A$2:$A$391,H$1,'Region 11'!$X$2:$X$391,$D142,'Region 11'!$S$2:$S$391,$A142)</f>
        <v>#DIV/0!</v>
      </c>
      <c r="I142" t="e">
        <f>AVERAGEIFS('Region 11'!$W$2:$W$391,'Region 11'!$A$2:$A$391,I$1,'Region 11'!$X$2:$X$391,$D142,'Region 11'!$S$2:$S$391,$A142)</f>
        <v>#DIV/0!</v>
      </c>
      <c r="J142">
        <f>AVERAGEIFS('Region 11'!$W$2:$W$391,'Region 11'!$A$2:$A$391,J$1,'Region 11'!$X$2:$X$391,$D142,'Region 11'!$S$2:$S$391,$A142)</f>
        <v>24.632478632478634</v>
      </c>
      <c r="K142" t="e">
        <f>AVERAGEIFS('Region 11'!$W$2:$W$391,'Region 11'!$A$2:$A$391,K$1,'Region 11'!$X$2:$X$391,$D142,'Region 11'!$S$2:$S$391,$A142)</f>
        <v>#DIV/0!</v>
      </c>
      <c r="L142" t="e">
        <f>AVERAGEIFS('Region 11'!$W$2:$W$391,'Region 11'!$A$2:$A$391,L$1,'Region 11'!$X$2:$X$391,$D142,'Region 11'!$S$2:$S$391,$A142)</f>
        <v>#DIV/0!</v>
      </c>
      <c r="M142" t="e">
        <f>AVERAGEIFS('Region 11'!$W$2:$W$391,'Region 11'!$A$2:$A$391,M$1,'Region 11'!$X$2:$X$391,$D142,'Region 11'!$S$2:$S$391,$A142)</f>
        <v>#DIV/0!</v>
      </c>
      <c r="N142" t="e">
        <f>AVERAGEIFS('Region 11'!$W$2:$W$391,'Region 11'!$A$2:$A$391,N$1,'Region 11'!$X$2:$X$391,$D142,'Region 11'!$S$2:$S$391,$A142)</f>
        <v>#DIV/0!</v>
      </c>
      <c r="Q142" t="str">
        <f t="shared" si="77"/>
        <v>Steel</v>
      </c>
      <c r="R142" t="str">
        <f t="shared" si="78"/>
        <v>Semi-detached</v>
      </c>
      <c r="S142">
        <f t="shared" si="79"/>
        <v>11</v>
      </c>
      <c r="T142" t="str">
        <f t="shared" si="59"/>
        <v>-</v>
      </c>
      <c r="U142" t="str">
        <f t="shared" si="60"/>
        <v>-</v>
      </c>
      <c r="V142" t="str">
        <f t="shared" si="61"/>
        <v>-</v>
      </c>
      <c r="W142" t="str">
        <f t="shared" si="62"/>
        <v>-</v>
      </c>
      <c r="X142" t="str">
        <f t="shared" si="63"/>
        <v>-</v>
      </c>
      <c r="Y142">
        <f t="shared" si="64"/>
        <v>24.632478632478634</v>
      </c>
      <c r="Z142" t="str">
        <f t="shared" si="65"/>
        <v>-</v>
      </c>
      <c r="AA142" t="str">
        <f t="shared" si="66"/>
        <v>-</v>
      </c>
      <c r="AB142" t="str">
        <f t="shared" si="67"/>
        <v>-</v>
      </c>
      <c r="AC142" t="str">
        <f t="shared" si="68"/>
        <v>-</v>
      </c>
    </row>
    <row r="143" spans="1:29" x14ac:dyDescent="0.3">
      <c r="A143" t="s">
        <v>30</v>
      </c>
      <c r="B143" t="str">
        <f t="shared" ref="B143:D143" si="83">B39</f>
        <v>Semi-detached</v>
      </c>
      <c r="C143">
        <f t="shared" si="83"/>
        <v>12</v>
      </c>
      <c r="D143">
        <f t="shared" si="83"/>
        <v>2</v>
      </c>
      <c r="E143" t="e">
        <f>AVERAGEIFS('Region 12'!$W$2:$W$459,'Region 12'!$A$2:$A$459,E$1,'Region 12'!$X$2:$X$459,$D143,'Region 12'!$S$2:$S$459,$A143)</f>
        <v>#DIV/0!</v>
      </c>
      <c r="F143" t="e">
        <f>AVERAGEIFS('Region 12'!$W$2:$W$459,'Region 12'!$A$2:$A$459,F$1,'Region 12'!$X$2:$X$459,$D143,'Region 12'!$S$2:$S$459,$A143)</f>
        <v>#DIV/0!</v>
      </c>
      <c r="G143" t="e">
        <f>AVERAGEIFS('Region 12'!$W$2:$W$459,'Region 12'!$A$2:$A$459,G$1,'Region 12'!$X$2:$X$459,$D143,'Region 12'!$S$2:$S$459,$A143)</f>
        <v>#DIV/0!</v>
      </c>
      <c r="H143" t="e">
        <f>AVERAGEIFS('Region 12'!$W$2:$W$459,'Region 12'!$A$2:$A$459,H$1,'Region 12'!$X$2:$X$459,$D143,'Region 12'!$S$2:$S$459,$A143)</f>
        <v>#DIV/0!</v>
      </c>
      <c r="I143" t="e">
        <f>AVERAGEIFS('Region 12'!$W$2:$W$459,'Region 12'!$A$2:$A$459,I$1,'Region 12'!$X$2:$X$459,$D143,'Region 12'!$S$2:$S$459,$A143)</f>
        <v>#DIV/0!</v>
      </c>
      <c r="J143" t="e">
        <f>AVERAGEIFS('Region 12'!$W$2:$W$459,'Region 12'!$A$2:$A$459,J$1,'Region 12'!$X$2:$X$459,$D143,'Region 12'!$S$2:$S$459,$A143)</f>
        <v>#DIV/0!</v>
      </c>
      <c r="K143" t="e">
        <f>AVERAGEIFS('Region 12'!$W$2:$W$459,'Region 12'!$A$2:$A$459,K$1,'Region 12'!$X$2:$X$459,$D143,'Region 12'!$S$2:$S$459,$A143)</f>
        <v>#DIV/0!</v>
      </c>
      <c r="L143" t="e">
        <f>AVERAGEIFS('Region 12'!$W$2:$W$459,'Region 12'!$A$2:$A$459,L$1,'Region 12'!$X$2:$X$459,$D143,'Region 12'!$S$2:$S$459,$A143)</f>
        <v>#DIV/0!</v>
      </c>
      <c r="M143" t="e">
        <f>AVERAGEIFS('Region 12'!$W$2:$W$459,'Region 12'!$A$2:$A$459,M$1,'Region 12'!$X$2:$X$459,$D143,'Region 12'!$S$2:$S$459,$A143)</f>
        <v>#DIV/0!</v>
      </c>
      <c r="N143" t="e">
        <f>AVERAGEIFS('Region 12'!$W$2:$W$459,'Region 12'!$A$2:$A$459,N$1,'Region 12'!$X$2:$X$459,$D143,'Region 12'!$S$2:$S$459,$A143)</f>
        <v>#DIV/0!</v>
      </c>
      <c r="Q143" t="str">
        <f t="shared" si="77"/>
        <v>Steel</v>
      </c>
      <c r="R143" t="str">
        <f t="shared" si="78"/>
        <v>Semi-detached</v>
      </c>
      <c r="S143">
        <f t="shared" si="79"/>
        <v>12</v>
      </c>
      <c r="T143" t="str">
        <f t="shared" si="59"/>
        <v>-</v>
      </c>
      <c r="U143" t="str">
        <f t="shared" si="60"/>
        <v>-</v>
      </c>
      <c r="V143" t="str">
        <f t="shared" si="61"/>
        <v>-</v>
      </c>
      <c r="W143" t="str">
        <f t="shared" si="62"/>
        <v>-</v>
      </c>
      <c r="X143" t="str">
        <f t="shared" si="63"/>
        <v>-</v>
      </c>
      <c r="Y143" t="str">
        <f t="shared" si="64"/>
        <v>-</v>
      </c>
      <c r="Z143" t="str">
        <f t="shared" si="65"/>
        <v>-</v>
      </c>
      <c r="AA143" t="str">
        <f t="shared" si="66"/>
        <v>-</v>
      </c>
      <c r="AB143" t="str">
        <f t="shared" si="67"/>
        <v>-</v>
      </c>
      <c r="AC143" t="str">
        <f t="shared" si="68"/>
        <v>-</v>
      </c>
    </row>
    <row r="144" spans="1:29" x14ac:dyDescent="0.3">
      <c r="A144" t="s">
        <v>30</v>
      </c>
      <c r="B144" t="str">
        <f t="shared" ref="B144:D144" si="84">B40</f>
        <v>Semi-detached</v>
      </c>
      <c r="C144">
        <f t="shared" si="84"/>
        <v>13</v>
      </c>
      <c r="D144">
        <f t="shared" si="84"/>
        <v>2</v>
      </c>
      <c r="E144" t="e">
        <f>AVERAGEIFS('Region 13'!$W$2:$W$500,'Region 13'!$A$2:$A$500,E$1,'Region 13'!$X$2:$X$500,$D144,'Region 13'!$S$2:$S$500,$A144)</f>
        <v>#DIV/0!</v>
      </c>
      <c r="F144" t="e">
        <f>AVERAGEIFS('Region 13'!$W$2:$W$500,'Region 13'!$A$2:$A$500,F$1,'Region 13'!$X$2:$X$500,$D144,'Region 13'!$S$2:$S$500,$A144)</f>
        <v>#DIV/0!</v>
      </c>
      <c r="G144" t="e">
        <f>AVERAGEIFS('Region 13'!$W$2:$W$500,'Region 13'!$A$2:$A$500,G$1,'Region 13'!$X$2:$X$500,$D144,'Region 13'!$S$2:$S$500,$A144)</f>
        <v>#DIV/0!</v>
      </c>
      <c r="H144" t="e">
        <f>AVERAGEIFS('Region 13'!$W$2:$W$500,'Region 13'!$A$2:$A$500,H$1,'Region 13'!$X$2:$X$500,$D144,'Region 13'!$S$2:$S$500,$A144)</f>
        <v>#DIV/0!</v>
      </c>
      <c r="I144" t="e">
        <f>AVERAGEIFS('Region 13'!$W$2:$W$500,'Region 13'!$A$2:$A$500,I$1,'Region 13'!$X$2:$X$500,$D144,'Region 13'!$S$2:$S$500,$A144)</f>
        <v>#DIV/0!</v>
      </c>
      <c r="J144" t="e">
        <f>AVERAGEIFS('Region 13'!$W$2:$W$500,'Region 13'!$A$2:$A$500,J$1,'Region 13'!$X$2:$X$500,$D144,'Region 13'!$S$2:$S$500,$A144)</f>
        <v>#DIV/0!</v>
      </c>
      <c r="K144" t="e">
        <f>AVERAGEIFS('Region 13'!$W$2:$W$500,'Region 13'!$A$2:$A$500,K$1,'Region 13'!$X$2:$X$500,$D144,'Region 13'!$S$2:$S$500,$A144)</f>
        <v>#DIV/0!</v>
      </c>
      <c r="L144" t="e">
        <f>AVERAGEIFS('Region 13'!$W$2:$W$500,'Region 13'!$A$2:$A$500,L$1,'Region 13'!$X$2:$X$500,$D144,'Region 13'!$S$2:$S$500,$A144)</f>
        <v>#DIV/0!</v>
      </c>
      <c r="M144" t="e">
        <f>AVERAGEIFS('Region 13'!$W$2:$W$500,'Region 13'!$A$2:$A$500,M$1,'Region 13'!$X$2:$X$500,$D144,'Region 13'!$S$2:$S$500,$A144)</f>
        <v>#DIV/0!</v>
      </c>
      <c r="N144" t="e">
        <f>AVERAGEIFS('Region 13'!$W$2:$W$500,'Region 13'!$A$2:$A$500,N$1,'Region 13'!$X$2:$X$500,$D144,'Region 13'!$S$2:$S$500,$A144)</f>
        <v>#DIV/0!</v>
      </c>
      <c r="Q144" t="str">
        <f t="shared" si="77"/>
        <v>Steel</v>
      </c>
      <c r="R144" t="str">
        <f t="shared" si="78"/>
        <v>Semi-detached</v>
      </c>
      <c r="S144">
        <f t="shared" si="79"/>
        <v>13</v>
      </c>
      <c r="T144" t="str">
        <f t="shared" si="59"/>
        <v>-</v>
      </c>
      <c r="U144" t="str">
        <f t="shared" si="60"/>
        <v>-</v>
      </c>
      <c r="V144" t="str">
        <f t="shared" si="61"/>
        <v>-</v>
      </c>
      <c r="W144" t="str">
        <f t="shared" si="62"/>
        <v>-</v>
      </c>
      <c r="X144" t="str">
        <f t="shared" si="63"/>
        <v>-</v>
      </c>
      <c r="Y144" t="str">
        <f t="shared" si="64"/>
        <v>-</v>
      </c>
      <c r="Z144" t="str">
        <f t="shared" si="65"/>
        <v>-</v>
      </c>
      <c r="AA144" t="str">
        <f t="shared" si="66"/>
        <v>-</v>
      </c>
      <c r="AB144" t="str">
        <f t="shared" si="67"/>
        <v>-</v>
      </c>
      <c r="AC144" t="str">
        <f t="shared" si="68"/>
        <v>-</v>
      </c>
    </row>
    <row r="145" spans="1:29" x14ac:dyDescent="0.3">
      <c r="A145" t="s">
        <v>30</v>
      </c>
      <c r="B145" t="str">
        <f t="shared" ref="B145:D145" si="85">B41</f>
        <v>Semi-detached</v>
      </c>
      <c r="C145">
        <f t="shared" si="85"/>
        <v>14</v>
      </c>
      <c r="D145">
        <f t="shared" si="85"/>
        <v>2</v>
      </c>
      <c r="E145" t="e">
        <f ca="1">AVERAGEIFS('Region 14'!$W$2:$W$500,'Region 14'!$A$2:$A$500,E$1,'Region 14'!$X$2:$X$500,$D145,'Region 14'!$S$2:$S$500,$A145)</f>
        <v>#DIV/0!</v>
      </c>
      <c r="F145" t="e">
        <f ca="1">AVERAGEIFS('Region 14'!$W$2:$W$500,'Region 14'!$A$2:$A$500,F$1,'Region 14'!$X$2:$X$500,$D145,'Region 14'!$S$2:$S$500,$A145)</f>
        <v>#DIV/0!</v>
      </c>
      <c r="G145" t="e">
        <f ca="1">AVERAGEIFS('Region 14'!$W$2:$W$500,'Region 14'!$A$2:$A$500,G$1,'Region 14'!$X$2:$X$500,$D145,'Region 14'!$S$2:$S$500,$A145)</f>
        <v>#DIV/0!</v>
      </c>
      <c r="H145" t="e">
        <f ca="1">AVERAGEIFS('Region 14'!$W$2:$W$500,'Region 14'!$A$2:$A$500,H$1,'Region 14'!$X$2:$X$500,$D145,'Region 14'!$S$2:$S$500,$A145)</f>
        <v>#DIV/0!</v>
      </c>
      <c r="I145" t="e">
        <f ca="1">AVERAGEIFS('Region 14'!$W$2:$W$500,'Region 14'!$A$2:$A$500,I$1,'Region 14'!$X$2:$X$500,$D145,'Region 14'!$S$2:$S$500,$A145)</f>
        <v>#DIV/0!</v>
      </c>
      <c r="J145" t="e">
        <f ca="1">AVERAGEIFS('Region 14'!$W$2:$W$500,'Region 14'!$A$2:$A$500,J$1,'Region 14'!$X$2:$X$500,$D145,'Region 14'!$S$2:$S$500,$A145)</f>
        <v>#DIV/0!</v>
      </c>
      <c r="K145" t="e">
        <f ca="1">AVERAGEIFS('Region 14'!$W$2:$W$500,'Region 14'!$A$2:$A$500,K$1,'Region 14'!$X$2:$X$500,$D145,'Region 14'!$S$2:$S$500,$A145)</f>
        <v>#DIV/0!</v>
      </c>
      <c r="L145" t="e">
        <f ca="1">AVERAGEIFS('Region 14'!$W$2:$W$500,'Region 14'!$A$2:$A$500,L$1,'Region 14'!$X$2:$X$500,$D145,'Region 14'!$S$2:$S$500,$A145)</f>
        <v>#DIV/0!</v>
      </c>
      <c r="M145" t="e">
        <f ca="1">AVERAGEIFS('Region 14'!$W$2:$W$500,'Region 14'!$A$2:$A$500,M$1,'Region 14'!$X$2:$X$500,$D145,'Region 14'!$S$2:$S$500,$A145)</f>
        <v>#DIV/0!</v>
      </c>
      <c r="N145" t="e">
        <f ca="1">AVERAGEIFS('Region 14'!$W$2:$W$500,'Region 14'!$A$2:$A$500,N$1,'Region 14'!$X$2:$X$500,$D145,'Region 14'!$S$2:$S$500,$A145)</f>
        <v>#DIV/0!</v>
      </c>
      <c r="Q145" t="str">
        <f t="shared" si="77"/>
        <v>Steel</v>
      </c>
      <c r="R145" t="str">
        <f t="shared" si="78"/>
        <v>Semi-detached</v>
      </c>
      <c r="S145">
        <f t="shared" si="79"/>
        <v>14</v>
      </c>
      <c r="T145" t="str">
        <f t="shared" ca="1" si="59"/>
        <v>-</v>
      </c>
      <c r="U145" t="str">
        <f t="shared" ca="1" si="60"/>
        <v>-</v>
      </c>
      <c r="V145" t="str">
        <f t="shared" ca="1" si="61"/>
        <v>-</v>
      </c>
      <c r="W145" t="str">
        <f t="shared" ca="1" si="62"/>
        <v>-</v>
      </c>
      <c r="X145" t="str">
        <f t="shared" ca="1" si="63"/>
        <v>-</v>
      </c>
      <c r="Y145" t="str">
        <f t="shared" ca="1" si="64"/>
        <v>-</v>
      </c>
      <c r="Z145" t="str">
        <f t="shared" ca="1" si="65"/>
        <v>-</v>
      </c>
      <c r="AA145" t="str">
        <f t="shared" ca="1" si="66"/>
        <v>-</v>
      </c>
      <c r="AB145" t="str">
        <f t="shared" ca="1" si="67"/>
        <v>-</v>
      </c>
      <c r="AC145" t="str">
        <f t="shared" ca="1" si="68"/>
        <v>-</v>
      </c>
    </row>
    <row r="146" spans="1:29" x14ac:dyDescent="0.3">
      <c r="A146" t="s">
        <v>30</v>
      </c>
      <c r="B146" t="str">
        <f t="shared" ref="B146:D146" si="86">B42</f>
        <v>Semi-detached</v>
      </c>
      <c r="C146">
        <f t="shared" si="86"/>
        <v>15</v>
      </c>
      <c r="D146">
        <f t="shared" si="86"/>
        <v>2</v>
      </c>
      <c r="E146" t="e">
        <f ca="1">AVERAGEIFS('Region 15'!$W$2:$W$500,'Region 15'!$A$2:$A$500,E$1,'Region 15'!$X$2:$X$500,$D146,'Region 15'!$S$2:$S$500,$A146)</f>
        <v>#DIV/0!</v>
      </c>
      <c r="F146" t="e">
        <f ca="1">AVERAGEIFS('Region 15'!$W$2:$W$500,'Region 15'!$A$2:$A$500,F$1,'Region 15'!$X$2:$X$500,$D146,'Region 15'!$S$2:$S$500,$A146)</f>
        <v>#DIV/0!</v>
      </c>
      <c r="G146" t="e">
        <f ca="1">AVERAGEIFS('Region 15'!$W$2:$W$500,'Region 15'!$A$2:$A$500,G$1,'Region 15'!$X$2:$X$500,$D146,'Region 15'!$S$2:$S$500,$A146)</f>
        <v>#DIV/0!</v>
      </c>
      <c r="H146" t="e">
        <f ca="1">AVERAGEIFS('Region 15'!$W$2:$W$500,'Region 15'!$A$2:$A$500,H$1,'Region 15'!$X$2:$X$500,$D146,'Region 15'!$S$2:$S$500,$A146)</f>
        <v>#DIV/0!</v>
      </c>
      <c r="I146" t="e">
        <f ca="1">AVERAGEIFS('Region 15'!$W$2:$W$500,'Region 15'!$A$2:$A$500,I$1,'Region 15'!$X$2:$X$500,$D146,'Region 15'!$S$2:$S$500,$A146)</f>
        <v>#DIV/0!</v>
      </c>
      <c r="J146" t="e">
        <f ca="1">AVERAGEIFS('Region 15'!$W$2:$W$500,'Region 15'!$A$2:$A$500,J$1,'Region 15'!$X$2:$X$500,$D146,'Region 15'!$S$2:$S$500,$A146)</f>
        <v>#DIV/0!</v>
      </c>
      <c r="K146" t="e">
        <f ca="1">AVERAGEIFS('Region 15'!$W$2:$W$500,'Region 15'!$A$2:$A$500,K$1,'Region 15'!$X$2:$X$500,$D146,'Region 15'!$S$2:$S$500,$A146)</f>
        <v>#DIV/0!</v>
      </c>
      <c r="L146" t="e">
        <f ca="1">AVERAGEIFS('Region 15'!$W$2:$W$500,'Region 15'!$A$2:$A$500,L$1,'Region 15'!$X$2:$X$500,$D146,'Region 15'!$S$2:$S$500,$A146)</f>
        <v>#DIV/0!</v>
      </c>
      <c r="M146" t="e">
        <f ca="1">AVERAGEIFS('Region 15'!$W$2:$W$500,'Region 15'!$A$2:$A$500,M$1,'Region 15'!$X$2:$X$500,$D146,'Region 15'!$S$2:$S$500,$A146)</f>
        <v>#DIV/0!</v>
      </c>
      <c r="N146" t="e">
        <f ca="1">AVERAGEIFS('Region 15'!$W$2:$W$500,'Region 15'!$A$2:$A$500,N$1,'Region 15'!$X$2:$X$500,$D146,'Region 15'!$S$2:$S$500,$A146)</f>
        <v>#DIV/0!</v>
      </c>
      <c r="Q146" t="str">
        <f t="shared" si="77"/>
        <v>Steel</v>
      </c>
      <c r="R146" t="str">
        <f t="shared" si="78"/>
        <v>Semi-detached</v>
      </c>
      <c r="S146">
        <f t="shared" si="79"/>
        <v>15</v>
      </c>
      <c r="T146" t="str">
        <f t="shared" ca="1" si="59"/>
        <v>-</v>
      </c>
      <c r="U146" t="str">
        <f t="shared" ca="1" si="60"/>
        <v>-</v>
      </c>
      <c r="V146" t="str">
        <f t="shared" ca="1" si="61"/>
        <v>-</v>
      </c>
      <c r="W146" t="str">
        <f t="shared" ca="1" si="62"/>
        <v>-</v>
      </c>
      <c r="X146" t="str">
        <f t="shared" ca="1" si="63"/>
        <v>-</v>
      </c>
      <c r="Y146" t="str">
        <f t="shared" ca="1" si="64"/>
        <v>-</v>
      </c>
      <c r="Z146" t="str">
        <f t="shared" ca="1" si="65"/>
        <v>-</v>
      </c>
      <c r="AA146" t="str">
        <f t="shared" ca="1" si="66"/>
        <v>-</v>
      </c>
      <c r="AB146" t="str">
        <f t="shared" ca="1" si="67"/>
        <v>-</v>
      </c>
      <c r="AC146" t="str">
        <f t="shared" ca="1" si="68"/>
        <v>-</v>
      </c>
    </row>
    <row r="147" spans="1:29" x14ac:dyDescent="0.3">
      <c r="A147" t="s">
        <v>30</v>
      </c>
      <c r="B147" t="str">
        <f t="shared" ref="B147:D147" si="87">B43</f>
        <v>Semi-detached</v>
      </c>
      <c r="C147">
        <f t="shared" si="87"/>
        <v>16</v>
      </c>
      <c r="D147">
        <f t="shared" si="87"/>
        <v>2</v>
      </c>
      <c r="E147" t="e">
        <f ca="1">AVERAGEIFS('Region 16'!$W$2:$W$500,'Region 16'!$A$2:$A$500,E$1,'Region 16'!$X$2:$X$500,$D147,'Region 16'!$S$2:$S$500,$A147)</f>
        <v>#DIV/0!</v>
      </c>
      <c r="F147" t="e">
        <f ca="1">AVERAGEIFS('Region 16'!$W$2:$W$500,'Region 16'!$A$2:$A$500,F$1,'Region 16'!$X$2:$X$500,$D147,'Region 16'!$S$2:$S$500,$A147)</f>
        <v>#DIV/0!</v>
      </c>
      <c r="G147" t="e">
        <f ca="1">AVERAGEIFS('Region 16'!$W$2:$W$500,'Region 16'!$A$2:$A$500,G$1,'Region 16'!$X$2:$X$500,$D147,'Region 16'!$S$2:$S$500,$A147)</f>
        <v>#DIV/0!</v>
      </c>
      <c r="H147" t="e">
        <f ca="1">AVERAGEIFS('Region 16'!$W$2:$W$500,'Region 16'!$A$2:$A$500,H$1,'Region 16'!$X$2:$X$500,$D147,'Region 16'!$S$2:$S$500,$A147)</f>
        <v>#DIV/0!</v>
      </c>
      <c r="I147" t="e">
        <f ca="1">AVERAGEIFS('Region 16'!$W$2:$W$500,'Region 16'!$A$2:$A$500,I$1,'Region 16'!$X$2:$X$500,$D147,'Region 16'!$S$2:$S$500,$A147)</f>
        <v>#DIV/0!</v>
      </c>
      <c r="J147" t="e">
        <f ca="1">AVERAGEIFS('Region 16'!$W$2:$W$500,'Region 16'!$A$2:$A$500,J$1,'Region 16'!$X$2:$X$500,$D147,'Region 16'!$S$2:$S$500,$A147)</f>
        <v>#DIV/0!</v>
      </c>
      <c r="K147" t="e">
        <f ca="1">AVERAGEIFS('Region 16'!$W$2:$W$500,'Region 16'!$A$2:$A$500,K$1,'Region 16'!$X$2:$X$500,$D147,'Region 16'!$S$2:$S$500,$A147)</f>
        <v>#DIV/0!</v>
      </c>
      <c r="L147" t="e">
        <f ca="1">AVERAGEIFS('Region 16'!$W$2:$W$500,'Region 16'!$A$2:$A$500,L$1,'Region 16'!$X$2:$X$500,$D147,'Region 16'!$S$2:$S$500,$A147)</f>
        <v>#DIV/0!</v>
      </c>
      <c r="M147" t="e">
        <f ca="1">AVERAGEIFS('Region 16'!$W$2:$W$500,'Region 16'!$A$2:$A$500,M$1,'Region 16'!$X$2:$X$500,$D147,'Region 16'!$S$2:$S$500,$A147)</f>
        <v>#DIV/0!</v>
      </c>
      <c r="N147" t="e">
        <f ca="1">AVERAGEIFS('Region 16'!$W$2:$W$500,'Region 16'!$A$2:$A$500,N$1,'Region 16'!$X$2:$X$500,$D147,'Region 16'!$S$2:$S$500,$A147)</f>
        <v>#DIV/0!</v>
      </c>
      <c r="Q147" t="str">
        <f t="shared" si="77"/>
        <v>Steel</v>
      </c>
      <c r="R147" t="str">
        <f t="shared" si="78"/>
        <v>Semi-detached</v>
      </c>
      <c r="S147">
        <f t="shared" si="79"/>
        <v>16</v>
      </c>
      <c r="T147" t="str">
        <f t="shared" ca="1" si="59"/>
        <v>-</v>
      </c>
      <c r="U147" t="str">
        <f t="shared" ca="1" si="60"/>
        <v>-</v>
      </c>
      <c r="V147" t="str">
        <f t="shared" ca="1" si="61"/>
        <v>-</v>
      </c>
      <c r="W147" t="str">
        <f t="shared" ca="1" si="62"/>
        <v>-</v>
      </c>
      <c r="X147" t="str">
        <f t="shared" ca="1" si="63"/>
        <v>-</v>
      </c>
      <c r="Y147" t="str">
        <f t="shared" ca="1" si="64"/>
        <v>-</v>
      </c>
      <c r="Z147" t="str">
        <f t="shared" ca="1" si="65"/>
        <v>-</v>
      </c>
      <c r="AA147" t="str">
        <f t="shared" ca="1" si="66"/>
        <v>-</v>
      </c>
      <c r="AB147" t="str">
        <f t="shared" ca="1" si="67"/>
        <v>-</v>
      </c>
      <c r="AC147" t="str">
        <f t="shared" ca="1" si="68"/>
        <v>-</v>
      </c>
    </row>
    <row r="148" spans="1:29" x14ac:dyDescent="0.3">
      <c r="A148" t="s">
        <v>30</v>
      </c>
      <c r="B148" t="str">
        <f t="shared" ref="B148:D148" si="88">B44</f>
        <v>Semi-detached</v>
      </c>
      <c r="C148">
        <f t="shared" si="88"/>
        <v>17</v>
      </c>
      <c r="D148">
        <f t="shared" si="88"/>
        <v>2</v>
      </c>
      <c r="E148" t="e">
        <f>AVERAGEIFS('Region 17'!$W$2:$W$498,'Region 17'!$A$2:$A$498,E$1,'Region 17'!$X$2:$X$498,$D148,'Region 17'!$S$2:$S$498,$A148)</f>
        <v>#DIV/0!</v>
      </c>
      <c r="F148" t="e">
        <f>AVERAGEIFS('Region 17'!$W$2:$W$498,'Region 17'!$A$2:$A$498,F$1,'Region 17'!$X$2:$X$498,$D148,'Region 17'!$S$2:$S$498,$A148)</f>
        <v>#DIV/0!</v>
      </c>
      <c r="G148" t="e">
        <f>AVERAGEIFS('Region 17'!$W$2:$W$498,'Region 17'!$A$2:$A$498,G$1,'Region 17'!$X$2:$X$498,$D148,'Region 17'!$S$2:$S$498,$A148)</f>
        <v>#DIV/0!</v>
      </c>
      <c r="H148" t="e">
        <f>AVERAGEIFS('Region 17'!$W$2:$W$498,'Region 17'!$A$2:$A$498,H$1,'Region 17'!$X$2:$X$498,$D148,'Region 17'!$S$2:$S$498,$A148)</f>
        <v>#DIV/0!</v>
      </c>
      <c r="I148" t="e">
        <f>AVERAGEIFS('Region 17'!$W$2:$W$498,'Region 17'!$A$2:$A$498,I$1,'Region 17'!$X$2:$X$498,$D148,'Region 17'!$S$2:$S$498,$A148)</f>
        <v>#DIV/0!</v>
      </c>
      <c r="J148" t="e">
        <f>AVERAGEIFS('Region 17'!$W$2:$W$498,'Region 17'!$A$2:$A$498,J$1,'Region 17'!$X$2:$X$498,$D148,'Region 17'!$S$2:$S$498,$A148)</f>
        <v>#DIV/0!</v>
      </c>
      <c r="K148" t="e">
        <f>AVERAGEIFS('Region 17'!$W$2:$W$498,'Region 17'!$A$2:$A$498,K$1,'Region 17'!$X$2:$X$498,$D148,'Region 17'!$S$2:$S$498,$A148)</f>
        <v>#DIV/0!</v>
      </c>
      <c r="L148" t="e">
        <f>AVERAGEIFS('Region 17'!$W$2:$W$498,'Region 17'!$A$2:$A$498,L$1,'Region 17'!$X$2:$X$498,$D148,'Region 17'!$S$2:$S$498,$A148)</f>
        <v>#DIV/0!</v>
      </c>
      <c r="M148" t="e">
        <f>AVERAGEIFS('Region 17'!$W$2:$W$498,'Region 17'!$A$2:$A$498,M$1,'Region 17'!$X$2:$X$498,$D148,'Region 17'!$S$2:$S$498,$A148)</f>
        <v>#DIV/0!</v>
      </c>
      <c r="N148" t="e">
        <f>AVERAGEIFS('Region 17'!$W$2:$W$498,'Region 17'!$A$2:$A$498,N$1,'Region 17'!$X$2:$X$498,$D148,'Region 17'!$S$2:$S$498,$A148)</f>
        <v>#DIV/0!</v>
      </c>
      <c r="Q148" t="str">
        <f t="shared" si="77"/>
        <v>Steel</v>
      </c>
      <c r="R148" t="str">
        <f t="shared" si="78"/>
        <v>Semi-detached</v>
      </c>
      <c r="S148">
        <f t="shared" si="79"/>
        <v>17</v>
      </c>
      <c r="T148" t="str">
        <f t="shared" si="59"/>
        <v>-</v>
      </c>
      <c r="U148" t="str">
        <f t="shared" si="60"/>
        <v>-</v>
      </c>
      <c r="V148" t="str">
        <f t="shared" si="61"/>
        <v>-</v>
      </c>
      <c r="W148" t="str">
        <f t="shared" si="62"/>
        <v>-</v>
      </c>
      <c r="X148" t="str">
        <f t="shared" si="63"/>
        <v>-</v>
      </c>
      <c r="Y148" t="str">
        <f t="shared" si="64"/>
        <v>-</v>
      </c>
      <c r="Z148" t="str">
        <f t="shared" si="65"/>
        <v>-</v>
      </c>
      <c r="AA148" t="str">
        <f t="shared" si="66"/>
        <v>-</v>
      </c>
      <c r="AB148" t="str">
        <f t="shared" si="67"/>
        <v>-</v>
      </c>
      <c r="AC148" t="str">
        <f t="shared" si="68"/>
        <v>-</v>
      </c>
    </row>
    <row r="149" spans="1:29" x14ac:dyDescent="0.3">
      <c r="A149" t="s">
        <v>30</v>
      </c>
      <c r="B149" t="str">
        <f t="shared" ref="B149:D149" si="89">B45</f>
        <v>Semi-detached</v>
      </c>
      <c r="C149">
        <f t="shared" si="89"/>
        <v>18</v>
      </c>
      <c r="D149">
        <f t="shared" si="89"/>
        <v>2</v>
      </c>
      <c r="E149" t="e">
        <f>AVERAGEIFS('Region 18'!$W$2:$W$468,'Region 18'!$A$2:$A$468,E$1,'Region 18'!$X$2:$X$468,$D149,'Region 18'!$S$2:$S$468,$A149)</f>
        <v>#DIV/0!</v>
      </c>
      <c r="F149" t="e">
        <f>AVERAGEIFS('Region 18'!$W$2:$W$468,'Region 18'!$A$2:$A$468,F$1,'Region 18'!$X$2:$X$468,$D149,'Region 18'!$S$2:$S$468,$A149)</f>
        <v>#DIV/0!</v>
      </c>
      <c r="G149" t="e">
        <f>AVERAGEIFS('Region 18'!$W$2:$W$468,'Region 18'!$A$2:$A$468,G$1,'Region 18'!$X$2:$X$468,$D149,'Region 18'!$S$2:$S$468,$A149)</f>
        <v>#DIV/0!</v>
      </c>
      <c r="H149" t="e">
        <f>AVERAGEIFS('Region 18'!$W$2:$W$468,'Region 18'!$A$2:$A$468,H$1,'Region 18'!$X$2:$X$468,$D149,'Region 18'!$S$2:$S$468,$A149)</f>
        <v>#DIV/0!</v>
      </c>
      <c r="I149" t="e">
        <f>AVERAGEIFS('Region 18'!$W$2:$W$468,'Region 18'!$A$2:$A$468,I$1,'Region 18'!$X$2:$X$468,$D149,'Region 18'!$S$2:$S$468,$A149)</f>
        <v>#DIV/0!</v>
      </c>
      <c r="J149" t="e">
        <f>AVERAGEIFS('Region 18'!$W$2:$W$468,'Region 18'!$A$2:$A$468,J$1,'Region 18'!$X$2:$X$468,$D149,'Region 18'!$S$2:$S$468,$A149)</f>
        <v>#DIV/0!</v>
      </c>
      <c r="K149" t="e">
        <f>AVERAGEIFS('Region 18'!$W$2:$W$468,'Region 18'!$A$2:$A$468,K$1,'Region 18'!$X$2:$X$468,$D149,'Region 18'!$S$2:$S$468,$A149)</f>
        <v>#DIV/0!</v>
      </c>
      <c r="L149" t="e">
        <f>AVERAGEIFS('Region 18'!$W$2:$W$468,'Region 18'!$A$2:$A$468,L$1,'Region 18'!$X$2:$X$468,$D149,'Region 18'!$S$2:$S$468,$A149)</f>
        <v>#DIV/0!</v>
      </c>
      <c r="M149" t="e">
        <f>AVERAGEIFS('Region 18'!$W$2:$W$468,'Region 18'!$A$2:$A$468,M$1,'Region 18'!$X$2:$X$468,$D149,'Region 18'!$S$2:$S$468,$A149)</f>
        <v>#DIV/0!</v>
      </c>
      <c r="N149" t="e">
        <f>AVERAGEIFS('Region 18'!$W$2:$W$468,'Region 18'!$A$2:$A$468,N$1,'Region 18'!$X$2:$X$468,$D149,'Region 18'!$S$2:$S$468,$A149)</f>
        <v>#DIV/0!</v>
      </c>
      <c r="Q149" t="str">
        <f t="shared" si="77"/>
        <v>Steel</v>
      </c>
      <c r="R149" t="str">
        <f t="shared" si="78"/>
        <v>Semi-detached</v>
      </c>
      <c r="S149">
        <f t="shared" si="79"/>
        <v>18</v>
      </c>
      <c r="T149" t="str">
        <f t="shared" si="59"/>
        <v>-</v>
      </c>
      <c r="U149" t="str">
        <f t="shared" si="60"/>
        <v>-</v>
      </c>
      <c r="V149" t="str">
        <f t="shared" si="61"/>
        <v>-</v>
      </c>
      <c r="W149" t="str">
        <f t="shared" si="62"/>
        <v>-</v>
      </c>
      <c r="X149" t="str">
        <f t="shared" si="63"/>
        <v>-</v>
      </c>
      <c r="Y149" t="str">
        <f t="shared" si="64"/>
        <v>-</v>
      </c>
      <c r="Z149" t="str">
        <f t="shared" si="65"/>
        <v>-</v>
      </c>
      <c r="AA149" t="str">
        <f t="shared" si="66"/>
        <v>-</v>
      </c>
      <c r="AB149" t="str">
        <f t="shared" si="67"/>
        <v>-</v>
      </c>
      <c r="AC149" t="str">
        <f t="shared" si="68"/>
        <v>-</v>
      </c>
    </row>
    <row r="150" spans="1:29" x14ac:dyDescent="0.3">
      <c r="A150" t="s">
        <v>30</v>
      </c>
      <c r="B150" t="str">
        <f t="shared" ref="B150:D150" si="90">B46</f>
        <v>Semi-detached</v>
      </c>
      <c r="C150">
        <f t="shared" si="90"/>
        <v>19</v>
      </c>
      <c r="D150">
        <f t="shared" si="90"/>
        <v>2</v>
      </c>
      <c r="E150" t="e">
        <f>AVERAGEIFS('Region 19'!$W$2:$W$494,'Region 19'!$A$2:$A$494,E$1,'Region 19'!$X$2:$X$494,$D150,'Region 19'!$S$2:$S$494,$A150)</f>
        <v>#DIV/0!</v>
      </c>
      <c r="F150" t="e">
        <f>AVERAGEIFS('Region 19'!$W$2:$W$494,'Region 19'!$A$2:$A$494,F$1,'Region 19'!$X$2:$X$494,$D150,'Region 19'!$S$2:$S$494,$A150)</f>
        <v>#DIV/0!</v>
      </c>
      <c r="G150" t="e">
        <f>AVERAGEIFS('Region 19'!$W$2:$W$494,'Region 19'!$A$2:$A$494,G$1,'Region 19'!$X$2:$X$494,$D150,'Region 19'!$S$2:$S$494,$A150)</f>
        <v>#DIV/0!</v>
      </c>
      <c r="H150" t="e">
        <f>AVERAGEIFS('Region 19'!$W$2:$W$494,'Region 19'!$A$2:$A$494,H$1,'Region 19'!$X$2:$X$494,$D150,'Region 19'!$S$2:$S$494,$A150)</f>
        <v>#DIV/0!</v>
      </c>
      <c r="I150" t="e">
        <f>AVERAGEIFS('Region 19'!$W$2:$W$494,'Region 19'!$A$2:$A$494,I$1,'Region 19'!$X$2:$X$494,$D150,'Region 19'!$S$2:$S$494,$A150)</f>
        <v>#DIV/0!</v>
      </c>
      <c r="J150" t="e">
        <f>AVERAGEIFS('Region 19'!$W$2:$W$494,'Region 19'!$A$2:$A$494,J$1,'Region 19'!$X$2:$X$494,$D150,'Region 19'!$S$2:$S$494,$A150)</f>
        <v>#DIV/0!</v>
      </c>
      <c r="K150" t="e">
        <f>AVERAGEIFS('Region 19'!$W$2:$W$494,'Region 19'!$A$2:$A$494,K$1,'Region 19'!$X$2:$X$494,$D150,'Region 19'!$S$2:$S$494,$A150)</f>
        <v>#DIV/0!</v>
      </c>
      <c r="L150" t="e">
        <f>AVERAGEIFS('Region 19'!$W$2:$W$494,'Region 19'!$A$2:$A$494,L$1,'Region 19'!$X$2:$X$494,$D150,'Region 19'!$S$2:$S$494,$A150)</f>
        <v>#DIV/0!</v>
      </c>
      <c r="M150" t="e">
        <f>AVERAGEIFS('Region 19'!$W$2:$W$494,'Region 19'!$A$2:$A$494,M$1,'Region 19'!$X$2:$X$494,$D150,'Region 19'!$S$2:$S$494,$A150)</f>
        <v>#DIV/0!</v>
      </c>
      <c r="N150" t="e">
        <f>AVERAGEIFS('Region 19'!$W$2:$W$494,'Region 19'!$A$2:$A$494,N$1,'Region 19'!$X$2:$X$494,$D150,'Region 19'!$S$2:$S$494,$A150)</f>
        <v>#DIV/0!</v>
      </c>
      <c r="Q150" t="str">
        <f t="shared" si="77"/>
        <v>Steel</v>
      </c>
      <c r="R150" t="str">
        <f t="shared" si="78"/>
        <v>Semi-detached</v>
      </c>
      <c r="S150">
        <f t="shared" si="79"/>
        <v>19</v>
      </c>
      <c r="T150" t="str">
        <f t="shared" si="59"/>
        <v>-</v>
      </c>
      <c r="U150" t="str">
        <f t="shared" si="60"/>
        <v>-</v>
      </c>
      <c r="V150" t="str">
        <f t="shared" si="61"/>
        <v>-</v>
      </c>
      <c r="W150" t="str">
        <f t="shared" si="62"/>
        <v>-</v>
      </c>
      <c r="X150" t="str">
        <f t="shared" si="63"/>
        <v>-</v>
      </c>
      <c r="Y150" t="str">
        <f t="shared" si="64"/>
        <v>-</v>
      </c>
      <c r="Z150" t="str">
        <f t="shared" si="65"/>
        <v>-</v>
      </c>
      <c r="AA150" t="str">
        <f t="shared" si="66"/>
        <v>-</v>
      </c>
      <c r="AB150" t="str">
        <f t="shared" si="67"/>
        <v>-</v>
      </c>
      <c r="AC150" t="str">
        <f t="shared" si="68"/>
        <v>-</v>
      </c>
    </row>
    <row r="151" spans="1:29" x14ac:dyDescent="0.3">
      <c r="A151" t="s">
        <v>30</v>
      </c>
      <c r="B151" t="str">
        <f t="shared" ref="B151:D151" si="91">B47</f>
        <v>Semi-detached</v>
      </c>
      <c r="C151">
        <f t="shared" si="91"/>
        <v>20</v>
      </c>
      <c r="D151">
        <f t="shared" si="91"/>
        <v>2</v>
      </c>
      <c r="E151" t="e">
        <f>AVERAGEIFS('Region 20'!$W$2:$W$269,'Region 20'!$A$2:$A$269,E$1,'Region 20'!$X$2:$X$269,$D151,'Region 20'!$S$2:$S$269,$A151)</f>
        <v>#DIV/0!</v>
      </c>
      <c r="F151" t="e">
        <f>AVERAGEIFS('Region 20'!$W$2:$W$269,'Region 20'!$A$2:$A$269,F$1,'Region 20'!$X$2:$X$269,$D151,'Region 20'!$S$2:$S$269,$A151)</f>
        <v>#DIV/0!</v>
      </c>
      <c r="G151" t="e">
        <f>AVERAGEIFS('Region 20'!$W$2:$W$269,'Region 20'!$A$2:$A$269,G$1,'Region 20'!$X$2:$X$269,$D151,'Region 20'!$S$2:$S$269,$A151)</f>
        <v>#DIV/0!</v>
      </c>
      <c r="H151" t="e">
        <f>AVERAGEIFS('Region 20'!$W$2:$W$269,'Region 20'!$A$2:$A$269,H$1,'Region 20'!$X$2:$X$269,$D151,'Region 20'!$S$2:$S$269,$A151)</f>
        <v>#DIV/0!</v>
      </c>
      <c r="I151" t="e">
        <f>AVERAGEIFS('Region 20'!$W$2:$W$269,'Region 20'!$A$2:$A$269,I$1,'Region 20'!$X$2:$X$269,$D151,'Region 20'!$S$2:$S$269,$A151)</f>
        <v>#DIV/0!</v>
      </c>
      <c r="J151" t="e">
        <f>AVERAGEIFS('Region 20'!$W$2:$W$269,'Region 20'!$A$2:$A$269,J$1,'Region 20'!$X$2:$X$269,$D151,'Region 20'!$S$2:$S$269,$A151)</f>
        <v>#DIV/0!</v>
      </c>
      <c r="K151" t="e">
        <f>AVERAGEIFS('Region 20'!$W$2:$W$269,'Region 20'!$A$2:$A$269,K$1,'Region 20'!$X$2:$X$269,$D151,'Region 20'!$S$2:$S$269,$A151)</f>
        <v>#DIV/0!</v>
      </c>
      <c r="L151" t="e">
        <f>AVERAGEIFS('Region 20'!$W$2:$W$269,'Region 20'!$A$2:$A$269,L$1,'Region 20'!$X$2:$X$269,$D151,'Region 20'!$S$2:$S$269,$A151)</f>
        <v>#DIV/0!</v>
      </c>
      <c r="M151" t="e">
        <f>AVERAGEIFS('Region 20'!$W$2:$W$269,'Region 20'!$A$2:$A$269,M$1,'Region 20'!$X$2:$X$269,$D151,'Region 20'!$S$2:$S$269,$A151)</f>
        <v>#DIV/0!</v>
      </c>
      <c r="N151" t="e">
        <f>AVERAGEIFS('Region 20'!$W$2:$W$269,'Region 20'!$A$2:$A$269,N$1,'Region 20'!$X$2:$X$269,$D151,'Region 20'!$S$2:$S$269,$A151)</f>
        <v>#DIV/0!</v>
      </c>
      <c r="Q151" t="str">
        <f t="shared" si="77"/>
        <v>Steel</v>
      </c>
      <c r="R151" t="str">
        <f t="shared" si="78"/>
        <v>Semi-detached</v>
      </c>
      <c r="S151">
        <f t="shared" si="79"/>
        <v>20</v>
      </c>
      <c r="T151" t="str">
        <f t="shared" si="59"/>
        <v>-</v>
      </c>
      <c r="U151" t="str">
        <f t="shared" si="60"/>
        <v>-</v>
      </c>
      <c r="V151" t="str">
        <f t="shared" si="61"/>
        <v>-</v>
      </c>
      <c r="W151" t="str">
        <f t="shared" si="62"/>
        <v>-</v>
      </c>
      <c r="X151" t="str">
        <f t="shared" si="63"/>
        <v>-</v>
      </c>
      <c r="Y151" t="str">
        <f t="shared" si="64"/>
        <v>-</v>
      </c>
      <c r="Z151" t="str">
        <f t="shared" si="65"/>
        <v>-</v>
      </c>
      <c r="AA151" t="str">
        <f t="shared" si="66"/>
        <v>-</v>
      </c>
      <c r="AB151" t="str">
        <f t="shared" si="67"/>
        <v>-</v>
      </c>
      <c r="AC151" t="str">
        <f t="shared" si="68"/>
        <v>-</v>
      </c>
    </row>
    <row r="152" spans="1:29" x14ac:dyDescent="0.3">
      <c r="A152" t="s">
        <v>30</v>
      </c>
      <c r="B152" t="str">
        <f t="shared" ref="B152:D152" si="92">B48</f>
        <v>Semi-detached</v>
      </c>
      <c r="C152">
        <f t="shared" si="92"/>
        <v>21</v>
      </c>
      <c r="D152">
        <f t="shared" si="92"/>
        <v>2</v>
      </c>
      <c r="E152" t="e">
        <f>AVERAGEIFS('Region 21'!$W$2:$W$497,'Region 21'!$A$2:$A$497,E$1,'Region 21'!$X$2:$X$497,$D152,'Region 21'!$S$2:$S$497,$A152)</f>
        <v>#DIV/0!</v>
      </c>
      <c r="F152">
        <f>AVERAGEIFS('Region 21'!$W$2:$W$497,'Region 21'!$A$2:$A$497,F$1,'Region 21'!$X$2:$X$497,$D152,'Region 21'!$S$2:$S$497,$A152)</f>
        <v>37.927913279132788</v>
      </c>
      <c r="G152" t="e">
        <f>AVERAGEIFS('Region 21'!$W$2:$W$497,'Region 21'!$A$2:$A$497,G$1,'Region 21'!$X$2:$X$497,$D152,'Region 21'!$S$2:$S$497,$A152)</f>
        <v>#DIV/0!</v>
      </c>
      <c r="H152" t="e">
        <f>AVERAGEIFS('Region 21'!$W$2:$W$497,'Region 21'!$A$2:$A$497,H$1,'Region 21'!$X$2:$X$497,$D152,'Region 21'!$S$2:$S$497,$A152)</f>
        <v>#DIV/0!</v>
      </c>
      <c r="I152" t="e">
        <f>AVERAGEIFS('Region 21'!$W$2:$W$497,'Region 21'!$A$2:$A$497,I$1,'Region 21'!$X$2:$X$497,$D152,'Region 21'!$S$2:$S$497,$A152)</f>
        <v>#DIV/0!</v>
      </c>
      <c r="J152" t="e">
        <f>AVERAGEIFS('Region 21'!$W$2:$W$497,'Region 21'!$A$2:$A$497,J$1,'Region 21'!$X$2:$X$497,$D152,'Region 21'!$S$2:$S$497,$A152)</f>
        <v>#DIV/0!</v>
      </c>
      <c r="K152" t="e">
        <f>AVERAGEIFS('Region 21'!$W$2:$W$497,'Region 21'!$A$2:$A$497,K$1,'Region 21'!$X$2:$X$497,$D152,'Region 21'!$S$2:$S$497,$A152)</f>
        <v>#DIV/0!</v>
      </c>
      <c r="L152" t="e">
        <f>AVERAGEIFS('Region 21'!$W$2:$W$497,'Region 21'!$A$2:$A$497,L$1,'Region 21'!$X$2:$X$497,$D152,'Region 21'!$S$2:$S$497,$A152)</f>
        <v>#DIV/0!</v>
      </c>
      <c r="M152" t="e">
        <f>AVERAGEIFS('Region 21'!$W$2:$W$497,'Region 21'!$A$2:$A$497,M$1,'Region 21'!$X$2:$X$497,$D152,'Region 21'!$S$2:$S$497,$A152)</f>
        <v>#DIV/0!</v>
      </c>
      <c r="N152" t="e">
        <f>AVERAGEIFS('Region 21'!$W$2:$W$497,'Region 21'!$A$2:$A$497,N$1,'Region 21'!$X$2:$X$497,$D152,'Region 21'!$S$2:$S$497,$A152)</f>
        <v>#DIV/0!</v>
      </c>
      <c r="Q152" t="str">
        <f t="shared" si="77"/>
        <v>Steel</v>
      </c>
      <c r="R152" t="str">
        <f t="shared" si="78"/>
        <v>Semi-detached</v>
      </c>
      <c r="S152">
        <f t="shared" si="79"/>
        <v>21</v>
      </c>
      <c r="T152" t="str">
        <f t="shared" si="59"/>
        <v>-</v>
      </c>
      <c r="U152">
        <f t="shared" si="60"/>
        <v>37.927913279132788</v>
      </c>
      <c r="V152" t="str">
        <f t="shared" si="61"/>
        <v>-</v>
      </c>
      <c r="W152" t="str">
        <f t="shared" si="62"/>
        <v>-</v>
      </c>
      <c r="X152" t="str">
        <f t="shared" si="63"/>
        <v>-</v>
      </c>
      <c r="Y152" t="str">
        <f t="shared" si="64"/>
        <v>-</v>
      </c>
      <c r="Z152" t="str">
        <f t="shared" si="65"/>
        <v>-</v>
      </c>
      <c r="AA152" t="str">
        <f t="shared" si="66"/>
        <v>-</v>
      </c>
      <c r="AB152" t="str">
        <f t="shared" si="67"/>
        <v>-</v>
      </c>
      <c r="AC152" t="str">
        <f t="shared" si="68"/>
        <v>-</v>
      </c>
    </row>
    <row r="153" spans="1:29" x14ac:dyDescent="0.3">
      <c r="A153" t="s">
        <v>30</v>
      </c>
      <c r="B153" t="str">
        <f t="shared" ref="B153:D153" si="93">B49</f>
        <v>Semi-detached</v>
      </c>
      <c r="C153">
        <f t="shared" si="93"/>
        <v>22</v>
      </c>
      <c r="D153">
        <f t="shared" si="93"/>
        <v>2</v>
      </c>
      <c r="E153" t="e">
        <f>AVERAGEIFS('Region 22'!$W$2:$W$510,'Region 22'!$A$2:$A$510,E$1,'Region 22'!$X$2:$X$510,$D153,'Region 22'!$S$2:$S$510,$A153)</f>
        <v>#DIV/0!</v>
      </c>
      <c r="F153" t="e">
        <f>AVERAGEIFS('Region 22'!$W$2:$W$510,'Region 22'!$A$2:$A$510,F$1,'Region 22'!$X$2:$X$510,$D153,'Region 22'!$S$2:$S$510,$A153)</f>
        <v>#DIV/0!</v>
      </c>
      <c r="G153" t="e">
        <f>AVERAGEIFS('Region 22'!$W$2:$W$510,'Region 22'!$A$2:$A$510,G$1,'Region 22'!$X$2:$X$510,$D153,'Region 22'!$S$2:$S$510,$A153)</f>
        <v>#DIV/0!</v>
      </c>
      <c r="H153" t="e">
        <f>AVERAGEIFS('Region 22'!$W$2:$W$510,'Region 22'!$A$2:$A$510,H$1,'Region 22'!$X$2:$X$510,$D153,'Region 22'!$S$2:$S$510,$A153)</f>
        <v>#DIV/0!</v>
      </c>
      <c r="I153" t="e">
        <f>AVERAGEIFS('Region 22'!$W$2:$W$510,'Region 22'!$A$2:$A$510,I$1,'Region 22'!$X$2:$X$510,$D153,'Region 22'!$S$2:$S$510,$A153)</f>
        <v>#DIV/0!</v>
      </c>
      <c r="J153" t="e">
        <f>AVERAGEIFS('Region 22'!$W$2:$W$510,'Region 22'!$A$2:$A$510,J$1,'Region 22'!$X$2:$X$510,$D153,'Region 22'!$S$2:$S$510,$A153)</f>
        <v>#DIV/0!</v>
      </c>
      <c r="K153" t="e">
        <f>AVERAGEIFS('Region 22'!$W$2:$W$510,'Region 22'!$A$2:$A$510,K$1,'Region 22'!$X$2:$X$510,$D153,'Region 22'!$S$2:$S$510,$A153)</f>
        <v>#DIV/0!</v>
      </c>
      <c r="L153" t="e">
        <f>AVERAGEIFS('Region 22'!$W$2:$W$510,'Region 22'!$A$2:$A$510,L$1,'Region 22'!$X$2:$X$510,$D153,'Region 22'!$S$2:$S$510,$A153)</f>
        <v>#DIV/0!</v>
      </c>
      <c r="M153" t="e">
        <f>AVERAGEIFS('Region 22'!$W$2:$W$510,'Region 22'!$A$2:$A$510,M$1,'Region 22'!$X$2:$X$510,$D153,'Region 22'!$S$2:$S$510,$A153)</f>
        <v>#DIV/0!</v>
      </c>
      <c r="N153" t="e">
        <f>AVERAGEIFS('Region 22'!$W$2:$W$510,'Region 22'!$A$2:$A$510,N$1,'Region 22'!$X$2:$X$510,$D153,'Region 22'!$S$2:$S$510,$A153)</f>
        <v>#DIV/0!</v>
      </c>
      <c r="Q153" t="str">
        <f t="shared" si="77"/>
        <v>Steel</v>
      </c>
      <c r="R153" t="str">
        <f t="shared" si="78"/>
        <v>Semi-detached</v>
      </c>
      <c r="S153">
        <f t="shared" si="79"/>
        <v>22</v>
      </c>
      <c r="T153" t="str">
        <f t="shared" si="59"/>
        <v>-</v>
      </c>
      <c r="U153" t="str">
        <f t="shared" si="60"/>
        <v>-</v>
      </c>
      <c r="V153" t="str">
        <f t="shared" si="61"/>
        <v>-</v>
      </c>
      <c r="W153" t="str">
        <f t="shared" si="62"/>
        <v>-</v>
      </c>
      <c r="X153" t="str">
        <f t="shared" si="63"/>
        <v>-</v>
      </c>
      <c r="Y153" t="str">
        <f t="shared" si="64"/>
        <v>-</v>
      </c>
      <c r="Z153" t="str">
        <f t="shared" si="65"/>
        <v>-</v>
      </c>
      <c r="AA153" t="str">
        <f t="shared" si="66"/>
        <v>-</v>
      </c>
      <c r="AB153" t="str">
        <f t="shared" si="67"/>
        <v>-</v>
      </c>
      <c r="AC153" t="str">
        <f t="shared" si="68"/>
        <v>-</v>
      </c>
    </row>
    <row r="154" spans="1:29" x14ac:dyDescent="0.3">
      <c r="A154" t="s">
        <v>30</v>
      </c>
      <c r="B154" t="str">
        <f t="shared" ref="B154:D154" si="94">B50</f>
        <v>Semi-detached</v>
      </c>
      <c r="C154">
        <f t="shared" si="94"/>
        <v>23</v>
      </c>
      <c r="D154">
        <f t="shared" si="94"/>
        <v>2</v>
      </c>
      <c r="E154" t="e">
        <f>AVERAGEIFS('Region 23'!$W$2:$W$468,'Region 23'!$A$2:$A$468,E$1,'Region 23'!$X$2:$X$468,$D154,'Region 23'!$S$2:$S$468,$A154)</f>
        <v>#DIV/0!</v>
      </c>
      <c r="F154" t="e">
        <f>AVERAGEIFS('Region 23'!$W$2:$W$468,'Region 23'!$A$2:$A$468,F$1,'Region 23'!$X$2:$X$468,$D154,'Region 23'!$S$2:$S$468,$A154)</f>
        <v>#DIV/0!</v>
      </c>
      <c r="G154" t="e">
        <f>AVERAGEIFS('Region 23'!$W$2:$W$468,'Region 23'!$A$2:$A$468,G$1,'Region 23'!$X$2:$X$468,$D154,'Region 23'!$S$2:$S$468,$A154)</f>
        <v>#DIV/0!</v>
      </c>
      <c r="H154" t="e">
        <f>AVERAGEIFS('Region 23'!$W$2:$W$468,'Region 23'!$A$2:$A$468,H$1,'Region 23'!$X$2:$X$468,$D154,'Region 23'!$S$2:$S$468,$A154)</f>
        <v>#DIV/0!</v>
      </c>
      <c r="I154" t="e">
        <f>AVERAGEIFS('Region 23'!$W$2:$W$468,'Region 23'!$A$2:$A$468,I$1,'Region 23'!$X$2:$X$468,$D154,'Region 23'!$S$2:$S$468,$A154)</f>
        <v>#DIV/0!</v>
      </c>
      <c r="J154" t="e">
        <f>AVERAGEIFS('Region 23'!$W$2:$W$468,'Region 23'!$A$2:$A$468,J$1,'Region 23'!$X$2:$X$468,$D154,'Region 23'!$S$2:$S$468,$A154)</f>
        <v>#DIV/0!</v>
      </c>
      <c r="K154" t="e">
        <f>AVERAGEIFS('Region 23'!$W$2:$W$468,'Region 23'!$A$2:$A$468,K$1,'Region 23'!$X$2:$X$468,$D154,'Region 23'!$S$2:$S$468,$A154)</f>
        <v>#DIV/0!</v>
      </c>
      <c r="L154" t="e">
        <f>AVERAGEIFS('Region 23'!$W$2:$W$468,'Region 23'!$A$2:$A$468,L$1,'Region 23'!$X$2:$X$468,$D154,'Region 23'!$S$2:$S$468,$A154)</f>
        <v>#DIV/0!</v>
      </c>
      <c r="M154" t="e">
        <f>AVERAGEIFS('Region 23'!$W$2:$W$468,'Region 23'!$A$2:$A$468,M$1,'Region 23'!$X$2:$X$468,$D154,'Region 23'!$S$2:$S$468,$A154)</f>
        <v>#DIV/0!</v>
      </c>
      <c r="N154" t="e">
        <f>AVERAGEIFS('Region 23'!$W$2:$W$468,'Region 23'!$A$2:$A$468,N$1,'Region 23'!$X$2:$X$468,$D154,'Region 23'!$S$2:$S$468,$A154)</f>
        <v>#DIV/0!</v>
      </c>
      <c r="Q154" t="str">
        <f t="shared" si="77"/>
        <v>Steel</v>
      </c>
      <c r="R154" t="str">
        <f t="shared" si="78"/>
        <v>Semi-detached</v>
      </c>
      <c r="S154">
        <f t="shared" si="79"/>
        <v>23</v>
      </c>
      <c r="T154" t="str">
        <f t="shared" si="59"/>
        <v>-</v>
      </c>
      <c r="U154" t="str">
        <f t="shared" si="60"/>
        <v>-</v>
      </c>
      <c r="V154" t="str">
        <f t="shared" si="61"/>
        <v>-</v>
      </c>
      <c r="W154" t="str">
        <f t="shared" si="62"/>
        <v>-</v>
      </c>
      <c r="X154" t="str">
        <f t="shared" si="63"/>
        <v>-</v>
      </c>
      <c r="Y154" t="str">
        <f t="shared" si="64"/>
        <v>-</v>
      </c>
      <c r="Z154" t="str">
        <f t="shared" si="65"/>
        <v>-</v>
      </c>
      <c r="AA154" t="str">
        <f t="shared" si="66"/>
        <v>-</v>
      </c>
      <c r="AB154" t="str">
        <f t="shared" si="67"/>
        <v>-</v>
      </c>
      <c r="AC154" t="str">
        <f t="shared" si="68"/>
        <v>-</v>
      </c>
    </row>
    <row r="155" spans="1:29" x14ac:dyDescent="0.3">
      <c r="A155" t="s">
        <v>30</v>
      </c>
      <c r="B155" t="str">
        <f t="shared" ref="B155:D155" si="95">B51</f>
        <v>Semi-detached</v>
      </c>
      <c r="C155">
        <f t="shared" si="95"/>
        <v>24</v>
      </c>
      <c r="D155">
        <f t="shared" si="95"/>
        <v>2</v>
      </c>
      <c r="E155">
        <f>AVERAGEIFS('Region 24'!$W$2:$W$454,'Region 24'!$A$2:$A$454,E$1,'Region 24'!$X$2:$X$454,$D155,'Region 24'!$S$2:$S$454,$A155)</f>
        <v>35.583664021164019</v>
      </c>
      <c r="F155" t="e">
        <f>AVERAGEIFS('Region 24'!$W$2:$W$454,'Region 24'!$A$2:$A$454,F$1,'Region 24'!$X$2:$X$454,$D155,'Region 24'!$S$2:$S$454,$A155)</f>
        <v>#DIV/0!</v>
      </c>
      <c r="G155" t="e">
        <f>AVERAGEIFS('Region 24'!$W$2:$W$454,'Region 24'!$A$2:$A$454,G$1,'Region 24'!$X$2:$X$454,$D155,'Region 24'!$S$2:$S$454,$A155)</f>
        <v>#DIV/0!</v>
      </c>
      <c r="H155" t="e">
        <f>AVERAGEIFS('Region 24'!$W$2:$W$454,'Region 24'!$A$2:$A$454,H$1,'Region 24'!$X$2:$X$454,$D155,'Region 24'!$S$2:$S$454,$A155)</f>
        <v>#DIV/0!</v>
      </c>
      <c r="I155" t="e">
        <f>AVERAGEIFS('Region 24'!$W$2:$W$454,'Region 24'!$A$2:$A$454,I$1,'Region 24'!$X$2:$X$454,$D155,'Region 24'!$S$2:$S$454,$A155)</f>
        <v>#DIV/0!</v>
      </c>
      <c r="J155" t="e">
        <f>AVERAGEIFS('Region 24'!$W$2:$W$454,'Region 24'!$A$2:$A$454,J$1,'Region 24'!$X$2:$X$454,$D155,'Region 24'!$S$2:$S$454,$A155)</f>
        <v>#DIV/0!</v>
      </c>
      <c r="K155" t="e">
        <f>AVERAGEIFS('Region 24'!$W$2:$W$454,'Region 24'!$A$2:$A$454,K$1,'Region 24'!$X$2:$X$454,$D155,'Region 24'!$S$2:$S$454,$A155)</f>
        <v>#DIV/0!</v>
      </c>
      <c r="L155" t="e">
        <f>AVERAGEIFS('Region 24'!$W$2:$W$454,'Region 24'!$A$2:$A$454,L$1,'Region 24'!$X$2:$X$454,$D155,'Region 24'!$S$2:$S$454,$A155)</f>
        <v>#DIV/0!</v>
      </c>
      <c r="M155" t="e">
        <f>AVERAGEIFS('Region 24'!$W$2:$W$454,'Region 24'!$A$2:$A$454,M$1,'Region 24'!$X$2:$X$454,$D155,'Region 24'!$S$2:$S$454,$A155)</f>
        <v>#DIV/0!</v>
      </c>
      <c r="N155" t="e">
        <f>AVERAGEIFS('Region 24'!$W$2:$W$454,'Region 24'!$A$2:$A$454,N$1,'Region 24'!$X$2:$X$454,$D155,'Region 24'!$S$2:$S$454,$A155)</f>
        <v>#DIV/0!</v>
      </c>
      <c r="Q155" t="str">
        <f t="shared" si="77"/>
        <v>Steel</v>
      </c>
      <c r="R155" t="str">
        <f t="shared" si="78"/>
        <v>Semi-detached</v>
      </c>
      <c r="S155">
        <f t="shared" si="79"/>
        <v>24</v>
      </c>
      <c r="T155">
        <f t="shared" si="59"/>
        <v>35.583664021164019</v>
      </c>
      <c r="U155" t="str">
        <f t="shared" si="60"/>
        <v>-</v>
      </c>
      <c r="V155" t="str">
        <f t="shared" si="61"/>
        <v>-</v>
      </c>
      <c r="W155" t="str">
        <f t="shared" si="62"/>
        <v>-</v>
      </c>
      <c r="X155" t="str">
        <f t="shared" si="63"/>
        <v>-</v>
      </c>
      <c r="Y155" t="str">
        <f t="shared" si="64"/>
        <v>-</v>
      </c>
      <c r="Z155" t="str">
        <f t="shared" si="65"/>
        <v>-</v>
      </c>
      <c r="AA155" t="str">
        <f t="shared" si="66"/>
        <v>-</v>
      </c>
      <c r="AB155" t="str">
        <f t="shared" si="67"/>
        <v>-</v>
      </c>
      <c r="AC155" t="str">
        <f t="shared" si="68"/>
        <v>-</v>
      </c>
    </row>
    <row r="156" spans="1:29" x14ac:dyDescent="0.3">
      <c r="A156" t="s">
        <v>30</v>
      </c>
      <c r="B156" t="str">
        <f t="shared" ref="B156:D156" si="96">B52</f>
        <v>Semi-detached</v>
      </c>
      <c r="C156">
        <f t="shared" si="96"/>
        <v>25</v>
      </c>
      <c r="D156">
        <f t="shared" si="96"/>
        <v>2</v>
      </c>
      <c r="E156" t="e">
        <f>AVERAGEIFS('Region 25'!$W$2:$W$499,'Region 25'!$A$2:$A$499,E$1,'Region 25'!$X$2:$X$499,$D156,'Region 25'!$S$2:$S$499,$A156)</f>
        <v>#DIV/0!</v>
      </c>
      <c r="F156" t="e">
        <f>AVERAGEIFS('Region 25'!$W$2:$W$499,'Region 25'!$A$2:$A$499,F$1,'Region 25'!$X$2:$X$499,$D156,'Region 25'!$S$2:$S$499,$A156)</f>
        <v>#DIV/0!</v>
      </c>
      <c r="G156" t="e">
        <f>AVERAGEIFS('Region 25'!$W$2:$W$499,'Region 25'!$A$2:$A$499,G$1,'Region 25'!$X$2:$X$499,$D156,'Region 25'!$S$2:$S$499,$A156)</f>
        <v>#DIV/0!</v>
      </c>
      <c r="H156" t="e">
        <f>AVERAGEIFS('Region 25'!$W$2:$W$499,'Region 25'!$A$2:$A$499,H$1,'Region 25'!$X$2:$X$499,$D156,'Region 25'!$S$2:$S$499,$A156)</f>
        <v>#DIV/0!</v>
      </c>
      <c r="I156" t="e">
        <f>AVERAGEIFS('Region 25'!$W$2:$W$499,'Region 25'!$A$2:$A$499,I$1,'Region 25'!$X$2:$X$499,$D156,'Region 25'!$S$2:$S$499,$A156)</f>
        <v>#DIV/0!</v>
      </c>
      <c r="J156" t="e">
        <f>AVERAGEIFS('Region 25'!$W$2:$W$499,'Region 25'!$A$2:$A$499,J$1,'Region 25'!$X$2:$X$499,$D156,'Region 25'!$S$2:$S$499,$A156)</f>
        <v>#DIV/0!</v>
      </c>
      <c r="K156" t="e">
        <f>AVERAGEIFS('Region 25'!$W$2:$W$499,'Region 25'!$A$2:$A$499,K$1,'Region 25'!$X$2:$X$499,$D156,'Region 25'!$S$2:$S$499,$A156)</f>
        <v>#DIV/0!</v>
      </c>
      <c r="L156" t="e">
        <f>AVERAGEIFS('Region 25'!$W$2:$W$499,'Region 25'!$A$2:$A$499,L$1,'Region 25'!$X$2:$X$499,$D156,'Region 25'!$S$2:$S$499,$A156)</f>
        <v>#DIV/0!</v>
      </c>
      <c r="M156" t="e">
        <f>AVERAGEIFS('Region 25'!$W$2:$W$499,'Region 25'!$A$2:$A$499,M$1,'Region 25'!$X$2:$X$499,$D156,'Region 25'!$S$2:$S$499,$A156)</f>
        <v>#DIV/0!</v>
      </c>
      <c r="N156" t="e">
        <f>AVERAGEIFS('Region 25'!$W$2:$W$499,'Region 25'!$A$2:$A$499,N$1,'Region 25'!$X$2:$X$499,$D156,'Region 25'!$S$2:$S$499,$A156)</f>
        <v>#DIV/0!</v>
      </c>
      <c r="Q156" t="str">
        <f t="shared" si="77"/>
        <v>Steel</v>
      </c>
      <c r="R156" t="str">
        <f t="shared" si="78"/>
        <v>Semi-detached</v>
      </c>
      <c r="S156">
        <f t="shared" si="79"/>
        <v>25</v>
      </c>
      <c r="T156" t="str">
        <f t="shared" si="59"/>
        <v>-</v>
      </c>
      <c r="U156" t="str">
        <f t="shared" si="60"/>
        <v>-</v>
      </c>
      <c r="V156" t="str">
        <f t="shared" si="61"/>
        <v>-</v>
      </c>
      <c r="W156" t="str">
        <f t="shared" si="62"/>
        <v>-</v>
      </c>
      <c r="X156" t="str">
        <f t="shared" si="63"/>
        <v>-</v>
      </c>
      <c r="Y156" t="str">
        <f t="shared" si="64"/>
        <v>-</v>
      </c>
      <c r="Z156" t="str">
        <f t="shared" si="65"/>
        <v>-</v>
      </c>
      <c r="AA156" t="str">
        <f t="shared" si="66"/>
        <v>-</v>
      </c>
      <c r="AB156" t="str">
        <f t="shared" si="67"/>
        <v>-</v>
      </c>
      <c r="AC156" t="str">
        <f t="shared" si="68"/>
        <v>-</v>
      </c>
    </row>
    <row r="157" spans="1:29" x14ac:dyDescent="0.3">
      <c r="A157" t="s">
        <v>30</v>
      </c>
      <c r="B157" t="str">
        <f t="shared" ref="B157:D157" si="97">B53</f>
        <v>Semi-detached</v>
      </c>
      <c r="C157">
        <f t="shared" si="97"/>
        <v>26</v>
      </c>
      <c r="D157">
        <f t="shared" si="97"/>
        <v>2</v>
      </c>
      <c r="E157" t="e">
        <f ca="1">AVERAGEIFS('Region 26'!$W$2:$W$500,'Region 26'!$A$2:$A$500,E$1,'Region 26'!$X$2:$X$500,$D157,'Region 26'!$S$2:$S$500,$A157)</f>
        <v>#DIV/0!</v>
      </c>
      <c r="F157" t="e">
        <f ca="1">AVERAGEIFS('Region 26'!$W$2:$W$500,'Region 26'!$A$2:$A$500,F$1,'Region 26'!$X$2:$X$500,$D157,'Region 26'!$S$2:$S$500,$A157)</f>
        <v>#DIV/0!</v>
      </c>
      <c r="G157" t="e">
        <f ca="1">AVERAGEIFS('Region 26'!$W$2:$W$500,'Region 26'!$A$2:$A$500,G$1,'Region 26'!$X$2:$X$500,$D157,'Region 26'!$S$2:$S$500,$A157)</f>
        <v>#DIV/0!</v>
      </c>
      <c r="H157" t="e">
        <f ca="1">AVERAGEIFS('Region 26'!$W$2:$W$500,'Region 26'!$A$2:$A$500,H$1,'Region 26'!$X$2:$X$500,$D157,'Region 26'!$S$2:$S$500,$A157)</f>
        <v>#DIV/0!</v>
      </c>
      <c r="I157" t="e">
        <f ca="1">AVERAGEIFS('Region 26'!$W$2:$W$500,'Region 26'!$A$2:$A$500,I$1,'Region 26'!$X$2:$X$500,$D157,'Region 26'!$S$2:$S$500,$A157)</f>
        <v>#DIV/0!</v>
      </c>
      <c r="J157" t="e">
        <f ca="1">AVERAGEIFS('Region 26'!$W$2:$W$500,'Region 26'!$A$2:$A$500,J$1,'Region 26'!$X$2:$X$500,$D157,'Region 26'!$S$2:$S$500,$A157)</f>
        <v>#DIV/0!</v>
      </c>
      <c r="K157" t="e">
        <f ca="1">AVERAGEIFS('Region 26'!$W$2:$W$500,'Region 26'!$A$2:$A$500,K$1,'Region 26'!$X$2:$X$500,$D157,'Region 26'!$S$2:$S$500,$A157)</f>
        <v>#DIV/0!</v>
      </c>
      <c r="L157" t="e">
        <f ca="1">AVERAGEIFS('Region 26'!$W$2:$W$500,'Region 26'!$A$2:$A$500,L$1,'Region 26'!$X$2:$X$500,$D157,'Region 26'!$S$2:$S$500,$A157)</f>
        <v>#DIV/0!</v>
      </c>
      <c r="M157" t="e">
        <f ca="1">AVERAGEIFS('Region 26'!$W$2:$W$500,'Region 26'!$A$2:$A$500,M$1,'Region 26'!$X$2:$X$500,$D157,'Region 26'!$S$2:$S$500,$A157)</f>
        <v>#DIV/0!</v>
      </c>
      <c r="N157" t="e">
        <f ca="1">AVERAGEIFS('Region 26'!$W$2:$W$500,'Region 26'!$A$2:$A$500,N$1,'Region 26'!$X$2:$X$500,$D157,'Region 26'!$S$2:$S$500,$A157)</f>
        <v>#DIV/0!</v>
      </c>
      <c r="Q157" t="str">
        <f t="shared" si="77"/>
        <v>Steel</v>
      </c>
      <c r="R157" t="str">
        <f t="shared" si="78"/>
        <v>Semi-detached</v>
      </c>
      <c r="S157">
        <f t="shared" si="79"/>
        <v>26</v>
      </c>
      <c r="T157" t="str">
        <f t="shared" ca="1" si="59"/>
        <v>-</v>
      </c>
      <c r="U157" t="str">
        <f t="shared" ca="1" si="60"/>
        <v>-</v>
      </c>
      <c r="V157" t="str">
        <f t="shared" ca="1" si="61"/>
        <v>-</v>
      </c>
      <c r="W157" t="str">
        <f t="shared" ca="1" si="62"/>
        <v>-</v>
      </c>
      <c r="X157" t="str">
        <f t="shared" ca="1" si="63"/>
        <v>-</v>
      </c>
      <c r="Y157" t="str">
        <f t="shared" ca="1" si="64"/>
        <v>-</v>
      </c>
      <c r="Z157" t="str">
        <f t="shared" ca="1" si="65"/>
        <v>-</v>
      </c>
      <c r="AA157" t="str">
        <f t="shared" ca="1" si="66"/>
        <v>-</v>
      </c>
      <c r="AB157" t="str">
        <f t="shared" ca="1" si="67"/>
        <v>-</v>
      </c>
      <c r="AC157" t="str">
        <f t="shared" ca="1" si="68"/>
        <v>-</v>
      </c>
    </row>
    <row r="158" spans="1:29" x14ac:dyDescent="0.3">
      <c r="A158" t="s">
        <v>30</v>
      </c>
      <c r="B158" t="str">
        <f t="shared" ref="B158:D158" si="98">B54</f>
        <v>Appartments</v>
      </c>
      <c r="C158">
        <f t="shared" si="98"/>
        <v>1</v>
      </c>
      <c r="D158">
        <f t="shared" si="98"/>
        <v>3</v>
      </c>
      <c r="E158" t="e">
        <f>AVERAGEIFS('Region 1'!$W$2:$W$498,'Region 1'!$A$2:$A$498,E$1,'Region 1'!$X$2:$X$498,$D158,'Region 1'!$S$2:$S$498,$A158)</f>
        <v>#DIV/0!</v>
      </c>
      <c r="F158" t="e">
        <f>AVERAGEIFS('Region 1'!$W$2:$W$498,'Region 1'!$A$2:$A$498,F$1,'Region 1'!$X$2:$X$498,$D158,'Region 1'!$S$2:$S$498,$A158)</f>
        <v>#DIV/0!</v>
      </c>
      <c r="G158" t="e">
        <f>AVERAGEIFS('Region 1'!$W$2:$W$498,'Region 1'!$A$2:$A$498,G$1,'Region 1'!$X$2:$X$498,$D158,'Region 1'!$S$2:$S$498,$A158)</f>
        <v>#DIV/0!</v>
      </c>
      <c r="H158" t="e">
        <f>AVERAGEIFS('Region 1'!$W$2:$W$498,'Region 1'!$A$2:$A$498,H$1,'Region 1'!$X$2:$X$498,$D158,'Region 1'!$S$2:$S$498,$A158)</f>
        <v>#DIV/0!</v>
      </c>
      <c r="I158" t="e">
        <f>AVERAGEIFS('Region 1'!$W$2:$W$498,'Region 1'!$A$2:$A$498,I$1,'Region 1'!$X$2:$X$498,$D158,'Region 1'!$S$2:$S$498,$A158)</f>
        <v>#DIV/0!</v>
      </c>
      <c r="J158" t="e">
        <f>AVERAGEIFS('Region 1'!$W$2:$W$498,'Region 1'!$A$2:$A$498,J$1,'Region 1'!$X$2:$X$498,$D158,'Region 1'!$S$2:$S$498,$A158)</f>
        <v>#DIV/0!</v>
      </c>
      <c r="K158" t="e">
        <f>AVERAGEIFS('Region 1'!$W$2:$W$498,'Region 1'!$A$2:$A$498,K$1,'Region 1'!$X$2:$X$498,$D158,'Region 1'!$S$2:$S$498,$A158)</f>
        <v>#DIV/0!</v>
      </c>
      <c r="L158" t="e">
        <f>AVERAGEIFS('Region 1'!$W$2:$W$498,'Region 1'!$A$2:$A$498,L$1,'Region 1'!$X$2:$X$498,$D158,'Region 1'!$S$2:$S$498,$A158)</f>
        <v>#DIV/0!</v>
      </c>
      <c r="M158" t="e">
        <f>AVERAGEIFS('Region 1'!$W$2:$W$498,'Region 1'!$A$2:$A$498,M$1,'Region 1'!$X$2:$X$498,$D158,'Region 1'!$S$2:$S$498,$A158)</f>
        <v>#DIV/0!</v>
      </c>
      <c r="N158" t="e">
        <f>AVERAGEIFS('Region 1'!$W$2:$W$498,'Region 1'!$A$2:$A$498,N$1,'Region 1'!$X$2:$X$498,$D158,'Region 1'!$S$2:$S$498,$A158)</f>
        <v>#DIV/0!</v>
      </c>
      <c r="Q158" t="str">
        <f t="shared" si="77"/>
        <v>Steel</v>
      </c>
      <c r="R158" t="str">
        <f t="shared" si="78"/>
        <v>Appartments</v>
      </c>
      <c r="S158">
        <f t="shared" si="79"/>
        <v>1</v>
      </c>
      <c r="T158" t="str">
        <f t="shared" si="59"/>
        <v>-</v>
      </c>
      <c r="U158" t="str">
        <f t="shared" si="60"/>
        <v>-</v>
      </c>
      <c r="V158" t="str">
        <f t="shared" si="61"/>
        <v>-</v>
      </c>
      <c r="W158" t="str">
        <f t="shared" si="62"/>
        <v>-</v>
      </c>
      <c r="X158" t="str">
        <f t="shared" si="63"/>
        <v>-</v>
      </c>
      <c r="Y158" t="str">
        <f t="shared" si="64"/>
        <v>-</v>
      </c>
      <c r="Z158" t="str">
        <f t="shared" si="65"/>
        <v>-</v>
      </c>
      <c r="AA158" t="str">
        <f t="shared" si="66"/>
        <v>-</v>
      </c>
      <c r="AB158" t="str">
        <f t="shared" si="67"/>
        <v>-</v>
      </c>
      <c r="AC158" t="str">
        <f t="shared" si="68"/>
        <v>-</v>
      </c>
    </row>
    <row r="159" spans="1:29" x14ac:dyDescent="0.3">
      <c r="A159" t="s">
        <v>30</v>
      </c>
      <c r="B159" t="str">
        <f t="shared" ref="B159:D159" si="99">B55</f>
        <v>Appartments</v>
      </c>
      <c r="C159">
        <f t="shared" si="99"/>
        <v>2</v>
      </c>
      <c r="D159">
        <f t="shared" si="99"/>
        <v>3</v>
      </c>
      <c r="E159" t="e">
        <f>AVERAGEIFS('Region 2'!$W$2:$W$498,'Region 2'!$A$2:$A$498,E$1,'Region 2'!$X$2:$X$498,$D159,'Region 2'!$S$2:$S$498,$A159)</f>
        <v>#DIV/0!</v>
      </c>
      <c r="F159" t="e">
        <f>AVERAGEIFS('Region 2'!$W$2:$W$498,'Region 2'!$A$2:$A$498,F$1,'Region 2'!$X$2:$X$498,$D159,'Region 2'!$S$2:$S$498,$A159)</f>
        <v>#DIV/0!</v>
      </c>
      <c r="G159">
        <f>AVERAGEIFS('Region 2'!$W$2:$W$498,'Region 2'!$A$2:$A$498,G$1,'Region 2'!$X$2:$X$498,$D159,'Region 2'!$S$2:$S$498,$A159)</f>
        <v>1.2367070375137466</v>
      </c>
      <c r="H159" t="e">
        <f>AVERAGEIFS('Region 2'!$W$2:$W$498,'Region 2'!$A$2:$A$498,H$1,'Region 2'!$X$2:$X$498,$D159,'Region 2'!$S$2:$S$498,$A159)</f>
        <v>#DIV/0!</v>
      </c>
      <c r="I159" t="e">
        <f>AVERAGEIFS('Region 2'!$W$2:$W$498,'Region 2'!$A$2:$A$498,I$1,'Region 2'!$X$2:$X$498,$D159,'Region 2'!$S$2:$S$498,$A159)</f>
        <v>#DIV/0!</v>
      </c>
      <c r="J159" t="e">
        <f>AVERAGEIFS('Region 2'!$W$2:$W$498,'Region 2'!$A$2:$A$498,J$1,'Region 2'!$X$2:$X$498,$D159,'Region 2'!$S$2:$S$498,$A159)</f>
        <v>#DIV/0!</v>
      </c>
      <c r="K159" t="e">
        <f>AVERAGEIFS('Region 2'!$W$2:$W$498,'Region 2'!$A$2:$A$498,K$1,'Region 2'!$X$2:$X$498,$D159,'Region 2'!$S$2:$S$498,$A159)</f>
        <v>#DIV/0!</v>
      </c>
      <c r="L159" t="e">
        <f>AVERAGEIFS('Region 2'!$W$2:$W$498,'Region 2'!$A$2:$A$498,L$1,'Region 2'!$X$2:$X$498,$D159,'Region 2'!$S$2:$S$498,$A159)</f>
        <v>#DIV/0!</v>
      </c>
      <c r="M159" t="e">
        <f>AVERAGEIFS('Region 2'!$W$2:$W$498,'Region 2'!$A$2:$A$498,M$1,'Region 2'!$X$2:$X$498,$D159,'Region 2'!$S$2:$S$498,$A159)</f>
        <v>#DIV/0!</v>
      </c>
      <c r="N159" t="e">
        <f>AVERAGEIFS('Region 2'!$W$2:$W$498,'Region 2'!$A$2:$A$498,N$1,'Region 2'!$X$2:$X$498,$D159,'Region 2'!$S$2:$S$498,$A159)</f>
        <v>#DIV/0!</v>
      </c>
      <c r="Q159" t="str">
        <f t="shared" si="77"/>
        <v>Steel</v>
      </c>
      <c r="R159" t="str">
        <f t="shared" si="78"/>
        <v>Appartments</v>
      </c>
      <c r="S159">
        <f t="shared" si="79"/>
        <v>2</v>
      </c>
      <c r="T159" t="str">
        <f t="shared" si="59"/>
        <v>-</v>
      </c>
      <c r="U159" t="str">
        <f t="shared" si="60"/>
        <v>-</v>
      </c>
      <c r="V159">
        <f t="shared" si="61"/>
        <v>1.2367070375137466</v>
      </c>
      <c r="W159" t="str">
        <f t="shared" si="62"/>
        <v>-</v>
      </c>
      <c r="X159" t="str">
        <f t="shared" si="63"/>
        <v>-</v>
      </c>
      <c r="Y159" t="str">
        <f t="shared" si="64"/>
        <v>-</v>
      </c>
      <c r="Z159" t="str">
        <f t="shared" si="65"/>
        <v>-</v>
      </c>
      <c r="AA159" t="str">
        <f t="shared" si="66"/>
        <v>-</v>
      </c>
      <c r="AB159" t="str">
        <f t="shared" si="67"/>
        <v>-</v>
      </c>
      <c r="AC159" t="str">
        <f t="shared" si="68"/>
        <v>-</v>
      </c>
    </row>
    <row r="160" spans="1:29" x14ac:dyDescent="0.3">
      <c r="A160" t="s">
        <v>30</v>
      </c>
      <c r="B160" t="str">
        <f t="shared" ref="B160:D160" si="100">B56</f>
        <v>Appartments</v>
      </c>
      <c r="C160">
        <f t="shared" si="100"/>
        <v>3</v>
      </c>
      <c r="D160">
        <f t="shared" si="100"/>
        <v>3</v>
      </c>
      <c r="E160" t="e">
        <f ca="1">AVERAGEIFS('Region 3'!$W$2:$W$500,'Region 3'!$A$2:$A$500,E$1,'Region 3'!$X$2:$X$500,$D160,'Region 3'!$S$2:$S$500,$A160)</f>
        <v>#DIV/0!</v>
      </c>
      <c r="F160" t="e">
        <f ca="1">AVERAGEIFS('Region 3'!$W$2:$W$500,'Region 3'!$A$2:$A$500,F$1,'Region 3'!$X$2:$X$500,$D160,'Region 3'!$S$2:$S$500,$A160)</f>
        <v>#DIV/0!</v>
      </c>
      <c r="G160" t="e">
        <f ca="1">AVERAGEIFS('Region 3'!$W$2:$W$500,'Region 3'!$A$2:$A$500,G$1,'Region 3'!$X$2:$X$500,$D160,'Region 3'!$S$2:$S$500,$A160)</f>
        <v>#DIV/0!</v>
      </c>
      <c r="H160" t="e">
        <f ca="1">AVERAGEIFS('Region 3'!$W$2:$W$500,'Region 3'!$A$2:$A$500,H$1,'Region 3'!$X$2:$X$500,$D160,'Region 3'!$S$2:$S$500,$A160)</f>
        <v>#DIV/0!</v>
      </c>
      <c r="I160" t="e">
        <f ca="1">AVERAGEIFS('Region 3'!$W$2:$W$500,'Region 3'!$A$2:$A$500,I$1,'Region 3'!$X$2:$X$500,$D160,'Region 3'!$S$2:$S$500,$A160)</f>
        <v>#DIV/0!</v>
      </c>
      <c r="J160" t="e">
        <f ca="1">AVERAGEIFS('Region 3'!$W$2:$W$500,'Region 3'!$A$2:$A$500,J$1,'Region 3'!$X$2:$X$500,$D160,'Region 3'!$S$2:$S$500,$A160)</f>
        <v>#DIV/0!</v>
      </c>
      <c r="K160" t="e">
        <f ca="1">AVERAGEIFS('Region 3'!$W$2:$W$500,'Region 3'!$A$2:$A$500,K$1,'Region 3'!$X$2:$X$500,$D160,'Region 3'!$S$2:$S$500,$A160)</f>
        <v>#DIV/0!</v>
      </c>
      <c r="L160" t="e">
        <f ca="1">AVERAGEIFS('Region 3'!$W$2:$W$500,'Region 3'!$A$2:$A$500,L$1,'Region 3'!$X$2:$X$500,$D160,'Region 3'!$S$2:$S$500,$A160)</f>
        <v>#DIV/0!</v>
      </c>
      <c r="M160" t="e">
        <f ca="1">AVERAGEIFS('Region 3'!$W$2:$W$500,'Region 3'!$A$2:$A$500,M$1,'Region 3'!$X$2:$X$500,$D160,'Region 3'!$S$2:$S$500,$A160)</f>
        <v>#DIV/0!</v>
      </c>
      <c r="N160" t="e">
        <f ca="1">AVERAGEIFS('Region 3'!$W$2:$W$500,'Region 3'!$A$2:$A$500,N$1,'Region 3'!$X$2:$X$500,$D160,'Region 3'!$S$2:$S$500,$A160)</f>
        <v>#DIV/0!</v>
      </c>
      <c r="Q160" t="str">
        <f t="shared" si="77"/>
        <v>Steel</v>
      </c>
      <c r="R160" t="str">
        <f t="shared" si="78"/>
        <v>Appartments</v>
      </c>
      <c r="S160">
        <f t="shared" si="79"/>
        <v>3</v>
      </c>
      <c r="T160" t="str">
        <f t="shared" ca="1" si="59"/>
        <v>-</v>
      </c>
      <c r="U160" t="str">
        <f t="shared" ca="1" si="60"/>
        <v>-</v>
      </c>
      <c r="V160" t="str">
        <f t="shared" ca="1" si="61"/>
        <v>-</v>
      </c>
      <c r="W160" t="str">
        <f t="shared" ca="1" si="62"/>
        <v>-</v>
      </c>
      <c r="X160" t="str">
        <f t="shared" ca="1" si="63"/>
        <v>-</v>
      </c>
      <c r="Y160" t="str">
        <f t="shared" ca="1" si="64"/>
        <v>-</v>
      </c>
      <c r="Z160" t="str">
        <f t="shared" ca="1" si="65"/>
        <v>-</v>
      </c>
      <c r="AA160" t="str">
        <f t="shared" ca="1" si="66"/>
        <v>-</v>
      </c>
      <c r="AB160" t="str">
        <f t="shared" ca="1" si="67"/>
        <v>-</v>
      </c>
      <c r="AC160" t="str">
        <f t="shared" ca="1" si="68"/>
        <v>-</v>
      </c>
    </row>
    <row r="161" spans="1:29" x14ac:dyDescent="0.3">
      <c r="A161" t="s">
        <v>30</v>
      </c>
      <c r="B161" t="str">
        <f t="shared" ref="B161:D161" si="101">B57</f>
        <v>Appartments</v>
      </c>
      <c r="C161">
        <f t="shared" si="101"/>
        <v>4</v>
      </c>
      <c r="D161">
        <f t="shared" si="101"/>
        <v>3</v>
      </c>
      <c r="E161" t="e">
        <f>AVERAGEIFS('Region 4'!$W$2:$W$10,'Region 4'!$A$2:$A$10,E$1,'Region 4'!$X$2:$X$10,$D161,'Region 4'!$S$2:$S$10,$A161)</f>
        <v>#DIV/0!</v>
      </c>
      <c r="F161" t="e">
        <f>AVERAGEIFS('Region 4'!$W$2:$W$10,'Region 4'!$A$2:$A$10,F$1,'Region 4'!$X$2:$X$10,$D161,'Region 4'!$S$2:$S$10,$A161)</f>
        <v>#DIV/0!</v>
      </c>
      <c r="G161" t="e">
        <f>AVERAGEIFS('Region 4'!$W$2:$W$10,'Region 4'!$A$2:$A$10,G$1,'Region 4'!$X$2:$X$10,$D161,'Region 4'!$S$2:$S$10,$A161)</f>
        <v>#DIV/0!</v>
      </c>
      <c r="H161" t="e">
        <f>AVERAGEIFS('Region 4'!$W$2:$W$10,'Region 4'!$A$2:$A$10,H$1,'Region 4'!$X$2:$X$10,$D161,'Region 4'!$S$2:$S$10,$A161)</f>
        <v>#DIV/0!</v>
      </c>
      <c r="I161" t="e">
        <f>AVERAGEIFS('Region 4'!$W$2:$W$10,'Region 4'!$A$2:$A$10,I$1,'Region 4'!$X$2:$X$10,$D161,'Region 4'!$S$2:$S$10,$A161)</f>
        <v>#DIV/0!</v>
      </c>
      <c r="J161" t="e">
        <f>AVERAGEIFS('Region 4'!$W$2:$W$10,'Region 4'!$A$2:$A$10,J$1,'Region 4'!$X$2:$X$10,$D161,'Region 4'!$S$2:$S$10,$A161)</f>
        <v>#DIV/0!</v>
      </c>
      <c r="K161" t="e">
        <f>AVERAGEIFS('Region 4'!$W$2:$W$10,'Region 4'!$A$2:$A$10,K$1,'Region 4'!$X$2:$X$10,$D161,'Region 4'!$S$2:$S$10,$A161)</f>
        <v>#DIV/0!</v>
      </c>
      <c r="L161" t="e">
        <f>AVERAGEIFS('Region 4'!$W$2:$W$10,'Region 4'!$A$2:$A$10,L$1,'Region 4'!$X$2:$X$10,$D161,'Region 4'!$S$2:$S$10,$A161)</f>
        <v>#DIV/0!</v>
      </c>
      <c r="M161" t="e">
        <f>AVERAGEIFS('Region 4'!$W$2:$W$10,'Region 4'!$A$2:$A$10,M$1,'Region 4'!$X$2:$X$10,$D161,'Region 4'!$S$2:$S$10,$A161)</f>
        <v>#DIV/0!</v>
      </c>
      <c r="N161" t="e">
        <f>AVERAGEIFS('Region 4'!$W$2:$W$10,'Region 4'!$A$2:$A$10,N$1,'Region 4'!$X$2:$X$10,$D161,'Region 4'!$S$2:$S$10,$A161)</f>
        <v>#DIV/0!</v>
      </c>
      <c r="Q161" t="str">
        <f t="shared" si="77"/>
        <v>Steel</v>
      </c>
      <c r="R161" t="str">
        <f t="shared" si="78"/>
        <v>Appartments</v>
      </c>
      <c r="S161">
        <f t="shared" si="79"/>
        <v>4</v>
      </c>
      <c r="T161" t="str">
        <f t="shared" si="59"/>
        <v>-</v>
      </c>
      <c r="U161" t="str">
        <f t="shared" si="60"/>
        <v>-</v>
      </c>
      <c r="V161" t="str">
        <f t="shared" si="61"/>
        <v>-</v>
      </c>
      <c r="W161" t="str">
        <f t="shared" si="62"/>
        <v>-</v>
      </c>
      <c r="X161" t="str">
        <f t="shared" si="63"/>
        <v>-</v>
      </c>
      <c r="Y161" t="str">
        <f t="shared" si="64"/>
        <v>-</v>
      </c>
      <c r="Z161" t="str">
        <f t="shared" si="65"/>
        <v>-</v>
      </c>
      <c r="AA161" t="str">
        <f t="shared" si="66"/>
        <v>-</v>
      </c>
      <c r="AB161" t="str">
        <f t="shared" si="67"/>
        <v>-</v>
      </c>
      <c r="AC161" t="str">
        <f t="shared" si="68"/>
        <v>-</v>
      </c>
    </row>
    <row r="162" spans="1:29" x14ac:dyDescent="0.3">
      <c r="A162" t="s">
        <v>30</v>
      </c>
      <c r="B162" t="str">
        <f t="shared" ref="B162:D162" si="102">B58</f>
        <v>Appartments</v>
      </c>
      <c r="C162">
        <f t="shared" si="102"/>
        <v>5</v>
      </c>
      <c r="D162">
        <f t="shared" si="102"/>
        <v>3</v>
      </c>
      <c r="E162" t="e">
        <f>AVERAGEIFS('Region 5'!$W$2:$W$496,'Region 5'!$A$2:$A$496,E$1,'Region 5'!$X$2:$X$496,$D162,'Region 5'!$S$2:$S$496,$A162)</f>
        <v>#DIV/0!</v>
      </c>
      <c r="F162" t="e">
        <f>AVERAGEIFS('Region 5'!$W$2:$W$496,'Region 5'!$A$2:$A$496,F$1,'Region 5'!$X$2:$X$496,$D162,'Region 5'!$S$2:$S$496,$A162)</f>
        <v>#DIV/0!</v>
      </c>
      <c r="G162" t="e">
        <f>AVERAGEIFS('Region 5'!$W$2:$W$496,'Region 5'!$A$2:$A$496,G$1,'Region 5'!$X$2:$X$496,$D162,'Region 5'!$S$2:$S$496,$A162)</f>
        <v>#DIV/0!</v>
      </c>
      <c r="H162" t="e">
        <f>AVERAGEIFS('Region 5'!$W$2:$W$496,'Region 5'!$A$2:$A$496,H$1,'Region 5'!$X$2:$X$496,$D162,'Region 5'!$S$2:$S$496,$A162)</f>
        <v>#DIV/0!</v>
      </c>
      <c r="I162" t="e">
        <f>AVERAGEIFS('Region 5'!$W$2:$W$496,'Region 5'!$A$2:$A$496,I$1,'Region 5'!$X$2:$X$496,$D162,'Region 5'!$S$2:$S$496,$A162)</f>
        <v>#DIV/0!</v>
      </c>
      <c r="J162" t="e">
        <f>AVERAGEIFS('Region 5'!$W$2:$W$496,'Region 5'!$A$2:$A$496,J$1,'Region 5'!$X$2:$X$496,$D162,'Region 5'!$S$2:$S$496,$A162)</f>
        <v>#DIV/0!</v>
      </c>
      <c r="K162" t="e">
        <f>AVERAGEIFS('Region 5'!$W$2:$W$496,'Region 5'!$A$2:$A$496,K$1,'Region 5'!$X$2:$X$496,$D162,'Region 5'!$S$2:$S$496,$A162)</f>
        <v>#DIV/0!</v>
      </c>
      <c r="L162" t="e">
        <f>AVERAGEIFS('Region 5'!$W$2:$W$496,'Region 5'!$A$2:$A$496,L$1,'Region 5'!$X$2:$X$496,$D162,'Region 5'!$S$2:$S$496,$A162)</f>
        <v>#DIV/0!</v>
      </c>
      <c r="M162" t="e">
        <f>AVERAGEIFS('Region 5'!$W$2:$W$496,'Region 5'!$A$2:$A$496,M$1,'Region 5'!$X$2:$X$496,$D162,'Region 5'!$S$2:$S$496,$A162)</f>
        <v>#DIV/0!</v>
      </c>
      <c r="N162" t="e">
        <f>AVERAGEIFS('Region 5'!$W$2:$W$496,'Region 5'!$A$2:$A$496,N$1,'Region 5'!$X$2:$X$496,$D162,'Region 5'!$S$2:$S$496,$A162)</f>
        <v>#DIV/0!</v>
      </c>
      <c r="Q162" t="str">
        <f t="shared" si="77"/>
        <v>Steel</v>
      </c>
      <c r="R162" t="str">
        <f t="shared" si="78"/>
        <v>Appartments</v>
      </c>
      <c r="S162">
        <f t="shared" si="79"/>
        <v>5</v>
      </c>
      <c r="T162" t="str">
        <f t="shared" si="59"/>
        <v>-</v>
      </c>
      <c r="U162" t="str">
        <f t="shared" si="60"/>
        <v>-</v>
      </c>
      <c r="V162" t="str">
        <f t="shared" si="61"/>
        <v>-</v>
      </c>
      <c r="W162" t="str">
        <f t="shared" si="62"/>
        <v>-</v>
      </c>
      <c r="X162" t="str">
        <f t="shared" si="63"/>
        <v>-</v>
      </c>
      <c r="Y162" t="str">
        <f t="shared" si="64"/>
        <v>-</v>
      </c>
      <c r="Z162" t="str">
        <f t="shared" si="65"/>
        <v>-</v>
      </c>
      <c r="AA162" t="str">
        <f t="shared" si="66"/>
        <v>-</v>
      </c>
      <c r="AB162" t="str">
        <f t="shared" si="67"/>
        <v>-</v>
      </c>
      <c r="AC162" t="str">
        <f t="shared" si="68"/>
        <v>-</v>
      </c>
    </row>
    <row r="163" spans="1:29" x14ac:dyDescent="0.3">
      <c r="A163" t="s">
        <v>30</v>
      </c>
      <c r="B163" t="str">
        <f t="shared" ref="B163:D163" si="103">B59</f>
        <v>Appartments</v>
      </c>
      <c r="C163">
        <f t="shared" si="103"/>
        <v>6</v>
      </c>
      <c r="D163">
        <f t="shared" si="103"/>
        <v>3</v>
      </c>
      <c r="E163">
        <f>AVERAGEIFS('Region 6'!$W$2:$W$496,'Region 6'!$A$2:$A$496,E$1,'Region 6'!$X$2:$X$496,$D163,'Region 6'!$S$2:$S$496,$A163)</f>
        <v>37.5</v>
      </c>
      <c r="F163" t="e">
        <f>AVERAGEIFS('Region 6'!$W$2:$W$496,'Region 6'!$A$2:$A$496,F$1,'Region 6'!$X$2:$X$496,$D163,'Region 6'!$S$2:$S$496,$A163)</f>
        <v>#DIV/0!</v>
      </c>
      <c r="G163" t="e">
        <f>AVERAGEIFS('Region 6'!$W$2:$W$496,'Region 6'!$A$2:$A$496,G$1,'Region 6'!$X$2:$X$496,$D163,'Region 6'!$S$2:$S$496,$A163)</f>
        <v>#DIV/0!</v>
      </c>
      <c r="H163" t="e">
        <f>AVERAGEIFS('Region 6'!$W$2:$W$496,'Region 6'!$A$2:$A$496,H$1,'Region 6'!$X$2:$X$496,$D163,'Region 6'!$S$2:$S$496,$A163)</f>
        <v>#DIV/0!</v>
      </c>
      <c r="I163" t="e">
        <f>AVERAGEIFS('Region 6'!$W$2:$W$496,'Region 6'!$A$2:$A$496,I$1,'Region 6'!$X$2:$X$496,$D163,'Region 6'!$S$2:$S$496,$A163)</f>
        <v>#DIV/0!</v>
      </c>
      <c r="J163" t="e">
        <f>AVERAGEIFS('Region 6'!$W$2:$W$496,'Region 6'!$A$2:$A$496,J$1,'Region 6'!$X$2:$X$496,$D163,'Region 6'!$S$2:$S$496,$A163)</f>
        <v>#DIV/0!</v>
      </c>
      <c r="K163" t="e">
        <f>AVERAGEIFS('Region 6'!$W$2:$W$496,'Region 6'!$A$2:$A$496,K$1,'Region 6'!$X$2:$X$496,$D163,'Region 6'!$S$2:$S$496,$A163)</f>
        <v>#DIV/0!</v>
      </c>
      <c r="L163" t="e">
        <f>AVERAGEIFS('Region 6'!$W$2:$W$496,'Region 6'!$A$2:$A$496,L$1,'Region 6'!$X$2:$X$496,$D163,'Region 6'!$S$2:$S$496,$A163)</f>
        <v>#DIV/0!</v>
      </c>
      <c r="M163" t="e">
        <f>AVERAGEIFS('Region 6'!$W$2:$W$496,'Region 6'!$A$2:$A$496,M$1,'Region 6'!$X$2:$X$496,$D163,'Region 6'!$S$2:$S$496,$A163)</f>
        <v>#DIV/0!</v>
      </c>
      <c r="N163" t="e">
        <f>AVERAGEIFS('Region 6'!$W$2:$W$496,'Region 6'!$A$2:$A$496,N$1,'Region 6'!$X$2:$X$496,$D163,'Region 6'!$S$2:$S$496,$A163)</f>
        <v>#DIV/0!</v>
      </c>
      <c r="Q163" t="str">
        <f t="shared" si="77"/>
        <v>Steel</v>
      </c>
      <c r="R163" t="str">
        <f t="shared" si="78"/>
        <v>Appartments</v>
      </c>
      <c r="S163">
        <f t="shared" si="79"/>
        <v>6</v>
      </c>
      <c r="T163">
        <f t="shared" si="59"/>
        <v>37.5</v>
      </c>
      <c r="U163" t="str">
        <f t="shared" si="60"/>
        <v>-</v>
      </c>
      <c r="V163" t="str">
        <f t="shared" si="61"/>
        <v>-</v>
      </c>
      <c r="W163" t="str">
        <f t="shared" si="62"/>
        <v>-</v>
      </c>
      <c r="X163" t="str">
        <f t="shared" si="63"/>
        <v>-</v>
      </c>
      <c r="Y163" t="str">
        <f t="shared" si="64"/>
        <v>-</v>
      </c>
      <c r="Z163" t="str">
        <f t="shared" si="65"/>
        <v>-</v>
      </c>
      <c r="AA163" t="str">
        <f t="shared" si="66"/>
        <v>-</v>
      </c>
      <c r="AB163" t="str">
        <f t="shared" si="67"/>
        <v>-</v>
      </c>
      <c r="AC163" t="str">
        <f t="shared" si="68"/>
        <v>-</v>
      </c>
    </row>
    <row r="164" spans="1:29" x14ac:dyDescent="0.3">
      <c r="A164" t="s">
        <v>30</v>
      </c>
      <c r="B164" t="str">
        <f t="shared" ref="B164:D164" si="104">B60</f>
        <v>Appartments</v>
      </c>
      <c r="C164">
        <f t="shared" si="104"/>
        <v>7</v>
      </c>
      <c r="D164">
        <f t="shared" si="104"/>
        <v>3</v>
      </c>
      <c r="E164" t="e">
        <f ca="1">AVERAGEIFS('Region 7'!$W$2:$W$500,'Region 7'!$A$2:$A$500,E$1,'Region 7'!$X$2:$X$500,$D164,'Region 7'!$S$2:$S$500,$A164)</f>
        <v>#DIV/0!</v>
      </c>
      <c r="F164" t="e">
        <f ca="1">AVERAGEIFS('Region 7'!$W$2:$W$500,'Region 7'!$A$2:$A$500,F$1,'Region 7'!$X$2:$X$500,$D164,'Region 7'!$S$2:$S$500,$A164)</f>
        <v>#DIV/0!</v>
      </c>
      <c r="G164" t="e">
        <f ca="1">AVERAGEIFS('Region 7'!$W$2:$W$500,'Region 7'!$A$2:$A$500,G$1,'Region 7'!$X$2:$X$500,$D164,'Region 7'!$S$2:$S$500,$A164)</f>
        <v>#DIV/0!</v>
      </c>
      <c r="H164" t="e">
        <f ca="1">AVERAGEIFS('Region 7'!$W$2:$W$500,'Region 7'!$A$2:$A$500,H$1,'Region 7'!$X$2:$X$500,$D164,'Region 7'!$S$2:$S$500,$A164)</f>
        <v>#DIV/0!</v>
      </c>
      <c r="I164" t="e">
        <f ca="1">AVERAGEIFS('Region 7'!$W$2:$W$500,'Region 7'!$A$2:$A$500,I$1,'Region 7'!$X$2:$X$500,$D164,'Region 7'!$S$2:$S$500,$A164)</f>
        <v>#DIV/0!</v>
      </c>
      <c r="J164" t="e">
        <f ca="1">AVERAGEIFS('Region 7'!$W$2:$W$500,'Region 7'!$A$2:$A$500,J$1,'Region 7'!$X$2:$X$500,$D164,'Region 7'!$S$2:$S$500,$A164)</f>
        <v>#DIV/0!</v>
      </c>
      <c r="K164" t="e">
        <f ca="1">AVERAGEIFS('Region 7'!$W$2:$W$500,'Region 7'!$A$2:$A$500,K$1,'Region 7'!$X$2:$X$500,$D164,'Region 7'!$S$2:$S$500,$A164)</f>
        <v>#DIV/0!</v>
      </c>
      <c r="L164" t="e">
        <f ca="1">AVERAGEIFS('Region 7'!$W$2:$W$500,'Region 7'!$A$2:$A$500,L$1,'Region 7'!$X$2:$X$500,$D164,'Region 7'!$S$2:$S$500,$A164)</f>
        <v>#DIV/0!</v>
      </c>
      <c r="M164" t="e">
        <f ca="1">AVERAGEIFS('Region 7'!$W$2:$W$500,'Region 7'!$A$2:$A$500,M$1,'Region 7'!$X$2:$X$500,$D164,'Region 7'!$S$2:$S$500,$A164)</f>
        <v>#DIV/0!</v>
      </c>
      <c r="N164" t="e">
        <f ca="1">AVERAGEIFS('Region 7'!$W$2:$W$500,'Region 7'!$A$2:$A$500,N$1,'Region 7'!$X$2:$X$500,$D164,'Region 7'!$S$2:$S$500,$A164)</f>
        <v>#DIV/0!</v>
      </c>
      <c r="Q164" t="str">
        <f t="shared" si="77"/>
        <v>Steel</v>
      </c>
      <c r="R164" t="str">
        <f t="shared" si="78"/>
        <v>Appartments</v>
      </c>
      <c r="S164">
        <f t="shared" si="79"/>
        <v>7</v>
      </c>
      <c r="T164" t="str">
        <f t="shared" ca="1" si="59"/>
        <v>-</v>
      </c>
      <c r="U164" t="str">
        <f t="shared" ca="1" si="60"/>
        <v>-</v>
      </c>
      <c r="V164" t="str">
        <f t="shared" ca="1" si="61"/>
        <v>-</v>
      </c>
      <c r="W164" t="str">
        <f t="shared" ca="1" si="62"/>
        <v>-</v>
      </c>
      <c r="X164" t="str">
        <f t="shared" ca="1" si="63"/>
        <v>-</v>
      </c>
      <c r="Y164" t="str">
        <f t="shared" ca="1" si="64"/>
        <v>-</v>
      </c>
      <c r="Z164" t="str">
        <f t="shared" ca="1" si="65"/>
        <v>-</v>
      </c>
      <c r="AA164" t="str">
        <f t="shared" ca="1" si="66"/>
        <v>-</v>
      </c>
      <c r="AB164" t="str">
        <f t="shared" ca="1" si="67"/>
        <v>-</v>
      </c>
      <c r="AC164" t="str">
        <f t="shared" ca="1" si="68"/>
        <v>-</v>
      </c>
    </row>
    <row r="165" spans="1:29" x14ac:dyDescent="0.3">
      <c r="A165" t="s">
        <v>30</v>
      </c>
      <c r="B165" t="str">
        <f t="shared" ref="B165:D165" si="105">B61</f>
        <v>Appartments</v>
      </c>
      <c r="C165">
        <f t="shared" si="105"/>
        <v>8</v>
      </c>
      <c r="D165">
        <f t="shared" si="105"/>
        <v>3</v>
      </c>
      <c r="E165" t="e">
        <f>AVERAGEIFS('Region 8'!$W$2:$W$497,'Region 8'!$A$2:$A$497,E$1,'Region 8'!$X$2:$X$497,$D165,'Region 8'!$S$2:$S$497,$A165)</f>
        <v>#DIV/0!</v>
      </c>
      <c r="F165">
        <f>AVERAGEIFS('Region 8'!$W$2:$W$497,'Region 8'!$A$2:$A$497,F$1,'Region 8'!$X$2:$X$497,$D165,'Region 8'!$S$2:$S$497,$A165)</f>
        <v>26.728395061728396</v>
      </c>
      <c r="G165" t="e">
        <f>AVERAGEIFS('Region 8'!$W$2:$W$497,'Region 8'!$A$2:$A$497,G$1,'Region 8'!$X$2:$X$497,$D165,'Region 8'!$S$2:$S$497,$A165)</f>
        <v>#DIV/0!</v>
      </c>
      <c r="H165" t="e">
        <f>AVERAGEIFS('Region 8'!$W$2:$W$497,'Region 8'!$A$2:$A$497,H$1,'Region 8'!$X$2:$X$497,$D165,'Region 8'!$S$2:$S$497,$A165)</f>
        <v>#DIV/0!</v>
      </c>
      <c r="I165" t="e">
        <f>AVERAGEIFS('Region 8'!$W$2:$W$497,'Region 8'!$A$2:$A$497,I$1,'Region 8'!$X$2:$X$497,$D165,'Region 8'!$S$2:$S$497,$A165)</f>
        <v>#DIV/0!</v>
      </c>
      <c r="J165" t="e">
        <f>AVERAGEIFS('Region 8'!$W$2:$W$497,'Region 8'!$A$2:$A$497,J$1,'Region 8'!$X$2:$X$497,$D165,'Region 8'!$S$2:$S$497,$A165)</f>
        <v>#DIV/0!</v>
      </c>
      <c r="K165" t="e">
        <f>AVERAGEIFS('Region 8'!$W$2:$W$497,'Region 8'!$A$2:$A$497,K$1,'Region 8'!$X$2:$X$497,$D165,'Region 8'!$S$2:$S$497,$A165)</f>
        <v>#DIV/0!</v>
      </c>
      <c r="L165" t="e">
        <f>AVERAGEIFS('Region 8'!$W$2:$W$497,'Region 8'!$A$2:$A$497,L$1,'Region 8'!$X$2:$X$497,$D165,'Region 8'!$S$2:$S$497,$A165)</f>
        <v>#DIV/0!</v>
      </c>
      <c r="M165" t="e">
        <f>AVERAGEIFS('Region 8'!$W$2:$W$497,'Region 8'!$A$2:$A$497,M$1,'Region 8'!$X$2:$X$497,$D165,'Region 8'!$S$2:$S$497,$A165)</f>
        <v>#DIV/0!</v>
      </c>
      <c r="N165" t="e">
        <f>AVERAGEIFS('Region 8'!$W$2:$W$497,'Region 8'!$A$2:$A$497,N$1,'Region 8'!$X$2:$X$497,$D165,'Region 8'!$S$2:$S$497,$A165)</f>
        <v>#DIV/0!</v>
      </c>
      <c r="Q165" t="str">
        <f t="shared" si="77"/>
        <v>Steel</v>
      </c>
      <c r="R165" t="str">
        <f t="shared" si="78"/>
        <v>Appartments</v>
      </c>
      <c r="S165">
        <f t="shared" si="79"/>
        <v>8</v>
      </c>
      <c r="T165" t="str">
        <f t="shared" si="59"/>
        <v>-</v>
      </c>
      <c r="U165">
        <f t="shared" si="60"/>
        <v>26.728395061728396</v>
      </c>
      <c r="V165" t="str">
        <f t="shared" si="61"/>
        <v>-</v>
      </c>
      <c r="W165" t="str">
        <f t="shared" si="62"/>
        <v>-</v>
      </c>
      <c r="X165" t="str">
        <f t="shared" si="63"/>
        <v>-</v>
      </c>
      <c r="Y165" t="str">
        <f t="shared" si="64"/>
        <v>-</v>
      </c>
      <c r="Z165" t="str">
        <f t="shared" si="65"/>
        <v>-</v>
      </c>
      <c r="AA165" t="str">
        <f t="shared" si="66"/>
        <v>-</v>
      </c>
      <c r="AB165" t="str">
        <f t="shared" si="67"/>
        <v>-</v>
      </c>
      <c r="AC165" t="str">
        <f t="shared" si="68"/>
        <v>-</v>
      </c>
    </row>
    <row r="166" spans="1:29" x14ac:dyDescent="0.3">
      <c r="A166" t="s">
        <v>30</v>
      </c>
      <c r="B166" t="str">
        <f t="shared" ref="B166:D166" si="106">B62</f>
        <v>Appartments</v>
      </c>
      <c r="C166">
        <f t="shared" si="106"/>
        <v>9</v>
      </c>
      <c r="D166">
        <f t="shared" si="106"/>
        <v>3</v>
      </c>
      <c r="E166" t="e">
        <f ca="1">AVERAGEIFS('Region 9'!$W$2:$W$500,'Region 9'!$A$2:$A$500,E$1,'Region 9'!$X$2:$X$500,$D166,'Region 9'!$S$2:$S$500,$A166)</f>
        <v>#DIV/0!</v>
      </c>
      <c r="F166" t="e">
        <f ca="1">AVERAGEIFS('Region 9'!$W$2:$W$500,'Region 9'!$A$2:$A$500,F$1,'Region 9'!$X$2:$X$500,$D166,'Region 9'!$S$2:$S$500,$A166)</f>
        <v>#DIV/0!</v>
      </c>
      <c r="G166" t="e">
        <f ca="1">AVERAGEIFS('Region 9'!$W$2:$W$500,'Region 9'!$A$2:$A$500,G$1,'Region 9'!$X$2:$X$500,$D166,'Region 9'!$S$2:$S$500,$A166)</f>
        <v>#DIV/0!</v>
      </c>
      <c r="H166" t="e">
        <f ca="1">AVERAGEIFS('Region 9'!$W$2:$W$500,'Region 9'!$A$2:$A$500,H$1,'Region 9'!$X$2:$X$500,$D166,'Region 9'!$S$2:$S$500,$A166)</f>
        <v>#DIV/0!</v>
      </c>
      <c r="I166" t="e">
        <f ca="1">AVERAGEIFS('Region 9'!$W$2:$W$500,'Region 9'!$A$2:$A$500,I$1,'Region 9'!$X$2:$X$500,$D166,'Region 9'!$S$2:$S$500,$A166)</f>
        <v>#DIV/0!</v>
      </c>
      <c r="J166" t="e">
        <f ca="1">AVERAGEIFS('Region 9'!$W$2:$W$500,'Region 9'!$A$2:$A$500,J$1,'Region 9'!$X$2:$X$500,$D166,'Region 9'!$S$2:$S$500,$A166)</f>
        <v>#DIV/0!</v>
      </c>
      <c r="K166" t="e">
        <f ca="1">AVERAGEIFS('Region 9'!$W$2:$W$500,'Region 9'!$A$2:$A$500,K$1,'Region 9'!$X$2:$X$500,$D166,'Region 9'!$S$2:$S$500,$A166)</f>
        <v>#DIV/0!</v>
      </c>
      <c r="L166" t="e">
        <f ca="1">AVERAGEIFS('Region 9'!$W$2:$W$500,'Region 9'!$A$2:$A$500,L$1,'Region 9'!$X$2:$X$500,$D166,'Region 9'!$S$2:$S$500,$A166)</f>
        <v>#DIV/0!</v>
      </c>
      <c r="M166" t="e">
        <f ca="1">AVERAGEIFS('Region 9'!$W$2:$W$500,'Region 9'!$A$2:$A$500,M$1,'Region 9'!$X$2:$X$500,$D166,'Region 9'!$S$2:$S$500,$A166)</f>
        <v>#DIV/0!</v>
      </c>
      <c r="N166" t="e">
        <f ca="1">AVERAGEIFS('Region 9'!$W$2:$W$500,'Region 9'!$A$2:$A$500,N$1,'Region 9'!$X$2:$X$500,$D166,'Region 9'!$S$2:$S$500,$A166)</f>
        <v>#DIV/0!</v>
      </c>
      <c r="Q166" t="str">
        <f t="shared" si="77"/>
        <v>Steel</v>
      </c>
      <c r="R166" t="str">
        <f t="shared" si="78"/>
        <v>Appartments</v>
      </c>
      <c r="S166">
        <f t="shared" si="79"/>
        <v>9</v>
      </c>
      <c r="T166" t="str">
        <f t="shared" ca="1" si="59"/>
        <v>-</v>
      </c>
      <c r="U166" t="str">
        <f t="shared" ca="1" si="60"/>
        <v>-</v>
      </c>
      <c r="V166" t="str">
        <f t="shared" ca="1" si="61"/>
        <v>-</v>
      </c>
      <c r="W166" t="str">
        <f t="shared" ca="1" si="62"/>
        <v>-</v>
      </c>
      <c r="X166" t="str">
        <f t="shared" ca="1" si="63"/>
        <v>-</v>
      </c>
      <c r="Y166" t="str">
        <f t="shared" ca="1" si="64"/>
        <v>-</v>
      </c>
      <c r="Z166" t="str">
        <f t="shared" ca="1" si="65"/>
        <v>-</v>
      </c>
      <c r="AA166" t="str">
        <f t="shared" ca="1" si="66"/>
        <v>-</v>
      </c>
      <c r="AB166" t="str">
        <f t="shared" ca="1" si="67"/>
        <v>-</v>
      </c>
      <c r="AC166" t="str">
        <f t="shared" ca="1" si="68"/>
        <v>-</v>
      </c>
    </row>
    <row r="167" spans="1:29" x14ac:dyDescent="0.3">
      <c r="A167" t="s">
        <v>30</v>
      </c>
      <c r="B167" t="str">
        <f t="shared" ref="B167:D167" si="107">B63</f>
        <v>Appartments</v>
      </c>
      <c r="C167">
        <f t="shared" si="107"/>
        <v>10</v>
      </c>
      <c r="D167">
        <f t="shared" si="107"/>
        <v>3</v>
      </c>
      <c r="E167" t="e">
        <f>AVERAGEIFS('Region 10'!$W$2:$W$500,'Region 10'!$A$2:$A$500,E$1,'Region 10'!$X$2:$X$500,$D167,'Region 10'!$S$2:$S$500,$A167)</f>
        <v>#DIV/0!</v>
      </c>
      <c r="F167" t="e">
        <f>AVERAGEIFS('Region 10'!$W$2:$W$500,'Region 10'!$A$2:$A$500,F$1,'Region 10'!$X$2:$X$500,$D167,'Region 10'!$S$2:$S$500,$A167)</f>
        <v>#DIV/0!</v>
      </c>
      <c r="G167" t="e">
        <f>AVERAGEIFS('Region 10'!$W$2:$W$500,'Region 10'!$A$2:$A$500,G$1,'Region 10'!$X$2:$X$500,$D167,'Region 10'!$S$2:$S$500,$A167)</f>
        <v>#DIV/0!</v>
      </c>
      <c r="H167" t="e">
        <f>AVERAGEIFS('Region 10'!$W$2:$W$500,'Region 10'!$A$2:$A$500,H$1,'Region 10'!$X$2:$X$500,$D167,'Region 10'!$S$2:$S$500,$A167)</f>
        <v>#DIV/0!</v>
      </c>
      <c r="I167" t="e">
        <f>AVERAGEIFS('Region 10'!$W$2:$W$500,'Region 10'!$A$2:$A$500,I$1,'Region 10'!$X$2:$X$500,$D167,'Region 10'!$S$2:$S$500,$A167)</f>
        <v>#DIV/0!</v>
      </c>
      <c r="J167" t="e">
        <f>AVERAGEIFS('Region 10'!$W$2:$W$500,'Region 10'!$A$2:$A$500,J$1,'Region 10'!$X$2:$X$500,$D167,'Region 10'!$S$2:$S$500,$A167)</f>
        <v>#DIV/0!</v>
      </c>
      <c r="K167" t="e">
        <f>AVERAGEIFS('Region 10'!$W$2:$W$500,'Region 10'!$A$2:$A$500,K$1,'Region 10'!$X$2:$X$500,$D167,'Region 10'!$S$2:$S$500,$A167)</f>
        <v>#DIV/0!</v>
      </c>
      <c r="L167" t="e">
        <f>AVERAGEIFS('Region 10'!$W$2:$W$500,'Region 10'!$A$2:$A$500,L$1,'Region 10'!$X$2:$X$500,$D167,'Region 10'!$S$2:$S$500,$A167)</f>
        <v>#DIV/0!</v>
      </c>
      <c r="M167" t="e">
        <f>AVERAGEIFS('Region 10'!$W$2:$W$500,'Region 10'!$A$2:$A$500,M$1,'Region 10'!$X$2:$X$500,$D167,'Region 10'!$S$2:$S$500,$A167)</f>
        <v>#DIV/0!</v>
      </c>
      <c r="N167" t="e">
        <f>AVERAGEIFS('Region 10'!$W$2:$W$500,'Region 10'!$A$2:$A$500,N$1,'Region 10'!$X$2:$X$500,$D167,'Region 10'!$S$2:$S$500,$A167)</f>
        <v>#DIV/0!</v>
      </c>
      <c r="Q167" t="str">
        <f t="shared" si="77"/>
        <v>Steel</v>
      </c>
      <c r="R167" t="str">
        <f t="shared" si="78"/>
        <v>Appartments</v>
      </c>
      <c r="S167">
        <f t="shared" si="79"/>
        <v>10</v>
      </c>
      <c r="T167" t="str">
        <f t="shared" si="59"/>
        <v>-</v>
      </c>
      <c r="U167" t="str">
        <f t="shared" si="60"/>
        <v>-</v>
      </c>
      <c r="V167" t="str">
        <f t="shared" si="61"/>
        <v>-</v>
      </c>
      <c r="W167" t="str">
        <f t="shared" si="62"/>
        <v>-</v>
      </c>
      <c r="X167" t="str">
        <f t="shared" si="63"/>
        <v>-</v>
      </c>
      <c r="Y167" t="str">
        <f t="shared" si="64"/>
        <v>-</v>
      </c>
      <c r="Z167" t="str">
        <f t="shared" si="65"/>
        <v>-</v>
      </c>
      <c r="AA167" t="str">
        <f t="shared" si="66"/>
        <v>-</v>
      </c>
      <c r="AB167" t="str">
        <f t="shared" si="67"/>
        <v>-</v>
      </c>
      <c r="AC167" t="str">
        <f t="shared" si="68"/>
        <v>-</v>
      </c>
    </row>
    <row r="168" spans="1:29" x14ac:dyDescent="0.3">
      <c r="A168" t="s">
        <v>30</v>
      </c>
      <c r="B168" t="str">
        <f t="shared" ref="B168:D168" si="108">B64</f>
        <v>Appartments</v>
      </c>
      <c r="C168">
        <f t="shared" si="108"/>
        <v>11</v>
      </c>
      <c r="D168">
        <f t="shared" si="108"/>
        <v>3</v>
      </c>
      <c r="E168" t="e">
        <f>AVERAGEIFS('Region 11'!$W$2:$W$391,'Region 11'!$A$2:$A$391,E$1,'Region 11'!$X$2:$X$391,$D168,'Region 11'!$S$2:$S$391,$A168)</f>
        <v>#DIV/0!</v>
      </c>
      <c r="F168" t="e">
        <f>AVERAGEIFS('Region 11'!$W$2:$W$391,'Region 11'!$A$2:$A$391,F$1,'Region 11'!$X$2:$X$391,$D168,'Region 11'!$S$2:$S$391,$A168)</f>
        <v>#DIV/0!</v>
      </c>
      <c r="G168" t="e">
        <f>AVERAGEIFS('Region 11'!$W$2:$W$391,'Region 11'!$A$2:$A$391,G$1,'Region 11'!$X$2:$X$391,$D168,'Region 11'!$S$2:$S$391,$A168)</f>
        <v>#DIV/0!</v>
      </c>
      <c r="H168" t="e">
        <f>AVERAGEIFS('Region 11'!$W$2:$W$391,'Region 11'!$A$2:$A$391,H$1,'Region 11'!$X$2:$X$391,$D168,'Region 11'!$S$2:$S$391,$A168)</f>
        <v>#DIV/0!</v>
      </c>
      <c r="I168" t="e">
        <f>AVERAGEIFS('Region 11'!$W$2:$W$391,'Region 11'!$A$2:$A$391,I$1,'Region 11'!$X$2:$X$391,$D168,'Region 11'!$S$2:$S$391,$A168)</f>
        <v>#DIV/0!</v>
      </c>
      <c r="J168" t="e">
        <f>AVERAGEIFS('Region 11'!$W$2:$W$391,'Region 11'!$A$2:$A$391,J$1,'Region 11'!$X$2:$X$391,$D168,'Region 11'!$S$2:$S$391,$A168)</f>
        <v>#DIV/0!</v>
      </c>
      <c r="K168">
        <f>AVERAGEIFS('Region 11'!$W$2:$W$391,'Region 11'!$A$2:$A$391,K$1,'Region 11'!$X$2:$X$391,$D168,'Region 11'!$S$2:$S$391,$A168)</f>
        <v>106.14285714285714</v>
      </c>
      <c r="L168">
        <f>AVERAGEIFS('Region 11'!$W$2:$W$391,'Region 11'!$A$2:$A$391,L$1,'Region 11'!$X$2:$X$391,$D168,'Region 11'!$S$2:$S$391,$A168)</f>
        <v>47.333333333333336</v>
      </c>
      <c r="M168">
        <f>AVERAGEIFS('Region 11'!$W$2:$W$391,'Region 11'!$A$2:$A$391,M$1,'Region 11'!$X$2:$X$391,$D168,'Region 11'!$S$2:$S$391,$A168)</f>
        <v>50.717692641076923</v>
      </c>
      <c r="N168" t="e">
        <f>AVERAGEIFS('Region 11'!$W$2:$W$391,'Region 11'!$A$2:$A$391,N$1,'Region 11'!$X$2:$X$391,$D168,'Region 11'!$S$2:$S$391,$A168)</f>
        <v>#DIV/0!</v>
      </c>
      <c r="Q168" t="str">
        <f t="shared" si="77"/>
        <v>Steel</v>
      </c>
      <c r="R168" t="str">
        <f t="shared" si="78"/>
        <v>Appartments</v>
      </c>
      <c r="S168">
        <f t="shared" si="79"/>
        <v>11</v>
      </c>
      <c r="T168" t="str">
        <f t="shared" si="59"/>
        <v>-</v>
      </c>
      <c r="U168" t="str">
        <f t="shared" si="60"/>
        <v>-</v>
      </c>
      <c r="V168" t="str">
        <f t="shared" si="61"/>
        <v>-</v>
      </c>
      <c r="W168" t="str">
        <f t="shared" si="62"/>
        <v>-</v>
      </c>
      <c r="X168" t="str">
        <f t="shared" si="63"/>
        <v>-</v>
      </c>
      <c r="Y168" t="str">
        <f t="shared" si="64"/>
        <v>-</v>
      </c>
      <c r="Z168">
        <f t="shared" si="65"/>
        <v>106.14285714285714</v>
      </c>
      <c r="AA168">
        <f t="shared" si="66"/>
        <v>47.333333333333336</v>
      </c>
      <c r="AB168">
        <f t="shared" si="67"/>
        <v>50.717692641076923</v>
      </c>
      <c r="AC168" t="str">
        <f t="shared" si="68"/>
        <v>-</v>
      </c>
    </row>
    <row r="169" spans="1:29" x14ac:dyDescent="0.3">
      <c r="A169" t="s">
        <v>30</v>
      </c>
      <c r="B169" t="str">
        <f t="shared" ref="B169:D169" si="109">B65</f>
        <v>Appartments</v>
      </c>
      <c r="C169">
        <f t="shared" si="109"/>
        <v>12</v>
      </c>
      <c r="D169">
        <f t="shared" si="109"/>
        <v>3</v>
      </c>
      <c r="E169" t="e">
        <f>AVERAGEIFS('Region 12'!$W$2:$W$459,'Region 12'!$A$2:$A$459,E$1,'Region 12'!$X$2:$X$459,$D169,'Region 12'!$S$2:$S$459,$A169)</f>
        <v>#DIV/0!</v>
      </c>
      <c r="F169" t="e">
        <f>AVERAGEIFS('Region 12'!$W$2:$W$459,'Region 12'!$A$2:$A$459,F$1,'Region 12'!$X$2:$X$459,$D169,'Region 12'!$S$2:$S$459,$A169)</f>
        <v>#DIV/0!</v>
      </c>
      <c r="G169" t="e">
        <f>AVERAGEIFS('Region 12'!$W$2:$W$459,'Region 12'!$A$2:$A$459,G$1,'Region 12'!$X$2:$X$459,$D169,'Region 12'!$S$2:$S$459,$A169)</f>
        <v>#DIV/0!</v>
      </c>
      <c r="H169" t="e">
        <f>AVERAGEIFS('Region 12'!$W$2:$W$459,'Region 12'!$A$2:$A$459,H$1,'Region 12'!$X$2:$X$459,$D169,'Region 12'!$S$2:$S$459,$A169)</f>
        <v>#DIV/0!</v>
      </c>
      <c r="I169" t="e">
        <f>AVERAGEIFS('Region 12'!$W$2:$W$459,'Region 12'!$A$2:$A$459,I$1,'Region 12'!$X$2:$X$459,$D169,'Region 12'!$S$2:$S$459,$A169)</f>
        <v>#DIV/0!</v>
      </c>
      <c r="J169" t="e">
        <f>AVERAGEIFS('Region 12'!$W$2:$W$459,'Region 12'!$A$2:$A$459,J$1,'Region 12'!$X$2:$X$459,$D169,'Region 12'!$S$2:$S$459,$A169)</f>
        <v>#DIV/0!</v>
      </c>
      <c r="K169" t="e">
        <f>AVERAGEIFS('Region 12'!$W$2:$W$459,'Region 12'!$A$2:$A$459,K$1,'Region 12'!$X$2:$X$459,$D169,'Region 12'!$S$2:$S$459,$A169)</f>
        <v>#DIV/0!</v>
      </c>
      <c r="L169" t="e">
        <f>AVERAGEIFS('Region 12'!$W$2:$W$459,'Region 12'!$A$2:$A$459,L$1,'Region 12'!$X$2:$X$459,$D169,'Region 12'!$S$2:$S$459,$A169)</f>
        <v>#DIV/0!</v>
      </c>
      <c r="M169" t="e">
        <f>AVERAGEIFS('Region 12'!$W$2:$W$459,'Region 12'!$A$2:$A$459,M$1,'Region 12'!$X$2:$X$459,$D169,'Region 12'!$S$2:$S$459,$A169)</f>
        <v>#DIV/0!</v>
      </c>
      <c r="N169" t="e">
        <f>AVERAGEIFS('Region 12'!$W$2:$W$459,'Region 12'!$A$2:$A$459,N$1,'Region 12'!$X$2:$X$459,$D169,'Region 12'!$S$2:$S$459,$A169)</f>
        <v>#DIV/0!</v>
      </c>
      <c r="Q169" t="str">
        <f t="shared" si="77"/>
        <v>Steel</v>
      </c>
      <c r="R169" t="str">
        <f t="shared" si="78"/>
        <v>Appartments</v>
      </c>
      <c r="S169">
        <f t="shared" si="79"/>
        <v>12</v>
      </c>
      <c r="T169" t="str">
        <f t="shared" si="59"/>
        <v>-</v>
      </c>
      <c r="U169" t="str">
        <f t="shared" si="60"/>
        <v>-</v>
      </c>
      <c r="V169" t="str">
        <f t="shared" si="61"/>
        <v>-</v>
      </c>
      <c r="W169" t="str">
        <f t="shared" si="62"/>
        <v>-</v>
      </c>
      <c r="X169" t="str">
        <f t="shared" si="63"/>
        <v>-</v>
      </c>
      <c r="Y169" t="str">
        <f t="shared" si="64"/>
        <v>-</v>
      </c>
      <c r="Z169" t="str">
        <f t="shared" si="65"/>
        <v>-</v>
      </c>
      <c r="AA169" t="str">
        <f t="shared" si="66"/>
        <v>-</v>
      </c>
      <c r="AB169" t="str">
        <f t="shared" si="67"/>
        <v>-</v>
      </c>
      <c r="AC169" t="str">
        <f t="shared" si="68"/>
        <v>-</v>
      </c>
    </row>
    <row r="170" spans="1:29" x14ac:dyDescent="0.3">
      <c r="A170" t="s">
        <v>30</v>
      </c>
      <c r="B170" t="str">
        <f t="shared" ref="B170:D170" si="110">B66</f>
        <v>Appartments</v>
      </c>
      <c r="C170">
        <f t="shared" si="110"/>
        <v>13</v>
      </c>
      <c r="D170">
        <f t="shared" si="110"/>
        <v>3</v>
      </c>
      <c r="E170">
        <f>AVERAGEIFS('Region 13'!$W$2:$W$500,'Region 13'!$A$2:$A$500,E$1,'Region 13'!$X$2:$X$500,$D170,'Region 13'!$S$2:$S$500,$A170)</f>
        <v>75.50272727272727</v>
      </c>
      <c r="F170" t="e">
        <f>AVERAGEIFS('Region 13'!$W$2:$W$500,'Region 13'!$A$2:$A$500,F$1,'Region 13'!$X$2:$X$500,$D170,'Region 13'!$S$2:$S$500,$A170)</f>
        <v>#DIV/0!</v>
      </c>
      <c r="G170" t="e">
        <f>AVERAGEIFS('Region 13'!$W$2:$W$500,'Region 13'!$A$2:$A$500,G$1,'Region 13'!$X$2:$X$500,$D170,'Region 13'!$S$2:$S$500,$A170)</f>
        <v>#DIV/0!</v>
      </c>
      <c r="H170" t="e">
        <f>AVERAGEIFS('Region 13'!$W$2:$W$500,'Region 13'!$A$2:$A$500,H$1,'Region 13'!$X$2:$X$500,$D170,'Region 13'!$S$2:$S$500,$A170)</f>
        <v>#DIV/0!</v>
      </c>
      <c r="I170" t="e">
        <f>AVERAGEIFS('Region 13'!$W$2:$W$500,'Region 13'!$A$2:$A$500,I$1,'Region 13'!$X$2:$X$500,$D170,'Region 13'!$S$2:$S$500,$A170)</f>
        <v>#DIV/0!</v>
      </c>
      <c r="J170" t="e">
        <f>AVERAGEIFS('Region 13'!$W$2:$W$500,'Region 13'!$A$2:$A$500,J$1,'Region 13'!$X$2:$X$500,$D170,'Region 13'!$S$2:$S$500,$A170)</f>
        <v>#DIV/0!</v>
      </c>
      <c r="K170" t="e">
        <f>AVERAGEIFS('Region 13'!$W$2:$W$500,'Region 13'!$A$2:$A$500,K$1,'Region 13'!$X$2:$X$500,$D170,'Region 13'!$S$2:$S$500,$A170)</f>
        <v>#DIV/0!</v>
      </c>
      <c r="L170" t="e">
        <f>AVERAGEIFS('Region 13'!$W$2:$W$500,'Region 13'!$A$2:$A$500,L$1,'Region 13'!$X$2:$X$500,$D170,'Region 13'!$S$2:$S$500,$A170)</f>
        <v>#DIV/0!</v>
      </c>
      <c r="M170" t="e">
        <f>AVERAGEIFS('Region 13'!$W$2:$W$500,'Region 13'!$A$2:$A$500,M$1,'Region 13'!$X$2:$X$500,$D170,'Region 13'!$S$2:$S$500,$A170)</f>
        <v>#DIV/0!</v>
      </c>
      <c r="N170" t="e">
        <f>AVERAGEIFS('Region 13'!$W$2:$W$500,'Region 13'!$A$2:$A$500,N$1,'Region 13'!$X$2:$X$500,$D170,'Region 13'!$S$2:$S$500,$A170)</f>
        <v>#DIV/0!</v>
      </c>
      <c r="Q170" t="str">
        <f t="shared" si="77"/>
        <v>Steel</v>
      </c>
      <c r="R170" t="str">
        <f t="shared" si="78"/>
        <v>Appartments</v>
      </c>
      <c r="S170">
        <f t="shared" si="79"/>
        <v>13</v>
      </c>
      <c r="T170">
        <f t="shared" si="59"/>
        <v>75.50272727272727</v>
      </c>
      <c r="U170" t="str">
        <f t="shared" si="60"/>
        <v>-</v>
      </c>
      <c r="V170" t="str">
        <f t="shared" si="61"/>
        <v>-</v>
      </c>
      <c r="W170" t="str">
        <f t="shared" si="62"/>
        <v>-</v>
      </c>
      <c r="X170" t="str">
        <f t="shared" si="63"/>
        <v>-</v>
      </c>
      <c r="Y170" t="str">
        <f t="shared" si="64"/>
        <v>-</v>
      </c>
      <c r="Z170" t="str">
        <f t="shared" si="65"/>
        <v>-</v>
      </c>
      <c r="AA170" t="str">
        <f t="shared" si="66"/>
        <v>-</v>
      </c>
      <c r="AB170" t="str">
        <f t="shared" si="67"/>
        <v>-</v>
      </c>
      <c r="AC170" t="str">
        <f t="shared" si="68"/>
        <v>-</v>
      </c>
    </row>
    <row r="171" spans="1:29" x14ac:dyDescent="0.3">
      <c r="A171" t="s">
        <v>30</v>
      </c>
      <c r="B171" t="str">
        <f t="shared" ref="B171:D171" si="111">B67</f>
        <v>Appartments</v>
      </c>
      <c r="C171">
        <f t="shared" si="111"/>
        <v>14</v>
      </c>
      <c r="D171">
        <f t="shared" si="111"/>
        <v>3</v>
      </c>
      <c r="E171" t="e">
        <f ca="1">AVERAGEIFS('Region 14'!$W$2:$W$500,'Region 14'!$A$2:$A$500,E$1,'Region 14'!$X$2:$X$500,$D171,'Region 14'!$S$2:$S$500,$A171)</f>
        <v>#DIV/0!</v>
      </c>
      <c r="F171" t="e">
        <f ca="1">AVERAGEIFS('Region 14'!$W$2:$W$500,'Region 14'!$A$2:$A$500,F$1,'Region 14'!$X$2:$X$500,$D171,'Region 14'!$S$2:$S$500,$A171)</f>
        <v>#DIV/0!</v>
      </c>
      <c r="G171" t="e">
        <f ca="1">AVERAGEIFS('Region 14'!$W$2:$W$500,'Region 14'!$A$2:$A$500,G$1,'Region 14'!$X$2:$X$500,$D171,'Region 14'!$S$2:$S$500,$A171)</f>
        <v>#DIV/0!</v>
      </c>
      <c r="H171" t="e">
        <f ca="1">AVERAGEIFS('Region 14'!$W$2:$W$500,'Region 14'!$A$2:$A$500,H$1,'Region 14'!$X$2:$X$500,$D171,'Region 14'!$S$2:$S$500,$A171)</f>
        <v>#DIV/0!</v>
      </c>
      <c r="I171" t="e">
        <f ca="1">AVERAGEIFS('Region 14'!$W$2:$W$500,'Region 14'!$A$2:$A$500,I$1,'Region 14'!$X$2:$X$500,$D171,'Region 14'!$S$2:$S$500,$A171)</f>
        <v>#DIV/0!</v>
      </c>
      <c r="J171" t="e">
        <f ca="1">AVERAGEIFS('Region 14'!$W$2:$W$500,'Region 14'!$A$2:$A$500,J$1,'Region 14'!$X$2:$X$500,$D171,'Region 14'!$S$2:$S$500,$A171)</f>
        <v>#DIV/0!</v>
      </c>
      <c r="K171" t="e">
        <f ca="1">AVERAGEIFS('Region 14'!$W$2:$W$500,'Region 14'!$A$2:$A$500,K$1,'Region 14'!$X$2:$X$500,$D171,'Region 14'!$S$2:$S$500,$A171)</f>
        <v>#DIV/0!</v>
      </c>
      <c r="L171" t="e">
        <f ca="1">AVERAGEIFS('Region 14'!$W$2:$W$500,'Region 14'!$A$2:$A$500,L$1,'Region 14'!$X$2:$X$500,$D171,'Region 14'!$S$2:$S$500,$A171)</f>
        <v>#DIV/0!</v>
      </c>
      <c r="M171" t="e">
        <f ca="1">AVERAGEIFS('Region 14'!$W$2:$W$500,'Region 14'!$A$2:$A$500,M$1,'Region 14'!$X$2:$X$500,$D171,'Region 14'!$S$2:$S$500,$A171)</f>
        <v>#DIV/0!</v>
      </c>
      <c r="N171" t="e">
        <f ca="1">AVERAGEIFS('Region 14'!$W$2:$W$500,'Region 14'!$A$2:$A$500,N$1,'Region 14'!$X$2:$X$500,$D171,'Region 14'!$S$2:$S$500,$A171)</f>
        <v>#DIV/0!</v>
      </c>
      <c r="Q171" t="str">
        <f t="shared" si="77"/>
        <v>Steel</v>
      </c>
      <c r="R171" t="str">
        <f t="shared" si="78"/>
        <v>Appartments</v>
      </c>
      <c r="S171">
        <f t="shared" si="79"/>
        <v>14</v>
      </c>
      <c r="T171" t="str">
        <f t="shared" ca="1" si="59"/>
        <v>-</v>
      </c>
      <c r="U171" t="str">
        <f t="shared" ca="1" si="60"/>
        <v>-</v>
      </c>
      <c r="V171" t="str">
        <f t="shared" ca="1" si="61"/>
        <v>-</v>
      </c>
      <c r="W171" t="str">
        <f t="shared" ca="1" si="62"/>
        <v>-</v>
      </c>
      <c r="X171" t="str">
        <f t="shared" ca="1" si="63"/>
        <v>-</v>
      </c>
      <c r="Y171" t="str">
        <f t="shared" ca="1" si="64"/>
        <v>-</v>
      </c>
      <c r="Z171" t="str">
        <f t="shared" ca="1" si="65"/>
        <v>-</v>
      </c>
      <c r="AA171" t="str">
        <f t="shared" ca="1" si="66"/>
        <v>-</v>
      </c>
      <c r="AB171" t="str">
        <f t="shared" ca="1" si="67"/>
        <v>-</v>
      </c>
      <c r="AC171" t="str">
        <f t="shared" ca="1" si="68"/>
        <v>-</v>
      </c>
    </row>
    <row r="172" spans="1:29" x14ac:dyDescent="0.3">
      <c r="A172" t="s">
        <v>30</v>
      </c>
      <c r="B172" t="str">
        <f t="shared" ref="B172:D172" si="112">B68</f>
        <v>Appartments</v>
      </c>
      <c r="C172">
        <f t="shared" si="112"/>
        <v>15</v>
      </c>
      <c r="D172">
        <f t="shared" si="112"/>
        <v>3</v>
      </c>
      <c r="E172" t="e">
        <f ca="1">AVERAGEIFS('Region 15'!$W$2:$W$500,'Region 15'!$A$2:$A$500,E$1,'Region 15'!$X$2:$X$500,$D172,'Region 15'!$S$2:$S$500,$A172)</f>
        <v>#DIV/0!</v>
      </c>
      <c r="F172" t="e">
        <f ca="1">AVERAGEIFS('Region 15'!$W$2:$W$500,'Region 15'!$A$2:$A$500,F$1,'Region 15'!$X$2:$X$500,$D172,'Region 15'!$S$2:$S$500,$A172)</f>
        <v>#DIV/0!</v>
      </c>
      <c r="G172" t="e">
        <f ca="1">AVERAGEIFS('Region 15'!$W$2:$W$500,'Region 15'!$A$2:$A$500,G$1,'Region 15'!$X$2:$X$500,$D172,'Region 15'!$S$2:$S$500,$A172)</f>
        <v>#DIV/0!</v>
      </c>
      <c r="H172" t="e">
        <f ca="1">AVERAGEIFS('Region 15'!$W$2:$W$500,'Region 15'!$A$2:$A$500,H$1,'Region 15'!$X$2:$X$500,$D172,'Region 15'!$S$2:$S$500,$A172)</f>
        <v>#DIV/0!</v>
      </c>
      <c r="I172" t="e">
        <f ca="1">AVERAGEIFS('Region 15'!$W$2:$W$500,'Region 15'!$A$2:$A$500,I$1,'Region 15'!$X$2:$X$500,$D172,'Region 15'!$S$2:$S$500,$A172)</f>
        <v>#DIV/0!</v>
      </c>
      <c r="J172" t="e">
        <f ca="1">AVERAGEIFS('Region 15'!$W$2:$W$500,'Region 15'!$A$2:$A$500,J$1,'Region 15'!$X$2:$X$500,$D172,'Region 15'!$S$2:$S$500,$A172)</f>
        <v>#DIV/0!</v>
      </c>
      <c r="K172" t="e">
        <f ca="1">AVERAGEIFS('Region 15'!$W$2:$W$500,'Region 15'!$A$2:$A$500,K$1,'Region 15'!$X$2:$X$500,$D172,'Region 15'!$S$2:$S$500,$A172)</f>
        <v>#DIV/0!</v>
      </c>
      <c r="L172" t="e">
        <f ca="1">AVERAGEIFS('Region 15'!$W$2:$W$500,'Region 15'!$A$2:$A$500,L$1,'Region 15'!$X$2:$X$500,$D172,'Region 15'!$S$2:$S$500,$A172)</f>
        <v>#DIV/0!</v>
      </c>
      <c r="M172" t="e">
        <f ca="1">AVERAGEIFS('Region 15'!$W$2:$W$500,'Region 15'!$A$2:$A$500,M$1,'Region 15'!$X$2:$X$500,$D172,'Region 15'!$S$2:$S$500,$A172)</f>
        <v>#DIV/0!</v>
      </c>
      <c r="N172" t="e">
        <f ca="1">AVERAGEIFS('Region 15'!$W$2:$W$500,'Region 15'!$A$2:$A$500,N$1,'Region 15'!$X$2:$X$500,$D172,'Region 15'!$S$2:$S$500,$A172)</f>
        <v>#DIV/0!</v>
      </c>
      <c r="Q172" t="str">
        <f t="shared" si="77"/>
        <v>Steel</v>
      </c>
      <c r="R172" t="str">
        <f t="shared" si="78"/>
        <v>Appartments</v>
      </c>
      <c r="S172">
        <f t="shared" si="79"/>
        <v>15</v>
      </c>
      <c r="T172" t="str">
        <f t="shared" ca="1" si="59"/>
        <v>-</v>
      </c>
      <c r="U172" t="str">
        <f t="shared" ca="1" si="60"/>
        <v>-</v>
      </c>
      <c r="V172" t="str">
        <f t="shared" ca="1" si="61"/>
        <v>-</v>
      </c>
      <c r="W172" t="str">
        <f t="shared" ca="1" si="62"/>
        <v>-</v>
      </c>
      <c r="X172" t="str">
        <f t="shared" ca="1" si="63"/>
        <v>-</v>
      </c>
      <c r="Y172" t="str">
        <f t="shared" ca="1" si="64"/>
        <v>-</v>
      </c>
      <c r="Z172" t="str">
        <f t="shared" ca="1" si="65"/>
        <v>-</v>
      </c>
      <c r="AA172" t="str">
        <f t="shared" ca="1" si="66"/>
        <v>-</v>
      </c>
      <c r="AB172" t="str">
        <f t="shared" ca="1" si="67"/>
        <v>-</v>
      </c>
      <c r="AC172" t="str">
        <f t="shared" ca="1" si="68"/>
        <v>-</v>
      </c>
    </row>
    <row r="173" spans="1:29" x14ac:dyDescent="0.3">
      <c r="A173" t="s">
        <v>30</v>
      </c>
      <c r="B173" t="str">
        <f t="shared" ref="B173:D173" si="113">B69</f>
        <v>Appartments</v>
      </c>
      <c r="C173">
        <f t="shared" si="113"/>
        <v>16</v>
      </c>
      <c r="D173">
        <f t="shared" si="113"/>
        <v>3</v>
      </c>
      <c r="E173" t="e">
        <f ca="1">AVERAGEIFS('Region 16'!$W$2:$W$500,'Region 16'!$A$2:$A$500,E$1,'Region 16'!$X$2:$X$500,$D173,'Region 16'!$S$2:$S$500,$A173)</f>
        <v>#DIV/0!</v>
      </c>
      <c r="F173" t="e">
        <f ca="1">AVERAGEIFS('Region 16'!$W$2:$W$500,'Region 16'!$A$2:$A$500,F$1,'Region 16'!$X$2:$X$500,$D173,'Region 16'!$S$2:$S$500,$A173)</f>
        <v>#DIV/0!</v>
      </c>
      <c r="G173" t="e">
        <f ca="1">AVERAGEIFS('Region 16'!$W$2:$W$500,'Region 16'!$A$2:$A$500,G$1,'Region 16'!$X$2:$X$500,$D173,'Region 16'!$S$2:$S$500,$A173)</f>
        <v>#DIV/0!</v>
      </c>
      <c r="H173" t="e">
        <f ca="1">AVERAGEIFS('Region 16'!$W$2:$W$500,'Region 16'!$A$2:$A$500,H$1,'Region 16'!$X$2:$X$500,$D173,'Region 16'!$S$2:$S$500,$A173)</f>
        <v>#DIV/0!</v>
      </c>
      <c r="I173" t="e">
        <f ca="1">AVERAGEIFS('Region 16'!$W$2:$W$500,'Region 16'!$A$2:$A$500,I$1,'Region 16'!$X$2:$X$500,$D173,'Region 16'!$S$2:$S$500,$A173)</f>
        <v>#DIV/0!</v>
      </c>
      <c r="J173" t="e">
        <f ca="1">AVERAGEIFS('Region 16'!$W$2:$W$500,'Region 16'!$A$2:$A$500,J$1,'Region 16'!$X$2:$X$500,$D173,'Region 16'!$S$2:$S$500,$A173)</f>
        <v>#DIV/0!</v>
      </c>
      <c r="K173" t="e">
        <f ca="1">AVERAGEIFS('Region 16'!$W$2:$W$500,'Region 16'!$A$2:$A$500,K$1,'Region 16'!$X$2:$X$500,$D173,'Region 16'!$S$2:$S$500,$A173)</f>
        <v>#DIV/0!</v>
      </c>
      <c r="L173" t="e">
        <f ca="1">AVERAGEIFS('Region 16'!$W$2:$W$500,'Region 16'!$A$2:$A$500,L$1,'Region 16'!$X$2:$X$500,$D173,'Region 16'!$S$2:$S$500,$A173)</f>
        <v>#DIV/0!</v>
      </c>
      <c r="M173" t="e">
        <f ca="1">AVERAGEIFS('Region 16'!$W$2:$W$500,'Region 16'!$A$2:$A$500,M$1,'Region 16'!$X$2:$X$500,$D173,'Region 16'!$S$2:$S$500,$A173)</f>
        <v>#DIV/0!</v>
      </c>
      <c r="N173" t="e">
        <f ca="1">AVERAGEIFS('Region 16'!$W$2:$W$500,'Region 16'!$A$2:$A$500,N$1,'Region 16'!$X$2:$X$500,$D173,'Region 16'!$S$2:$S$500,$A173)</f>
        <v>#DIV/0!</v>
      </c>
      <c r="Q173" t="str">
        <f t="shared" si="77"/>
        <v>Steel</v>
      </c>
      <c r="R173" t="str">
        <f t="shared" si="78"/>
        <v>Appartments</v>
      </c>
      <c r="S173">
        <f t="shared" si="79"/>
        <v>16</v>
      </c>
      <c r="T173" t="str">
        <f t="shared" ca="1" si="59"/>
        <v>-</v>
      </c>
      <c r="U173" t="str">
        <f t="shared" ca="1" si="60"/>
        <v>-</v>
      </c>
      <c r="V173" t="str">
        <f t="shared" ca="1" si="61"/>
        <v>-</v>
      </c>
      <c r="W173" t="str">
        <f t="shared" ca="1" si="62"/>
        <v>-</v>
      </c>
      <c r="X173" t="str">
        <f t="shared" ca="1" si="63"/>
        <v>-</v>
      </c>
      <c r="Y173" t="str">
        <f t="shared" ca="1" si="64"/>
        <v>-</v>
      </c>
      <c r="Z173" t="str">
        <f t="shared" ca="1" si="65"/>
        <v>-</v>
      </c>
      <c r="AA173" t="str">
        <f t="shared" ca="1" si="66"/>
        <v>-</v>
      </c>
      <c r="AB173" t="str">
        <f t="shared" ca="1" si="67"/>
        <v>-</v>
      </c>
      <c r="AC173" t="str">
        <f t="shared" ca="1" si="68"/>
        <v>-</v>
      </c>
    </row>
    <row r="174" spans="1:29" x14ac:dyDescent="0.3">
      <c r="A174" t="s">
        <v>30</v>
      </c>
      <c r="B174" t="str">
        <f t="shared" ref="B174:D174" si="114">B70</f>
        <v>Appartments</v>
      </c>
      <c r="C174">
        <f t="shared" si="114"/>
        <v>17</v>
      </c>
      <c r="D174">
        <f t="shared" si="114"/>
        <v>3</v>
      </c>
      <c r="E174">
        <f>AVERAGEIFS('Region 17'!$W$2:$W$498,'Region 17'!$A$2:$A$498,E$1,'Region 17'!$X$2:$X$498,$D174,'Region 17'!$S$2:$S$498,$A174)</f>
        <v>335.18805309734512</v>
      </c>
      <c r="F174" t="e">
        <f>AVERAGEIFS('Region 17'!$W$2:$W$498,'Region 17'!$A$2:$A$498,F$1,'Region 17'!$X$2:$X$498,$D174,'Region 17'!$S$2:$S$498,$A174)</f>
        <v>#DIV/0!</v>
      </c>
      <c r="G174" t="e">
        <f>AVERAGEIFS('Region 17'!$W$2:$W$498,'Region 17'!$A$2:$A$498,G$1,'Region 17'!$X$2:$X$498,$D174,'Region 17'!$S$2:$S$498,$A174)</f>
        <v>#DIV/0!</v>
      </c>
      <c r="H174" t="e">
        <f>AVERAGEIFS('Region 17'!$W$2:$W$498,'Region 17'!$A$2:$A$498,H$1,'Region 17'!$X$2:$X$498,$D174,'Region 17'!$S$2:$S$498,$A174)</f>
        <v>#DIV/0!</v>
      </c>
      <c r="I174" t="e">
        <f>AVERAGEIFS('Region 17'!$W$2:$W$498,'Region 17'!$A$2:$A$498,I$1,'Region 17'!$X$2:$X$498,$D174,'Region 17'!$S$2:$S$498,$A174)</f>
        <v>#DIV/0!</v>
      </c>
      <c r="J174" t="e">
        <f>AVERAGEIFS('Region 17'!$W$2:$W$498,'Region 17'!$A$2:$A$498,J$1,'Region 17'!$X$2:$X$498,$D174,'Region 17'!$S$2:$S$498,$A174)</f>
        <v>#DIV/0!</v>
      </c>
      <c r="K174" t="e">
        <f>AVERAGEIFS('Region 17'!$W$2:$W$498,'Region 17'!$A$2:$A$498,K$1,'Region 17'!$X$2:$X$498,$D174,'Region 17'!$S$2:$S$498,$A174)</f>
        <v>#DIV/0!</v>
      </c>
      <c r="L174" t="e">
        <f>AVERAGEIFS('Region 17'!$W$2:$W$498,'Region 17'!$A$2:$A$498,L$1,'Region 17'!$X$2:$X$498,$D174,'Region 17'!$S$2:$S$498,$A174)</f>
        <v>#DIV/0!</v>
      </c>
      <c r="M174" t="e">
        <f>AVERAGEIFS('Region 17'!$W$2:$W$498,'Region 17'!$A$2:$A$498,M$1,'Region 17'!$X$2:$X$498,$D174,'Region 17'!$S$2:$S$498,$A174)</f>
        <v>#DIV/0!</v>
      </c>
      <c r="N174" t="e">
        <f>AVERAGEIFS('Region 17'!$W$2:$W$498,'Region 17'!$A$2:$A$498,N$1,'Region 17'!$X$2:$X$498,$D174,'Region 17'!$S$2:$S$498,$A174)</f>
        <v>#DIV/0!</v>
      </c>
      <c r="Q174" t="str">
        <f t="shared" si="77"/>
        <v>Steel</v>
      </c>
      <c r="R174" t="str">
        <f t="shared" si="78"/>
        <v>Appartments</v>
      </c>
      <c r="S174">
        <f t="shared" si="79"/>
        <v>17</v>
      </c>
      <c r="T174">
        <f t="shared" si="59"/>
        <v>335.18805309734512</v>
      </c>
      <c r="U174" t="str">
        <f t="shared" si="60"/>
        <v>-</v>
      </c>
      <c r="V174" t="str">
        <f t="shared" si="61"/>
        <v>-</v>
      </c>
      <c r="W174" t="str">
        <f t="shared" si="62"/>
        <v>-</v>
      </c>
      <c r="X174" t="str">
        <f t="shared" si="63"/>
        <v>-</v>
      </c>
      <c r="Y174" t="str">
        <f t="shared" si="64"/>
        <v>-</v>
      </c>
      <c r="Z174" t="str">
        <f t="shared" si="65"/>
        <v>-</v>
      </c>
      <c r="AA174" t="str">
        <f t="shared" si="66"/>
        <v>-</v>
      </c>
      <c r="AB174" t="str">
        <f t="shared" si="67"/>
        <v>-</v>
      </c>
      <c r="AC174" t="str">
        <f t="shared" si="68"/>
        <v>-</v>
      </c>
    </row>
    <row r="175" spans="1:29" x14ac:dyDescent="0.3">
      <c r="A175" t="s">
        <v>30</v>
      </c>
      <c r="B175" t="str">
        <f t="shared" ref="B175:D175" si="115">B71</f>
        <v>Appartments</v>
      </c>
      <c r="C175">
        <f t="shared" si="115"/>
        <v>18</v>
      </c>
      <c r="D175">
        <f t="shared" si="115"/>
        <v>3</v>
      </c>
      <c r="E175" t="e">
        <f>AVERAGEIFS('Region 18'!$W$2:$W$468,'Region 18'!$A$2:$A$468,E$1,'Region 18'!$X$2:$X$468,$D175,'Region 18'!$S$2:$S$468,$A175)</f>
        <v>#DIV/0!</v>
      </c>
      <c r="F175">
        <f>AVERAGEIFS('Region 18'!$W$2:$W$468,'Region 18'!$A$2:$A$468,F$1,'Region 18'!$X$2:$X$468,$D175,'Region 18'!$S$2:$S$468,$A175)</f>
        <v>21.157142857142855</v>
      </c>
      <c r="G175" t="e">
        <f>AVERAGEIFS('Region 18'!$W$2:$W$468,'Region 18'!$A$2:$A$468,G$1,'Region 18'!$X$2:$X$468,$D175,'Region 18'!$S$2:$S$468,$A175)</f>
        <v>#DIV/0!</v>
      </c>
      <c r="H175" t="e">
        <f>AVERAGEIFS('Region 18'!$W$2:$W$468,'Region 18'!$A$2:$A$468,H$1,'Region 18'!$X$2:$X$468,$D175,'Region 18'!$S$2:$S$468,$A175)</f>
        <v>#DIV/0!</v>
      </c>
      <c r="I175" t="e">
        <f>AVERAGEIFS('Region 18'!$W$2:$W$468,'Region 18'!$A$2:$A$468,I$1,'Region 18'!$X$2:$X$468,$D175,'Region 18'!$S$2:$S$468,$A175)</f>
        <v>#DIV/0!</v>
      </c>
      <c r="J175" t="e">
        <f>AVERAGEIFS('Region 18'!$W$2:$W$468,'Region 18'!$A$2:$A$468,J$1,'Region 18'!$X$2:$X$468,$D175,'Region 18'!$S$2:$S$468,$A175)</f>
        <v>#DIV/0!</v>
      </c>
      <c r="K175" t="e">
        <f>AVERAGEIFS('Region 18'!$W$2:$W$468,'Region 18'!$A$2:$A$468,K$1,'Region 18'!$X$2:$X$468,$D175,'Region 18'!$S$2:$S$468,$A175)</f>
        <v>#DIV/0!</v>
      </c>
      <c r="L175" t="e">
        <f>AVERAGEIFS('Region 18'!$W$2:$W$468,'Region 18'!$A$2:$A$468,L$1,'Region 18'!$X$2:$X$468,$D175,'Region 18'!$S$2:$S$468,$A175)</f>
        <v>#DIV/0!</v>
      </c>
      <c r="M175" t="e">
        <f>AVERAGEIFS('Region 18'!$W$2:$W$468,'Region 18'!$A$2:$A$468,M$1,'Region 18'!$X$2:$X$468,$D175,'Region 18'!$S$2:$S$468,$A175)</f>
        <v>#DIV/0!</v>
      </c>
      <c r="N175" t="e">
        <f>AVERAGEIFS('Region 18'!$W$2:$W$468,'Region 18'!$A$2:$A$468,N$1,'Region 18'!$X$2:$X$468,$D175,'Region 18'!$S$2:$S$468,$A175)</f>
        <v>#DIV/0!</v>
      </c>
      <c r="Q175" t="str">
        <f t="shared" si="77"/>
        <v>Steel</v>
      </c>
      <c r="R175" t="str">
        <f t="shared" si="78"/>
        <v>Appartments</v>
      </c>
      <c r="S175">
        <f t="shared" si="79"/>
        <v>18</v>
      </c>
      <c r="T175" t="str">
        <f t="shared" si="59"/>
        <v>-</v>
      </c>
      <c r="U175">
        <f t="shared" si="60"/>
        <v>21.157142857142855</v>
      </c>
      <c r="V175" t="str">
        <f t="shared" si="61"/>
        <v>-</v>
      </c>
      <c r="W175" t="str">
        <f t="shared" si="62"/>
        <v>-</v>
      </c>
      <c r="X175" t="str">
        <f t="shared" si="63"/>
        <v>-</v>
      </c>
      <c r="Y175" t="str">
        <f t="shared" si="64"/>
        <v>-</v>
      </c>
      <c r="Z175" t="str">
        <f t="shared" si="65"/>
        <v>-</v>
      </c>
      <c r="AA175" t="str">
        <f t="shared" si="66"/>
        <v>-</v>
      </c>
      <c r="AB175" t="str">
        <f t="shared" si="67"/>
        <v>-</v>
      </c>
      <c r="AC175" t="str">
        <f t="shared" si="68"/>
        <v>-</v>
      </c>
    </row>
    <row r="176" spans="1:29" x14ac:dyDescent="0.3">
      <c r="A176" t="s">
        <v>30</v>
      </c>
      <c r="B176" t="str">
        <f t="shared" ref="B176:D176" si="116">B72</f>
        <v>Appartments</v>
      </c>
      <c r="C176">
        <f t="shared" si="116"/>
        <v>19</v>
      </c>
      <c r="D176">
        <f t="shared" si="116"/>
        <v>3</v>
      </c>
      <c r="E176" t="e">
        <f>AVERAGEIFS('Region 19'!$W$2:$W$494,'Region 19'!$A$2:$A$494,E$1,'Region 19'!$X$2:$X$494,$D176,'Region 19'!$S$2:$S$494,$A176)</f>
        <v>#DIV/0!</v>
      </c>
      <c r="F176">
        <f>AVERAGEIFS('Region 19'!$W$2:$W$494,'Region 19'!$A$2:$A$494,F$1,'Region 19'!$X$2:$X$494,$D176,'Region 19'!$S$2:$S$494,$A176)</f>
        <v>106.51201225103883</v>
      </c>
      <c r="G176" t="e">
        <f>AVERAGEIFS('Region 19'!$W$2:$W$494,'Region 19'!$A$2:$A$494,G$1,'Region 19'!$X$2:$X$494,$D176,'Region 19'!$S$2:$S$494,$A176)</f>
        <v>#DIV/0!</v>
      </c>
      <c r="H176" t="e">
        <f>AVERAGEIFS('Region 19'!$W$2:$W$494,'Region 19'!$A$2:$A$494,H$1,'Region 19'!$X$2:$X$494,$D176,'Region 19'!$S$2:$S$494,$A176)</f>
        <v>#DIV/0!</v>
      </c>
      <c r="I176" t="e">
        <f>AVERAGEIFS('Region 19'!$W$2:$W$494,'Region 19'!$A$2:$A$494,I$1,'Region 19'!$X$2:$X$494,$D176,'Region 19'!$S$2:$S$494,$A176)</f>
        <v>#DIV/0!</v>
      </c>
      <c r="J176" t="e">
        <f>AVERAGEIFS('Region 19'!$W$2:$W$494,'Region 19'!$A$2:$A$494,J$1,'Region 19'!$X$2:$X$494,$D176,'Region 19'!$S$2:$S$494,$A176)</f>
        <v>#DIV/0!</v>
      </c>
      <c r="K176" t="e">
        <f>AVERAGEIFS('Region 19'!$W$2:$W$494,'Region 19'!$A$2:$A$494,K$1,'Region 19'!$X$2:$X$494,$D176,'Region 19'!$S$2:$S$494,$A176)</f>
        <v>#DIV/0!</v>
      </c>
      <c r="L176" t="e">
        <f>AVERAGEIFS('Region 19'!$W$2:$W$494,'Region 19'!$A$2:$A$494,L$1,'Region 19'!$X$2:$X$494,$D176,'Region 19'!$S$2:$S$494,$A176)</f>
        <v>#DIV/0!</v>
      </c>
      <c r="M176" t="e">
        <f>AVERAGEIFS('Region 19'!$W$2:$W$494,'Region 19'!$A$2:$A$494,M$1,'Region 19'!$X$2:$X$494,$D176,'Region 19'!$S$2:$S$494,$A176)</f>
        <v>#DIV/0!</v>
      </c>
      <c r="N176" t="e">
        <f>AVERAGEIFS('Region 19'!$W$2:$W$494,'Region 19'!$A$2:$A$494,N$1,'Region 19'!$X$2:$X$494,$D176,'Region 19'!$S$2:$S$494,$A176)</f>
        <v>#DIV/0!</v>
      </c>
      <c r="Q176" t="str">
        <f t="shared" si="77"/>
        <v>Steel</v>
      </c>
      <c r="R176" t="str">
        <f t="shared" si="78"/>
        <v>Appartments</v>
      </c>
      <c r="S176">
        <f t="shared" si="79"/>
        <v>19</v>
      </c>
      <c r="T176" t="str">
        <f t="shared" si="59"/>
        <v>-</v>
      </c>
      <c r="U176">
        <f t="shared" si="60"/>
        <v>106.51201225103883</v>
      </c>
      <c r="V176" t="str">
        <f t="shared" si="61"/>
        <v>-</v>
      </c>
      <c r="W176" t="str">
        <f t="shared" si="62"/>
        <v>-</v>
      </c>
      <c r="X176" t="str">
        <f t="shared" si="63"/>
        <v>-</v>
      </c>
      <c r="Y176" t="str">
        <f t="shared" si="64"/>
        <v>-</v>
      </c>
      <c r="Z176" t="str">
        <f t="shared" si="65"/>
        <v>-</v>
      </c>
      <c r="AA176" t="str">
        <f t="shared" si="66"/>
        <v>-</v>
      </c>
      <c r="AB176" t="str">
        <f t="shared" si="67"/>
        <v>-</v>
      </c>
      <c r="AC176" t="str">
        <f t="shared" si="68"/>
        <v>-</v>
      </c>
    </row>
    <row r="177" spans="1:29" x14ac:dyDescent="0.3">
      <c r="A177" t="s">
        <v>30</v>
      </c>
      <c r="B177" t="str">
        <f t="shared" ref="B177:D177" si="117">B73</f>
        <v>Appartments</v>
      </c>
      <c r="C177">
        <f t="shared" si="117"/>
        <v>20</v>
      </c>
      <c r="D177">
        <f t="shared" si="117"/>
        <v>3</v>
      </c>
      <c r="E177" t="e">
        <f>AVERAGEIFS('Region 20'!$W$2:$W$269,'Region 20'!$A$2:$A$269,E$1,'Region 20'!$X$2:$X$269,$D177,'Region 20'!$S$2:$S$269,$A177)</f>
        <v>#DIV/0!</v>
      </c>
      <c r="F177" t="e">
        <f>AVERAGEIFS('Region 20'!$W$2:$W$269,'Region 20'!$A$2:$A$269,F$1,'Region 20'!$X$2:$X$269,$D177,'Region 20'!$S$2:$S$269,$A177)</f>
        <v>#DIV/0!</v>
      </c>
      <c r="G177">
        <f>AVERAGEIFS('Region 20'!$W$2:$W$269,'Region 20'!$A$2:$A$269,G$1,'Region 20'!$X$2:$X$269,$D177,'Region 20'!$S$2:$S$269,$A177)</f>
        <v>374.29826628717143</v>
      </c>
      <c r="H177" t="e">
        <f>AVERAGEIFS('Region 20'!$W$2:$W$269,'Region 20'!$A$2:$A$269,H$1,'Region 20'!$X$2:$X$269,$D177,'Region 20'!$S$2:$S$269,$A177)</f>
        <v>#DIV/0!</v>
      </c>
      <c r="I177" t="e">
        <f>AVERAGEIFS('Region 20'!$W$2:$W$269,'Region 20'!$A$2:$A$269,I$1,'Region 20'!$X$2:$X$269,$D177,'Region 20'!$S$2:$S$269,$A177)</f>
        <v>#DIV/0!</v>
      </c>
      <c r="J177" t="e">
        <f>AVERAGEIFS('Region 20'!$W$2:$W$269,'Region 20'!$A$2:$A$269,J$1,'Region 20'!$X$2:$X$269,$D177,'Region 20'!$S$2:$S$269,$A177)</f>
        <v>#DIV/0!</v>
      </c>
      <c r="K177" t="e">
        <f>AVERAGEIFS('Region 20'!$W$2:$W$269,'Region 20'!$A$2:$A$269,K$1,'Region 20'!$X$2:$X$269,$D177,'Region 20'!$S$2:$S$269,$A177)</f>
        <v>#DIV/0!</v>
      </c>
      <c r="L177" t="e">
        <f>AVERAGEIFS('Region 20'!$W$2:$W$269,'Region 20'!$A$2:$A$269,L$1,'Region 20'!$X$2:$X$269,$D177,'Region 20'!$S$2:$S$269,$A177)</f>
        <v>#DIV/0!</v>
      </c>
      <c r="M177" t="e">
        <f>AVERAGEIFS('Region 20'!$W$2:$W$269,'Region 20'!$A$2:$A$269,M$1,'Region 20'!$X$2:$X$269,$D177,'Region 20'!$S$2:$S$269,$A177)</f>
        <v>#DIV/0!</v>
      </c>
      <c r="N177" t="e">
        <f>AVERAGEIFS('Region 20'!$W$2:$W$269,'Region 20'!$A$2:$A$269,N$1,'Region 20'!$X$2:$X$269,$D177,'Region 20'!$S$2:$S$269,$A177)</f>
        <v>#DIV/0!</v>
      </c>
      <c r="Q177" t="str">
        <f t="shared" si="77"/>
        <v>Steel</v>
      </c>
      <c r="R177" t="str">
        <f t="shared" si="78"/>
        <v>Appartments</v>
      </c>
      <c r="S177">
        <f t="shared" si="79"/>
        <v>20</v>
      </c>
      <c r="T177" t="str">
        <f t="shared" si="59"/>
        <v>-</v>
      </c>
      <c r="U177" t="str">
        <f t="shared" si="60"/>
        <v>-</v>
      </c>
      <c r="V177">
        <f t="shared" si="61"/>
        <v>374.29826628717143</v>
      </c>
      <c r="W177" t="str">
        <f t="shared" si="62"/>
        <v>-</v>
      </c>
      <c r="X177" t="str">
        <f t="shared" si="63"/>
        <v>-</v>
      </c>
      <c r="Y177" t="str">
        <f t="shared" si="64"/>
        <v>-</v>
      </c>
      <c r="Z177" t="str">
        <f t="shared" si="65"/>
        <v>-</v>
      </c>
      <c r="AA177" t="str">
        <f t="shared" si="66"/>
        <v>-</v>
      </c>
      <c r="AB177" t="str">
        <f t="shared" si="67"/>
        <v>-</v>
      </c>
      <c r="AC177" t="str">
        <f t="shared" si="68"/>
        <v>-</v>
      </c>
    </row>
    <row r="178" spans="1:29" x14ac:dyDescent="0.3">
      <c r="A178" t="s">
        <v>30</v>
      </c>
      <c r="B178" t="str">
        <f t="shared" ref="B178:D178" si="118">B74</f>
        <v>Appartments</v>
      </c>
      <c r="C178">
        <f t="shared" si="118"/>
        <v>21</v>
      </c>
      <c r="D178">
        <f t="shared" si="118"/>
        <v>3</v>
      </c>
      <c r="E178">
        <f>AVERAGEIFS('Region 21'!$W$2:$W$497,'Region 21'!$A$2:$A$497,E$1,'Region 21'!$X$2:$X$497,$D178,'Region 21'!$S$2:$S$497,$A178)</f>
        <v>33.945</v>
      </c>
      <c r="F178" t="e">
        <f>AVERAGEIFS('Region 21'!$W$2:$W$497,'Region 21'!$A$2:$A$497,F$1,'Region 21'!$X$2:$X$497,$D178,'Region 21'!$S$2:$S$497,$A178)</f>
        <v>#DIV/0!</v>
      </c>
      <c r="G178" t="e">
        <f>AVERAGEIFS('Region 21'!$W$2:$W$497,'Region 21'!$A$2:$A$497,G$1,'Region 21'!$X$2:$X$497,$D178,'Region 21'!$S$2:$S$497,$A178)</f>
        <v>#DIV/0!</v>
      </c>
      <c r="H178" t="e">
        <f>AVERAGEIFS('Region 21'!$W$2:$W$497,'Region 21'!$A$2:$A$497,H$1,'Region 21'!$X$2:$X$497,$D178,'Region 21'!$S$2:$S$497,$A178)</f>
        <v>#DIV/0!</v>
      </c>
      <c r="I178" t="e">
        <f>AVERAGEIFS('Region 21'!$W$2:$W$497,'Region 21'!$A$2:$A$497,I$1,'Region 21'!$X$2:$X$497,$D178,'Region 21'!$S$2:$S$497,$A178)</f>
        <v>#DIV/0!</v>
      </c>
      <c r="J178" t="e">
        <f>AVERAGEIFS('Region 21'!$W$2:$W$497,'Region 21'!$A$2:$A$497,J$1,'Region 21'!$X$2:$X$497,$D178,'Region 21'!$S$2:$S$497,$A178)</f>
        <v>#DIV/0!</v>
      </c>
      <c r="K178" t="e">
        <f>AVERAGEIFS('Region 21'!$W$2:$W$497,'Region 21'!$A$2:$A$497,K$1,'Region 21'!$X$2:$X$497,$D178,'Region 21'!$S$2:$S$497,$A178)</f>
        <v>#DIV/0!</v>
      </c>
      <c r="L178" t="e">
        <f>AVERAGEIFS('Region 21'!$W$2:$W$497,'Region 21'!$A$2:$A$497,L$1,'Region 21'!$X$2:$X$497,$D178,'Region 21'!$S$2:$S$497,$A178)</f>
        <v>#DIV/0!</v>
      </c>
      <c r="M178" t="e">
        <f>AVERAGEIFS('Region 21'!$W$2:$W$497,'Region 21'!$A$2:$A$497,M$1,'Region 21'!$X$2:$X$497,$D178,'Region 21'!$S$2:$S$497,$A178)</f>
        <v>#DIV/0!</v>
      </c>
      <c r="N178" t="e">
        <f>AVERAGEIFS('Region 21'!$W$2:$W$497,'Region 21'!$A$2:$A$497,N$1,'Region 21'!$X$2:$X$497,$D178,'Region 21'!$S$2:$S$497,$A178)</f>
        <v>#DIV/0!</v>
      </c>
      <c r="Q178" t="str">
        <f t="shared" si="77"/>
        <v>Steel</v>
      </c>
      <c r="R178" t="str">
        <f t="shared" si="78"/>
        <v>Appartments</v>
      </c>
      <c r="S178">
        <f t="shared" si="79"/>
        <v>21</v>
      </c>
      <c r="T178">
        <f t="shared" si="59"/>
        <v>33.945</v>
      </c>
      <c r="U178" t="str">
        <f t="shared" si="60"/>
        <v>-</v>
      </c>
      <c r="V178" t="str">
        <f t="shared" si="61"/>
        <v>-</v>
      </c>
      <c r="W178" t="str">
        <f t="shared" si="62"/>
        <v>-</v>
      </c>
      <c r="X178" t="str">
        <f t="shared" si="63"/>
        <v>-</v>
      </c>
      <c r="Y178" t="str">
        <f t="shared" si="64"/>
        <v>-</v>
      </c>
      <c r="Z178" t="str">
        <f t="shared" si="65"/>
        <v>-</v>
      </c>
      <c r="AA178" t="str">
        <f t="shared" si="66"/>
        <v>-</v>
      </c>
      <c r="AB178" t="str">
        <f t="shared" si="67"/>
        <v>-</v>
      </c>
      <c r="AC178" t="str">
        <f t="shared" si="68"/>
        <v>-</v>
      </c>
    </row>
    <row r="179" spans="1:29" x14ac:dyDescent="0.3">
      <c r="A179" t="s">
        <v>30</v>
      </c>
      <c r="B179" t="str">
        <f t="shared" ref="B179:D179" si="119">B75</f>
        <v>Appartments</v>
      </c>
      <c r="C179">
        <f t="shared" si="119"/>
        <v>22</v>
      </c>
      <c r="D179">
        <f t="shared" si="119"/>
        <v>3</v>
      </c>
      <c r="E179" t="e">
        <f>AVERAGEIFS('Region 22'!$W$2:$W$510,'Region 22'!$A$2:$A$510,E$1,'Region 22'!$X$2:$X$510,$D179,'Region 22'!$S$2:$S$510,$A179)</f>
        <v>#DIV/0!</v>
      </c>
      <c r="F179" t="e">
        <f>AVERAGEIFS('Region 22'!$W$2:$W$510,'Region 22'!$A$2:$A$510,F$1,'Region 22'!$X$2:$X$510,$D179,'Region 22'!$S$2:$S$510,$A179)</f>
        <v>#DIV/0!</v>
      </c>
      <c r="G179" t="e">
        <f>AVERAGEIFS('Region 22'!$W$2:$W$510,'Region 22'!$A$2:$A$510,G$1,'Region 22'!$X$2:$X$510,$D179,'Region 22'!$S$2:$S$510,$A179)</f>
        <v>#DIV/0!</v>
      </c>
      <c r="H179" t="e">
        <f>AVERAGEIFS('Region 22'!$W$2:$W$510,'Region 22'!$A$2:$A$510,H$1,'Region 22'!$X$2:$X$510,$D179,'Region 22'!$S$2:$S$510,$A179)</f>
        <v>#DIV/0!</v>
      </c>
      <c r="I179" t="e">
        <f>AVERAGEIFS('Region 22'!$W$2:$W$510,'Region 22'!$A$2:$A$510,I$1,'Region 22'!$X$2:$X$510,$D179,'Region 22'!$S$2:$S$510,$A179)</f>
        <v>#DIV/0!</v>
      </c>
      <c r="J179" t="e">
        <f>AVERAGEIFS('Region 22'!$W$2:$W$510,'Region 22'!$A$2:$A$510,J$1,'Region 22'!$X$2:$X$510,$D179,'Region 22'!$S$2:$S$510,$A179)</f>
        <v>#DIV/0!</v>
      </c>
      <c r="K179" t="e">
        <f>AVERAGEIFS('Region 22'!$W$2:$W$510,'Region 22'!$A$2:$A$510,K$1,'Region 22'!$X$2:$X$510,$D179,'Region 22'!$S$2:$S$510,$A179)</f>
        <v>#DIV/0!</v>
      </c>
      <c r="L179" t="e">
        <f>AVERAGEIFS('Region 22'!$W$2:$W$510,'Region 22'!$A$2:$A$510,L$1,'Region 22'!$X$2:$X$510,$D179,'Region 22'!$S$2:$S$510,$A179)</f>
        <v>#DIV/0!</v>
      </c>
      <c r="M179" t="e">
        <f>AVERAGEIFS('Region 22'!$W$2:$W$510,'Region 22'!$A$2:$A$510,M$1,'Region 22'!$X$2:$X$510,$D179,'Region 22'!$S$2:$S$510,$A179)</f>
        <v>#DIV/0!</v>
      </c>
      <c r="N179" t="e">
        <f>AVERAGEIFS('Region 22'!$W$2:$W$510,'Region 22'!$A$2:$A$510,N$1,'Region 22'!$X$2:$X$510,$D179,'Region 22'!$S$2:$S$510,$A179)</f>
        <v>#DIV/0!</v>
      </c>
      <c r="Q179" t="str">
        <f t="shared" si="77"/>
        <v>Steel</v>
      </c>
      <c r="R179" t="str">
        <f t="shared" si="78"/>
        <v>Appartments</v>
      </c>
      <c r="S179">
        <f t="shared" si="79"/>
        <v>22</v>
      </c>
      <c r="T179" t="str">
        <f t="shared" si="59"/>
        <v>-</v>
      </c>
      <c r="U179" t="str">
        <f t="shared" si="60"/>
        <v>-</v>
      </c>
      <c r="V179" t="str">
        <f t="shared" si="61"/>
        <v>-</v>
      </c>
      <c r="W179" t="str">
        <f t="shared" si="62"/>
        <v>-</v>
      </c>
      <c r="X179" t="str">
        <f t="shared" si="63"/>
        <v>-</v>
      </c>
      <c r="Y179" t="str">
        <f t="shared" si="64"/>
        <v>-</v>
      </c>
      <c r="Z179" t="str">
        <f t="shared" si="65"/>
        <v>-</v>
      </c>
      <c r="AA179" t="str">
        <f t="shared" si="66"/>
        <v>-</v>
      </c>
      <c r="AB179" t="str">
        <f t="shared" si="67"/>
        <v>-</v>
      </c>
      <c r="AC179" t="str">
        <f t="shared" si="68"/>
        <v>-</v>
      </c>
    </row>
    <row r="180" spans="1:29" x14ac:dyDescent="0.3">
      <c r="A180" t="s">
        <v>30</v>
      </c>
      <c r="B180" t="str">
        <f t="shared" ref="B180:D180" si="120">B76</f>
        <v>Appartments</v>
      </c>
      <c r="C180">
        <f t="shared" si="120"/>
        <v>23</v>
      </c>
      <c r="D180">
        <f t="shared" si="120"/>
        <v>3</v>
      </c>
      <c r="E180" t="e">
        <f>AVERAGEIFS('Region 23'!$W$2:$W$468,'Region 23'!$A$2:$A$468,E$1,'Region 23'!$X$2:$X$468,$D180,'Region 23'!$S$2:$S$468,$A180)</f>
        <v>#DIV/0!</v>
      </c>
      <c r="F180" t="e">
        <f>AVERAGEIFS('Region 23'!$W$2:$W$468,'Region 23'!$A$2:$A$468,F$1,'Region 23'!$X$2:$X$468,$D180,'Region 23'!$S$2:$S$468,$A180)</f>
        <v>#DIV/0!</v>
      </c>
      <c r="G180" t="e">
        <f>AVERAGEIFS('Region 23'!$W$2:$W$468,'Region 23'!$A$2:$A$468,G$1,'Region 23'!$X$2:$X$468,$D180,'Region 23'!$S$2:$S$468,$A180)</f>
        <v>#DIV/0!</v>
      </c>
      <c r="H180" t="e">
        <f>AVERAGEIFS('Region 23'!$W$2:$W$468,'Region 23'!$A$2:$A$468,H$1,'Region 23'!$X$2:$X$468,$D180,'Region 23'!$S$2:$S$468,$A180)</f>
        <v>#DIV/0!</v>
      </c>
      <c r="I180" t="e">
        <f>AVERAGEIFS('Region 23'!$W$2:$W$468,'Region 23'!$A$2:$A$468,I$1,'Region 23'!$X$2:$X$468,$D180,'Region 23'!$S$2:$S$468,$A180)</f>
        <v>#DIV/0!</v>
      </c>
      <c r="J180" t="e">
        <f>AVERAGEIFS('Region 23'!$W$2:$W$468,'Region 23'!$A$2:$A$468,J$1,'Region 23'!$X$2:$X$468,$D180,'Region 23'!$S$2:$S$468,$A180)</f>
        <v>#DIV/0!</v>
      </c>
      <c r="K180" t="e">
        <f>AVERAGEIFS('Region 23'!$W$2:$W$468,'Region 23'!$A$2:$A$468,K$1,'Region 23'!$X$2:$X$468,$D180,'Region 23'!$S$2:$S$468,$A180)</f>
        <v>#DIV/0!</v>
      </c>
      <c r="L180" t="e">
        <f>AVERAGEIFS('Region 23'!$W$2:$W$468,'Region 23'!$A$2:$A$468,L$1,'Region 23'!$X$2:$X$468,$D180,'Region 23'!$S$2:$S$468,$A180)</f>
        <v>#DIV/0!</v>
      </c>
      <c r="M180" t="e">
        <f>AVERAGEIFS('Region 23'!$W$2:$W$468,'Region 23'!$A$2:$A$468,M$1,'Region 23'!$X$2:$X$468,$D180,'Region 23'!$S$2:$S$468,$A180)</f>
        <v>#DIV/0!</v>
      </c>
      <c r="N180" t="e">
        <f>AVERAGEIFS('Region 23'!$W$2:$W$468,'Region 23'!$A$2:$A$468,N$1,'Region 23'!$X$2:$X$468,$D180,'Region 23'!$S$2:$S$468,$A180)</f>
        <v>#DIV/0!</v>
      </c>
      <c r="Q180" t="str">
        <f t="shared" si="77"/>
        <v>Steel</v>
      </c>
      <c r="R180" t="str">
        <f t="shared" si="78"/>
        <v>Appartments</v>
      </c>
      <c r="S180">
        <f t="shared" si="79"/>
        <v>23</v>
      </c>
      <c r="T180" t="str">
        <f t="shared" si="59"/>
        <v>-</v>
      </c>
      <c r="U180" t="str">
        <f t="shared" si="60"/>
        <v>-</v>
      </c>
      <c r="V180" t="str">
        <f t="shared" si="61"/>
        <v>-</v>
      </c>
      <c r="W180" t="str">
        <f t="shared" si="62"/>
        <v>-</v>
      </c>
      <c r="X180" t="str">
        <f t="shared" si="63"/>
        <v>-</v>
      </c>
      <c r="Y180" t="str">
        <f t="shared" si="64"/>
        <v>-</v>
      </c>
      <c r="Z180" t="str">
        <f t="shared" si="65"/>
        <v>-</v>
      </c>
      <c r="AA180" t="str">
        <f t="shared" si="66"/>
        <v>-</v>
      </c>
      <c r="AB180" t="str">
        <f t="shared" si="67"/>
        <v>-</v>
      </c>
      <c r="AC180" t="str">
        <f t="shared" si="68"/>
        <v>-</v>
      </c>
    </row>
    <row r="181" spans="1:29" x14ac:dyDescent="0.3">
      <c r="A181" t="s">
        <v>30</v>
      </c>
      <c r="B181" t="str">
        <f t="shared" ref="B181:D181" si="121">B77</f>
        <v>Appartments</v>
      </c>
      <c r="C181">
        <f t="shared" si="121"/>
        <v>24</v>
      </c>
      <c r="D181">
        <f t="shared" si="121"/>
        <v>3</v>
      </c>
      <c r="E181">
        <f>AVERAGEIFS('Region 24'!$W$2:$W$454,'Region 24'!$A$2:$A$454,E$1,'Region 24'!$X$2:$X$454,$D181,'Region 24'!$S$2:$S$454,$A181)</f>
        <v>49.412515964240107</v>
      </c>
      <c r="F181" t="e">
        <f>AVERAGEIFS('Region 24'!$W$2:$W$454,'Region 24'!$A$2:$A$454,F$1,'Region 24'!$X$2:$X$454,$D181,'Region 24'!$S$2:$S$454,$A181)</f>
        <v>#DIV/0!</v>
      </c>
      <c r="G181" t="e">
        <f>AVERAGEIFS('Region 24'!$W$2:$W$454,'Region 24'!$A$2:$A$454,G$1,'Region 24'!$X$2:$X$454,$D181,'Region 24'!$S$2:$S$454,$A181)</f>
        <v>#DIV/0!</v>
      </c>
      <c r="H181" t="e">
        <f>AVERAGEIFS('Region 24'!$W$2:$W$454,'Region 24'!$A$2:$A$454,H$1,'Region 24'!$X$2:$X$454,$D181,'Region 24'!$S$2:$S$454,$A181)</f>
        <v>#DIV/0!</v>
      </c>
      <c r="I181" t="e">
        <f>AVERAGEIFS('Region 24'!$W$2:$W$454,'Region 24'!$A$2:$A$454,I$1,'Region 24'!$X$2:$X$454,$D181,'Region 24'!$S$2:$S$454,$A181)</f>
        <v>#DIV/0!</v>
      </c>
      <c r="J181" t="e">
        <f>AVERAGEIFS('Region 24'!$W$2:$W$454,'Region 24'!$A$2:$A$454,J$1,'Region 24'!$X$2:$X$454,$D181,'Region 24'!$S$2:$S$454,$A181)</f>
        <v>#DIV/0!</v>
      </c>
      <c r="K181" t="e">
        <f>AVERAGEIFS('Region 24'!$W$2:$W$454,'Region 24'!$A$2:$A$454,K$1,'Region 24'!$X$2:$X$454,$D181,'Region 24'!$S$2:$S$454,$A181)</f>
        <v>#DIV/0!</v>
      </c>
      <c r="L181" t="e">
        <f>AVERAGEIFS('Region 24'!$W$2:$W$454,'Region 24'!$A$2:$A$454,L$1,'Region 24'!$X$2:$X$454,$D181,'Region 24'!$S$2:$S$454,$A181)</f>
        <v>#DIV/0!</v>
      </c>
      <c r="M181" t="e">
        <f>AVERAGEIFS('Region 24'!$W$2:$W$454,'Region 24'!$A$2:$A$454,M$1,'Region 24'!$X$2:$X$454,$D181,'Region 24'!$S$2:$S$454,$A181)</f>
        <v>#DIV/0!</v>
      </c>
      <c r="N181" t="e">
        <f>AVERAGEIFS('Region 24'!$W$2:$W$454,'Region 24'!$A$2:$A$454,N$1,'Region 24'!$X$2:$X$454,$D181,'Region 24'!$S$2:$S$454,$A181)</f>
        <v>#DIV/0!</v>
      </c>
      <c r="Q181" t="str">
        <f t="shared" si="77"/>
        <v>Steel</v>
      </c>
      <c r="R181" t="str">
        <f t="shared" si="78"/>
        <v>Appartments</v>
      </c>
      <c r="S181">
        <f t="shared" si="79"/>
        <v>24</v>
      </c>
      <c r="T181">
        <f t="shared" si="59"/>
        <v>49.412515964240107</v>
      </c>
      <c r="U181" t="str">
        <f t="shared" si="60"/>
        <v>-</v>
      </c>
      <c r="V181" t="str">
        <f t="shared" si="61"/>
        <v>-</v>
      </c>
      <c r="W181" t="str">
        <f t="shared" si="62"/>
        <v>-</v>
      </c>
      <c r="X181" t="str">
        <f t="shared" si="63"/>
        <v>-</v>
      </c>
      <c r="Y181" t="str">
        <f t="shared" si="64"/>
        <v>-</v>
      </c>
      <c r="Z181" t="str">
        <f t="shared" si="65"/>
        <v>-</v>
      </c>
      <c r="AA181" t="str">
        <f t="shared" si="66"/>
        <v>-</v>
      </c>
      <c r="AB181" t="str">
        <f t="shared" si="67"/>
        <v>-</v>
      </c>
      <c r="AC181" t="str">
        <f t="shared" si="68"/>
        <v>-</v>
      </c>
    </row>
    <row r="182" spans="1:29" x14ac:dyDescent="0.3">
      <c r="A182" t="s">
        <v>30</v>
      </c>
      <c r="B182" t="str">
        <f t="shared" ref="B182:D182" si="122">B78</f>
        <v>Appartments</v>
      </c>
      <c r="C182">
        <f t="shared" si="122"/>
        <v>25</v>
      </c>
      <c r="D182">
        <f t="shared" si="122"/>
        <v>3</v>
      </c>
      <c r="E182" t="e">
        <f>AVERAGEIFS('Region 25'!$W$2:$W$499,'Region 25'!$A$2:$A$499,E$1,'Region 25'!$X$2:$X$499,$D182,'Region 25'!$S$2:$S$499,$A182)</f>
        <v>#DIV/0!</v>
      </c>
      <c r="F182" t="e">
        <f>AVERAGEIFS('Region 25'!$W$2:$W$499,'Region 25'!$A$2:$A$499,F$1,'Region 25'!$X$2:$X$499,$D182,'Region 25'!$S$2:$S$499,$A182)</f>
        <v>#DIV/0!</v>
      </c>
      <c r="G182" t="e">
        <f>AVERAGEIFS('Region 25'!$W$2:$W$499,'Region 25'!$A$2:$A$499,G$1,'Region 25'!$X$2:$X$499,$D182,'Region 25'!$S$2:$S$499,$A182)</f>
        <v>#DIV/0!</v>
      </c>
      <c r="H182" t="e">
        <f>AVERAGEIFS('Region 25'!$W$2:$W$499,'Region 25'!$A$2:$A$499,H$1,'Region 25'!$X$2:$X$499,$D182,'Region 25'!$S$2:$S$499,$A182)</f>
        <v>#DIV/0!</v>
      </c>
      <c r="I182" t="e">
        <f>AVERAGEIFS('Region 25'!$W$2:$W$499,'Region 25'!$A$2:$A$499,I$1,'Region 25'!$X$2:$X$499,$D182,'Region 25'!$S$2:$S$499,$A182)</f>
        <v>#DIV/0!</v>
      </c>
      <c r="J182" t="e">
        <f>AVERAGEIFS('Region 25'!$W$2:$W$499,'Region 25'!$A$2:$A$499,J$1,'Region 25'!$X$2:$X$499,$D182,'Region 25'!$S$2:$S$499,$A182)</f>
        <v>#DIV/0!</v>
      </c>
      <c r="K182" t="e">
        <f>AVERAGEIFS('Region 25'!$W$2:$W$499,'Region 25'!$A$2:$A$499,K$1,'Region 25'!$X$2:$X$499,$D182,'Region 25'!$S$2:$S$499,$A182)</f>
        <v>#DIV/0!</v>
      </c>
      <c r="L182" t="e">
        <f>AVERAGEIFS('Region 25'!$W$2:$W$499,'Region 25'!$A$2:$A$499,L$1,'Region 25'!$X$2:$X$499,$D182,'Region 25'!$S$2:$S$499,$A182)</f>
        <v>#DIV/0!</v>
      </c>
      <c r="M182" t="e">
        <f>AVERAGEIFS('Region 25'!$W$2:$W$499,'Region 25'!$A$2:$A$499,M$1,'Region 25'!$X$2:$X$499,$D182,'Region 25'!$S$2:$S$499,$A182)</f>
        <v>#DIV/0!</v>
      </c>
      <c r="N182" t="e">
        <f>AVERAGEIFS('Region 25'!$W$2:$W$499,'Region 25'!$A$2:$A$499,N$1,'Region 25'!$X$2:$X$499,$D182,'Region 25'!$S$2:$S$499,$A182)</f>
        <v>#DIV/0!</v>
      </c>
      <c r="Q182" t="str">
        <f t="shared" si="77"/>
        <v>Steel</v>
      </c>
      <c r="R182" t="str">
        <f t="shared" si="78"/>
        <v>Appartments</v>
      </c>
      <c r="S182">
        <f t="shared" si="79"/>
        <v>25</v>
      </c>
      <c r="T182" t="str">
        <f t="shared" si="59"/>
        <v>-</v>
      </c>
      <c r="U182" t="str">
        <f t="shared" si="60"/>
        <v>-</v>
      </c>
      <c r="V182" t="str">
        <f t="shared" si="61"/>
        <v>-</v>
      </c>
      <c r="W182" t="str">
        <f t="shared" si="62"/>
        <v>-</v>
      </c>
      <c r="X182" t="str">
        <f t="shared" si="63"/>
        <v>-</v>
      </c>
      <c r="Y182" t="str">
        <f t="shared" si="64"/>
        <v>-</v>
      </c>
      <c r="Z182" t="str">
        <f t="shared" si="65"/>
        <v>-</v>
      </c>
      <c r="AA182" t="str">
        <f t="shared" si="66"/>
        <v>-</v>
      </c>
      <c r="AB182" t="str">
        <f t="shared" si="67"/>
        <v>-</v>
      </c>
      <c r="AC182" t="str">
        <f t="shared" si="68"/>
        <v>-</v>
      </c>
    </row>
    <row r="183" spans="1:29" x14ac:dyDescent="0.3">
      <c r="A183" t="s">
        <v>30</v>
      </c>
      <c r="B183" t="str">
        <f t="shared" ref="B183:D183" si="123">B79</f>
        <v>Appartments</v>
      </c>
      <c r="C183">
        <f t="shared" si="123"/>
        <v>26</v>
      </c>
      <c r="D183">
        <f t="shared" si="123"/>
        <v>3</v>
      </c>
      <c r="E183" t="e">
        <f ca="1">AVERAGEIFS('Region 26'!$W$2:$W$500,'Region 26'!$A$2:$A$500,E$1,'Region 26'!$X$2:$X$500,$D183,'Region 26'!$S$2:$S$500,$A183)</f>
        <v>#DIV/0!</v>
      </c>
      <c r="F183" t="e">
        <f ca="1">AVERAGEIFS('Region 26'!$W$2:$W$500,'Region 26'!$A$2:$A$500,F$1,'Region 26'!$X$2:$X$500,$D183,'Region 26'!$S$2:$S$500,$A183)</f>
        <v>#DIV/0!</v>
      </c>
      <c r="G183" t="e">
        <f ca="1">AVERAGEIFS('Region 26'!$W$2:$W$500,'Region 26'!$A$2:$A$500,G$1,'Region 26'!$X$2:$X$500,$D183,'Region 26'!$S$2:$S$500,$A183)</f>
        <v>#DIV/0!</v>
      </c>
      <c r="H183" t="e">
        <f ca="1">AVERAGEIFS('Region 26'!$W$2:$W$500,'Region 26'!$A$2:$A$500,H$1,'Region 26'!$X$2:$X$500,$D183,'Region 26'!$S$2:$S$500,$A183)</f>
        <v>#DIV/0!</v>
      </c>
      <c r="I183" t="e">
        <f ca="1">AVERAGEIFS('Region 26'!$W$2:$W$500,'Region 26'!$A$2:$A$500,I$1,'Region 26'!$X$2:$X$500,$D183,'Region 26'!$S$2:$S$500,$A183)</f>
        <v>#DIV/0!</v>
      </c>
      <c r="J183" t="e">
        <f ca="1">AVERAGEIFS('Region 26'!$W$2:$W$500,'Region 26'!$A$2:$A$500,J$1,'Region 26'!$X$2:$X$500,$D183,'Region 26'!$S$2:$S$500,$A183)</f>
        <v>#DIV/0!</v>
      </c>
      <c r="K183" t="e">
        <f ca="1">AVERAGEIFS('Region 26'!$W$2:$W$500,'Region 26'!$A$2:$A$500,K$1,'Region 26'!$X$2:$X$500,$D183,'Region 26'!$S$2:$S$500,$A183)</f>
        <v>#DIV/0!</v>
      </c>
      <c r="L183" t="e">
        <f ca="1">AVERAGEIFS('Region 26'!$W$2:$W$500,'Region 26'!$A$2:$A$500,L$1,'Region 26'!$X$2:$X$500,$D183,'Region 26'!$S$2:$S$500,$A183)</f>
        <v>#DIV/0!</v>
      </c>
      <c r="M183" t="e">
        <f ca="1">AVERAGEIFS('Region 26'!$W$2:$W$500,'Region 26'!$A$2:$A$500,M$1,'Region 26'!$X$2:$X$500,$D183,'Region 26'!$S$2:$S$500,$A183)</f>
        <v>#DIV/0!</v>
      </c>
      <c r="N183" t="e">
        <f ca="1">AVERAGEIFS('Region 26'!$W$2:$W$500,'Region 26'!$A$2:$A$500,N$1,'Region 26'!$X$2:$X$500,$D183,'Region 26'!$S$2:$S$500,$A183)</f>
        <v>#DIV/0!</v>
      </c>
      <c r="Q183" t="str">
        <f t="shared" si="77"/>
        <v>Steel</v>
      </c>
      <c r="R183" t="str">
        <f t="shared" si="78"/>
        <v>Appartments</v>
      </c>
      <c r="S183">
        <f t="shared" si="79"/>
        <v>26</v>
      </c>
      <c r="T183" t="str">
        <f t="shared" ca="1" si="59"/>
        <v>-</v>
      </c>
      <c r="U183" t="str">
        <f t="shared" ca="1" si="60"/>
        <v>-</v>
      </c>
      <c r="V183" t="str">
        <f t="shared" ca="1" si="61"/>
        <v>-</v>
      </c>
      <c r="W183" t="str">
        <f t="shared" ca="1" si="62"/>
        <v>-</v>
      </c>
      <c r="X183" t="str">
        <f t="shared" ca="1" si="63"/>
        <v>-</v>
      </c>
      <c r="Y183" t="str">
        <f t="shared" ca="1" si="64"/>
        <v>-</v>
      </c>
      <c r="Z183" t="str">
        <f t="shared" ca="1" si="65"/>
        <v>-</v>
      </c>
      <c r="AA183" t="str">
        <f t="shared" ca="1" si="66"/>
        <v>-</v>
      </c>
      <c r="AB183" t="str">
        <f t="shared" ca="1" si="67"/>
        <v>-</v>
      </c>
      <c r="AC183" t="str">
        <f t="shared" ca="1" si="68"/>
        <v>-</v>
      </c>
    </row>
    <row r="184" spans="1:29" x14ac:dyDescent="0.3">
      <c r="A184" t="s">
        <v>30</v>
      </c>
      <c r="B184" t="str">
        <f t="shared" ref="B184:D184" si="124">B80</f>
        <v>High-rise</v>
      </c>
      <c r="C184">
        <f t="shared" si="124"/>
        <v>1</v>
      </c>
      <c r="D184">
        <f t="shared" si="124"/>
        <v>4</v>
      </c>
      <c r="E184" t="e">
        <f>AVERAGEIFS('Region 1'!$W$2:$W$498,'Region 1'!$A$2:$A$498,E$1,'Region 1'!$X$2:$X$498,$D184,'Region 1'!$S$2:$S$498,$A184)</f>
        <v>#DIV/0!</v>
      </c>
      <c r="F184">
        <f>AVERAGEIFS('Region 1'!$W$2:$W$498,'Region 1'!$A$2:$A$498,F$1,'Region 1'!$X$2:$X$498,$D184,'Region 1'!$S$2:$S$498,$A184)</f>
        <v>45.782585470085472</v>
      </c>
      <c r="G184" t="e">
        <f>AVERAGEIFS('Region 1'!$W$2:$W$498,'Region 1'!$A$2:$A$498,G$1,'Region 1'!$X$2:$X$498,$D184,'Region 1'!$S$2:$S$498,$A184)</f>
        <v>#DIV/0!</v>
      </c>
      <c r="H184" t="e">
        <f>AVERAGEIFS('Region 1'!$W$2:$W$498,'Region 1'!$A$2:$A$498,H$1,'Region 1'!$X$2:$X$498,$D184,'Region 1'!$S$2:$S$498,$A184)</f>
        <v>#DIV/0!</v>
      </c>
      <c r="I184" t="e">
        <f>AVERAGEIFS('Region 1'!$W$2:$W$498,'Region 1'!$A$2:$A$498,I$1,'Region 1'!$X$2:$X$498,$D184,'Region 1'!$S$2:$S$498,$A184)</f>
        <v>#DIV/0!</v>
      </c>
      <c r="J184" t="e">
        <f>AVERAGEIFS('Region 1'!$W$2:$W$498,'Region 1'!$A$2:$A$498,J$1,'Region 1'!$X$2:$X$498,$D184,'Region 1'!$S$2:$S$498,$A184)</f>
        <v>#DIV/0!</v>
      </c>
      <c r="K184" t="e">
        <f>AVERAGEIFS('Region 1'!$W$2:$W$498,'Region 1'!$A$2:$A$498,K$1,'Region 1'!$X$2:$X$498,$D184,'Region 1'!$S$2:$S$498,$A184)</f>
        <v>#DIV/0!</v>
      </c>
      <c r="L184" t="e">
        <f>AVERAGEIFS('Region 1'!$W$2:$W$498,'Region 1'!$A$2:$A$498,L$1,'Region 1'!$X$2:$X$498,$D184,'Region 1'!$S$2:$S$498,$A184)</f>
        <v>#DIV/0!</v>
      </c>
      <c r="M184" t="e">
        <f>AVERAGEIFS('Region 1'!$W$2:$W$498,'Region 1'!$A$2:$A$498,M$1,'Region 1'!$X$2:$X$498,$D184,'Region 1'!$S$2:$S$498,$A184)</f>
        <v>#DIV/0!</v>
      </c>
      <c r="N184" t="e">
        <f>AVERAGEIFS('Region 1'!$W$2:$W$498,'Region 1'!$A$2:$A$498,N$1,'Region 1'!$X$2:$X$498,$D184,'Region 1'!$S$2:$S$498,$A184)</f>
        <v>#DIV/0!</v>
      </c>
      <c r="Q184" t="str">
        <f t="shared" si="77"/>
        <v>Steel</v>
      </c>
      <c r="R184" t="str">
        <f t="shared" si="78"/>
        <v>High-rise</v>
      </c>
      <c r="S184">
        <f t="shared" si="79"/>
        <v>1</v>
      </c>
      <c r="T184" t="str">
        <f t="shared" si="59"/>
        <v>-</v>
      </c>
      <c r="U184">
        <f t="shared" si="60"/>
        <v>45.782585470085472</v>
      </c>
      <c r="V184" t="str">
        <f t="shared" si="61"/>
        <v>-</v>
      </c>
      <c r="W184" t="str">
        <f t="shared" si="62"/>
        <v>-</v>
      </c>
      <c r="X184" t="str">
        <f t="shared" si="63"/>
        <v>-</v>
      </c>
      <c r="Y184" t="str">
        <f t="shared" si="64"/>
        <v>-</v>
      </c>
      <c r="Z184" t="str">
        <f t="shared" si="65"/>
        <v>-</v>
      </c>
      <c r="AA184" t="str">
        <f t="shared" si="66"/>
        <v>-</v>
      </c>
      <c r="AB184" t="str">
        <f t="shared" si="67"/>
        <v>-</v>
      </c>
      <c r="AC184" t="str">
        <f t="shared" si="68"/>
        <v>-</v>
      </c>
    </row>
    <row r="185" spans="1:29" x14ac:dyDescent="0.3">
      <c r="A185" t="s">
        <v>30</v>
      </c>
      <c r="B185" t="str">
        <f t="shared" ref="B185:D185" si="125">B81</f>
        <v>High-rise</v>
      </c>
      <c r="C185">
        <f t="shared" si="125"/>
        <v>2</v>
      </c>
      <c r="D185">
        <f t="shared" si="125"/>
        <v>4</v>
      </c>
      <c r="E185" t="e">
        <f>AVERAGEIFS('Region 2'!$W$2:$W$498,'Region 2'!$A$2:$A$498,E$1,'Region 2'!$X$2:$X$498,$D185,'Region 2'!$S$2:$S$498,$A185)</f>
        <v>#DIV/0!</v>
      </c>
      <c r="F185" t="e">
        <f>AVERAGEIFS('Region 2'!$W$2:$W$498,'Region 2'!$A$2:$A$498,F$1,'Region 2'!$X$2:$X$498,$D185,'Region 2'!$S$2:$S$498,$A185)</f>
        <v>#DIV/0!</v>
      </c>
      <c r="G185">
        <f>AVERAGEIFS('Region 2'!$W$2:$W$498,'Region 2'!$A$2:$A$498,G$1,'Region 2'!$X$2:$X$498,$D185,'Region 2'!$S$2:$S$498,$A185)</f>
        <v>61.484678762915195</v>
      </c>
      <c r="H185" t="e">
        <f>AVERAGEIFS('Region 2'!$W$2:$W$498,'Region 2'!$A$2:$A$498,H$1,'Region 2'!$X$2:$X$498,$D185,'Region 2'!$S$2:$S$498,$A185)</f>
        <v>#DIV/0!</v>
      </c>
      <c r="I185" t="e">
        <f>AVERAGEIFS('Region 2'!$W$2:$W$498,'Region 2'!$A$2:$A$498,I$1,'Region 2'!$X$2:$X$498,$D185,'Region 2'!$S$2:$S$498,$A185)</f>
        <v>#DIV/0!</v>
      </c>
      <c r="J185" t="e">
        <f>AVERAGEIFS('Region 2'!$W$2:$W$498,'Region 2'!$A$2:$A$498,J$1,'Region 2'!$X$2:$X$498,$D185,'Region 2'!$S$2:$S$498,$A185)</f>
        <v>#DIV/0!</v>
      </c>
      <c r="K185" t="e">
        <f>AVERAGEIFS('Region 2'!$W$2:$W$498,'Region 2'!$A$2:$A$498,K$1,'Region 2'!$X$2:$X$498,$D185,'Region 2'!$S$2:$S$498,$A185)</f>
        <v>#DIV/0!</v>
      </c>
      <c r="L185" t="e">
        <f>AVERAGEIFS('Region 2'!$W$2:$W$498,'Region 2'!$A$2:$A$498,L$1,'Region 2'!$X$2:$X$498,$D185,'Region 2'!$S$2:$S$498,$A185)</f>
        <v>#DIV/0!</v>
      </c>
      <c r="M185" t="e">
        <f>AVERAGEIFS('Region 2'!$W$2:$W$498,'Region 2'!$A$2:$A$498,M$1,'Region 2'!$X$2:$X$498,$D185,'Region 2'!$S$2:$S$498,$A185)</f>
        <v>#DIV/0!</v>
      </c>
      <c r="N185" t="e">
        <f>AVERAGEIFS('Region 2'!$W$2:$W$498,'Region 2'!$A$2:$A$498,N$1,'Region 2'!$X$2:$X$498,$D185,'Region 2'!$S$2:$S$498,$A185)</f>
        <v>#DIV/0!</v>
      </c>
      <c r="Q185" t="str">
        <f t="shared" si="77"/>
        <v>Steel</v>
      </c>
      <c r="R185" t="str">
        <f t="shared" si="78"/>
        <v>High-rise</v>
      </c>
      <c r="S185">
        <f t="shared" si="79"/>
        <v>2</v>
      </c>
      <c r="T185" t="str">
        <f t="shared" si="59"/>
        <v>-</v>
      </c>
      <c r="U185" t="str">
        <f t="shared" si="60"/>
        <v>-</v>
      </c>
      <c r="V185">
        <f t="shared" si="61"/>
        <v>61.484678762915195</v>
      </c>
      <c r="W185" t="str">
        <f t="shared" si="62"/>
        <v>-</v>
      </c>
      <c r="X185" t="str">
        <f t="shared" si="63"/>
        <v>-</v>
      </c>
      <c r="Y185" t="str">
        <f t="shared" si="64"/>
        <v>-</v>
      </c>
      <c r="Z185" t="str">
        <f t="shared" si="65"/>
        <v>-</v>
      </c>
      <c r="AA185" t="str">
        <f t="shared" si="66"/>
        <v>-</v>
      </c>
      <c r="AB185" t="str">
        <f t="shared" si="67"/>
        <v>-</v>
      </c>
      <c r="AC185" t="str">
        <f t="shared" si="68"/>
        <v>-</v>
      </c>
    </row>
    <row r="186" spans="1:29" x14ac:dyDescent="0.3">
      <c r="A186" t="s">
        <v>30</v>
      </c>
      <c r="B186" t="str">
        <f t="shared" ref="B186:D186" si="126">B82</f>
        <v>High-rise</v>
      </c>
      <c r="C186">
        <f t="shared" si="126"/>
        <v>3</v>
      </c>
      <c r="D186">
        <f t="shared" si="126"/>
        <v>4</v>
      </c>
      <c r="E186" t="e">
        <f ca="1">AVERAGEIFS('Region 3'!$W$2:$W$500,'Region 3'!$A$2:$A$500,E$1,'Region 3'!$X$2:$X$500,$D186,'Region 3'!$S$2:$S$500,$A186)</f>
        <v>#DIV/0!</v>
      </c>
      <c r="F186" t="e">
        <f ca="1">AVERAGEIFS('Region 3'!$W$2:$W$500,'Region 3'!$A$2:$A$500,F$1,'Region 3'!$X$2:$X$500,$D186,'Region 3'!$S$2:$S$500,$A186)</f>
        <v>#DIV/0!</v>
      </c>
      <c r="G186" t="e">
        <f ca="1">AVERAGEIFS('Region 3'!$W$2:$W$500,'Region 3'!$A$2:$A$500,G$1,'Region 3'!$X$2:$X$500,$D186,'Region 3'!$S$2:$S$500,$A186)</f>
        <v>#DIV/0!</v>
      </c>
      <c r="H186" t="e">
        <f ca="1">AVERAGEIFS('Region 3'!$W$2:$W$500,'Region 3'!$A$2:$A$500,H$1,'Region 3'!$X$2:$X$500,$D186,'Region 3'!$S$2:$S$500,$A186)</f>
        <v>#DIV/0!</v>
      </c>
      <c r="I186" t="e">
        <f ca="1">AVERAGEIFS('Region 3'!$W$2:$W$500,'Region 3'!$A$2:$A$500,I$1,'Region 3'!$X$2:$X$500,$D186,'Region 3'!$S$2:$S$500,$A186)</f>
        <v>#DIV/0!</v>
      </c>
      <c r="J186" t="e">
        <f ca="1">AVERAGEIFS('Region 3'!$W$2:$W$500,'Region 3'!$A$2:$A$500,J$1,'Region 3'!$X$2:$X$500,$D186,'Region 3'!$S$2:$S$500,$A186)</f>
        <v>#DIV/0!</v>
      </c>
      <c r="K186" t="e">
        <f ca="1">AVERAGEIFS('Region 3'!$W$2:$W$500,'Region 3'!$A$2:$A$500,K$1,'Region 3'!$X$2:$X$500,$D186,'Region 3'!$S$2:$S$500,$A186)</f>
        <v>#DIV/0!</v>
      </c>
      <c r="L186" t="e">
        <f ca="1">AVERAGEIFS('Region 3'!$W$2:$W$500,'Region 3'!$A$2:$A$500,L$1,'Region 3'!$X$2:$X$500,$D186,'Region 3'!$S$2:$S$500,$A186)</f>
        <v>#DIV/0!</v>
      </c>
      <c r="M186" t="e">
        <f ca="1">AVERAGEIFS('Region 3'!$W$2:$W$500,'Region 3'!$A$2:$A$500,M$1,'Region 3'!$X$2:$X$500,$D186,'Region 3'!$S$2:$S$500,$A186)</f>
        <v>#DIV/0!</v>
      </c>
      <c r="N186" t="e">
        <f ca="1">AVERAGEIFS('Region 3'!$W$2:$W$500,'Region 3'!$A$2:$A$500,N$1,'Region 3'!$X$2:$X$500,$D186,'Region 3'!$S$2:$S$500,$A186)</f>
        <v>#DIV/0!</v>
      </c>
      <c r="Q186" t="str">
        <f t="shared" si="77"/>
        <v>Steel</v>
      </c>
      <c r="R186" t="str">
        <f t="shared" si="78"/>
        <v>High-rise</v>
      </c>
      <c r="S186">
        <f t="shared" si="79"/>
        <v>3</v>
      </c>
      <c r="T186" t="str">
        <f t="shared" ca="1" si="59"/>
        <v>-</v>
      </c>
      <c r="U186" t="str">
        <f t="shared" ca="1" si="60"/>
        <v>-</v>
      </c>
      <c r="V186" t="str">
        <f t="shared" ca="1" si="61"/>
        <v>-</v>
      </c>
      <c r="W186" t="str">
        <f t="shared" ca="1" si="62"/>
        <v>-</v>
      </c>
      <c r="X186" t="str">
        <f t="shared" ca="1" si="63"/>
        <v>-</v>
      </c>
      <c r="Y186" t="str">
        <f t="shared" ca="1" si="64"/>
        <v>-</v>
      </c>
      <c r="Z186" t="str">
        <f t="shared" ca="1" si="65"/>
        <v>-</v>
      </c>
      <c r="AA186" t="str">
        <f t="shared" ca="1" si="66"/>
        <v>-</v>
      </c>
      <c r="AB186" t="str">
        <f t="shared" ca="1" si="67"/>
        <v>-</v>
      </c>
      <c r="AC186" t="str">
        <f t="shared" ca="1" si="68"/>
        <v>-</v>
      </c>
    </row>
    <row r="187" spans="1:29" x14ac:dyDescent="0.3">
      <c r="A187" t="s">
        <v>30</v>
      </c>
      <c r="B187" t="str">
        <f t="shared" ref="B187:D187" si="127">B83</f>
        <v>High-rise</v>
      </c>
      <c r="C187">
        <f t="shared" si="127"/>
        <v>4</v>
      </c>
      <c r="D187">
        <f t="shared" si="127"/>
        <v>4</v>
      </c>
      <c r="E187" t="e">
        <f>AVERAGEIFS('Region 4'!$W$2:$W$10,'Region 4'!$A$2:$A$10,E$1,'Region 4'!$X$2:$X$10,$D187,'Region 4'!$S$2:$S$10,$A187)</f>
        <v>#DIV/0!</v>
      </c>
      <c r="F187" t="e">
        <f>AVERAGEIFS('Region 4'!$W$2:$W$10,'Region 4'!$A$2:$A$10,F$1,'Region 4'!$X$2:$X$10,$D187,'Region 4'!$S$2:$S$10,$A187)</f>
        <v>#DIV/0!</v>
      </c>
      <c r="G187" t="e">
        <f>AVERAGEIFS('Region 4'!$W$2:$W$10,'Region 4'!$A$2:$A$10,G$1,'Region 4'!$X$2:$X$10,$D187,'Region 4'!$S$2:$S$10,$A187)</f>
        <v>#DIV/0!</v>
      </c>
      <c r="H187" t="e">
        <f>AVERAGEIFS('Region 4'!$W$2:$W$10,'Region 4'!$A$2:$A$10,H$1,'Region 4'!$X$2:$X$10,$D187,'Region 4'!$S$2:$S$10,$A187)</f>
        <v>#DIV/0!</v>
      </c>
      <c r="I187" t="e">
        <f>AVERAGEIFS('Region 4'!$W$2:$W$10,'Region 4'!$A$2:$A$10,I$1,'Region 4'!$X$2:$X$10,$D187,'Region 4'!$S$2:$S$10,$A187)</f>
        <v>#DIV/0!</v>
      </c>
      <c r="J187" t="e">
        <f>AVERAGEIFS('Region 4'!$W$2:$W$10,'Region 4'!$A$2:$A$10,J$1,'Region 4'!$X$2:$X$10,$D187,'Region 4'!$S$2:$S$10,$A187)</f>
        <v>#DIV/0!</v>
      </c>
      <c r="K187" t="e">
        <f>AVERAGEIFS('Region 4'!$W$2:$W$10,'Region 4'!$A$2:$A$10,K$1,'Region 4'!$X$2:$X$10,$D187,'Region 4'!$S$2:$S$10,$A187)</f>
        <v>#DIV/0!</v>
      </c>
      <c r="L187" t="e">
        <f>AVERAGEIFS('Region 4'!$W$2:$W$10,'Region 4'!$A$2:$A$10,L$1,'Region 4'!$X$2:$X$10,$D187,'Region 4'!$S$2:$S$10,$A187)</f>
        <v>#DIV/0!</v>
      </c>
      <c r="M187" t="e">
        <f>AVERAGEIFS('Region 4'!$W$2:$W$10,'Region 4'!$A$2:$A$10,M$1,'Region 4'!$X$2:$X$10,$D187,'Region 4'!$S$2:$S$10,$A187)</f>
        <v>#DIV/0!</v>
      </c>
      <c r="N187" t="e">
        <f>AVERAGEIFS('Region 4'!$W$2:$W$10,'Region 4'!$A$2:$A$10,N$1,'Region 4'!$X$2:$X$10,$D187,'Region 4'!$S$2:$S$10,$A187)</f>
        <v>#DIV/0!</v>
      </c>
      <c r="Q187" t="str">
        <f t="shared" si="77"/>
        <v>Steel</v>
      </c>
      <c r="R187" t="str">
        <f t="shared" si="78"/>
        <v>High-rise</v>
      </c>
      <c r="S187">
        <f t="shared" si="79"/>
        <v>4</v>
      </c>
      <c r="T187" t="str">
        <f t="shared" si="59"/>
        <v>-</v>
      </c>
      <c r="U187" t="str">
        <f t="shared" si="60"/>
        <v>-</v>
      </c>
      <c r="V187" t="str">
        <f t="shared" si="61"/>
        <v>-</v>
      </c>
      <c r="W187" t="str">
        <f t="shared" si="62"/>
        <v>-</v>
      </c>
      <c r="X187" t="str">
        <f t="shared" si="63"/>
        <v>-</v>
      </c>
      <c r="Y187" t="str">
        <f t="shared" si="64"/>
        <v>-</v>
      </c>
      <c r="Z187" t="str">
        <f t="shared" si="65"/>
        <v>-</v>
      </c>
      <c r="AA187" t="str">
        <f t="shared" si="66"/>
        <v>-</v>
      </c>
      <c r="AB187" t="str">
        <f t="shared" si="67"/>
        <v>-</v>
      </c>
      <c r="AC187" t="str">
        <f t="shared" si="68"/>
        <v>-</v>
      </c>
    </row>
    <row r="188" spans="1:29" x14ac:dyDescent="0.3">
      <c r="A188" t="s">
        <v>30</v>
      </c>
      <c r="B188" t="str">
        <f t="shared" ref="B188:D188" si="128">B84</f>
        <v>High-rise</v>
      </c>
      <c r="C188">
        <f t="shared" si="128"/>
        <v>5</v>
      </c>
      <c r="D188">
        <f t="shared" si="128"/>
        <v>4</v>
      </c>
      <c r="E188" t="e">
        <f>AVERAGEIFS('Region 5'!$W$2:$W$496,'Region 5'!$A$2:$A$496,E$1,'Region 5'!$X$2:$X$496,$D188,'Region 5'!$S$2:$S$496,$A188)</f>
        <v>#DIV/0!</v>
      </c>
      <c r="F188" t="e">
        <f>AVERAGEIFS('Region 5'!$W$2:$W$496,'Region 5'!$A$2:$A$496,F$1,'Region 5'!$X$2:$X$496,$D188,'Region 5'!$S$2:$S$496,$A188)</f>
        <v>#DIV/0!</v>
      </c>
      <c r="G188" t="e">
        <f>AVERAGEIFS('Region 5'!$W$2:$W$496,'Region 5'!$A$2:$A$496,G$1,'Region 5'!$X$2:$X$496,$D188,'Region 5'!$S$2:$S$496,$A188)</f>
        <v>#DIV/0!</v>
      </c>
      <c r="H188" t="e">
        <f>AVERAGEIFS('Region 5'!$W$2:$W$496,'Region 5'!$A$2:$A$496,H$1,'Region 5'!$X$2:$X$496,$D188,'Region 5'!$S$2:$S$496,$A188)</f>
        <v>#DIV/0!</v>
      </c>
      <c r="I188" t="e">
        <f>AVERAGEIFS('Region 5'!$W$2:$W$496,'Region 5'!$A$2:$A$496,I$1,'Region 5'!$X$2:$X$496,$D188,'Region 5'!$S$2:$S$496,$A188)</f>
        <v>#DIV/0!</v>
      </c>
      <c r="J188" t="e">
        <f>AVERAGEIFS('Region 5'!$W$2:$W$496,'Region 5'!$A$2:$A$496,J$1,'Region 5'!$X$2:$X$496,$D188,'Region 5'!$S$2:$S$496,$A188)</f>
        <v>#DIV/0!</v>
      </c>
      <c r="K188" t="e">
        <f>AVERAGEIFS('Region 5'!$W$2:$W$496,'Region 5'!$A$2:$A$496,K$1,'Region 5'!$X$2:$X$496,$D188,'Region 5'!$S$2:$S$496,$A188)</f>
        <v>#DIV/0!</v>
      </c>
      <c r="L188" t="e">
        <f>AVERAGEIFS('Region 5'!$W$2:$W$496,'Region 5'!$A$2:$A$496,L$1,'Region 5'!$X$2:$X$496,$D188,'Region 5'!$S$2:$S$496,$A188)</f>
        <v>#DIV/0!</v>
      </c>
      <c r="M188" t="e">
        <f>AVERAGEIFS('Region 5'!$W$2:$W$496,'Region 5'!$A$2:$A$496,M$1,'Region 5'!$X$2:$X$496,$D188,'Region 5'!$S$2:$S$496,$A188)</f>
        <v>#DIV/0!</v>
      </c>
      <c r="N188" t="e">
        <f>AVERAGEIFS('Region 5'!$W$2:$W$496,'Region 5'!$A$2:$A$496,N$1,'Region 5'!$X$2:$X$496,$D188,'Region 5'!$S$2:$S$496,$A188)</f>
        <v>#DIV/0!</v>
      </c>
      <c r="Q188" t="str">
        <f t="shared" si="77"/>
        <v>Steel</v>
      </c>
      <c r="R188" t="str">
        <f t="shared" si="78"/>
        <v>High-rise</v>
      </c>
      <c r="S188">
        <f t="shared" si="79"/>
        <v>5</v>
      </c>
      <c r="T188" t="str">
        <f t="shared" si="59"/>
        <v>-</v>
      </c>
      <c r="U188" t="str">
        <f t="shared" si="60"/>
        <v>-</v>
      </c>
      <c r="V188" t="str">
        <f t="shared" si="61"/>
        <v>-</v>
      </c>
      <c r="W188" t="str">
        <f t="shared" si="62"/>
        <v>-</v>
      </c>
      <c r="X188" t="str">
        <f t="shared" si="63"/>
        <v>-</v>
      </c>
      <c r="Y188" t="str">
        <f t="shared" si="64"/>
        <v>-</v>
      </c>
      <c r="Z188" t="str">
        <f t="shared" si="65"/>
        <v>-</v>
      </c>
      <c r="AA188" t="str">
        <f t="shared" si="66"/>
        <v>-</v>
      </c>
      <c r="AB188" t="str">
        <f t="shared" si="67"/>
        <v>-</v>
      </c>
      <c r="AC188" t="str">
        <f t="shared" si="68"/>
        <v>-</v>
      </c>
    </row>
    <row r="189" spans="1:29" x14ac:dyDescent="0.3">
      <c r="A189" t="s">
        <v>30</v>
      </c>
      <c r="B189" t="str">
        <f t="shared" ref="B189:D189" si="129">B85</f>
        <v>High-rise</v>
      </c>
      <c r="C189">
        <f t="shared" si="129"/>
        <v>6</v>
      </c>
      <c r="D189">
        <f t="shared" si="129"/>
        <v>4</v>
      </c>
      <c r="E189" t="e">
        <f>AVERAGEIFS('Region 6'!$W$2:$W$496,'Region 6'!$A$2:$A$496,E$1,'Region 6'!$X$2:$X$496,$D189,'Region 6'!$S$2:$S$496,$A189)</f>
        <v>#DIV/0!</v>
      </c>
      <c r="F189" t="e">
        <f>AVERAGEIFS('Region 6'!$W$2:$W$496,'Region 6'!$A$2:$A$496,F$1,'Region 6'!$X$2:$X$496,$D189,'Region 6'!$S$2:$S$496,$A189)</f>
        <v>#DIV/0!</v>
      </c>
      <c r="G189" t="e">
        <f>AVERAGEIFS('Region 6'!$W$2:$W$496,'Region 6'!$A$2:$A$496,G$1,'Region 6'!$X$2:$X$496,$D189,'Region 6'!$S$2:$S$496,$A189)</f>
        <v>#DIV/0!</v>
      </c>
      <c r="H189" t="e">
        <f>AVERAGEIFS('Region 6'!$W$2:$W$496,'Region 6'!$A$2:$A$496,H$1,'Region 6'!$X$2:$X$496,$D189,'Region 6'!$S$2:$S$496,$A189)</f>
        <v>#DIV/0!</v>
      </c>
      <c r="I189" t="e">
        <f>AVERAGEIFS('Region 6'!$W$2:$W$496,'Region 6'!$A$2:$A$496,I$1,'Region 6'!$X$2:$X$496,$D189,'Region 6'!$S$2:$S$496,$A189)</f>
        <v>#DIV/0!</v>
      </c>
      <c r="J189" t="e">
        <f>AVERAGEIFS('Region 6'!$W$2:$W$496,'Region 6'!$A$2:$A$496,J$1,'Region 6'!$X$2:$X$496,$D189,'Region 6'!$S$2:$S$496,$A189)</f>
        <v>#DIV/0!</v>
      </c>
      <c r="K189" t="e">
        <f>AVERAGEIFS('Region 6'!$W$2:$W$496,'Region 6'!$A$2:$A$496,K$1,'Region 6'!$X$2:$X$496,$D189,'Region 6'!$S$2:$S$496,$A189)</f>
        <v>#DIV/0!</v>
      </c>
      <c r="L189" t="e">
        <f>AVERAGEIFS('Region 6'!$W$2:$W$496,'Region 6'!$A$2:$A$496,L$1,'Region 6'!$X$2:$X$496,$D189,'Region 6'!$S$2:$S$496,$A189)</f>
        <v>#DIV/0!</v>
      </c>
      <c r="M189" t="e">
        <f>AVERAGEIFS('Region 6'!$W$2:$W$496,'Region 6'!$A$2:$A$496,M$1,'Region 6'!$X$2:$X$496,$D189,'Region 6'!$S$2:$S$496,$A189)</f>
        <v>#DIV/0!</v>
      </c>
      <c r="N189" t="e">
        <f>AVERAGEIFS('Region 6'!$W$2:$W$496,'Region 6'!$A$2:$A$496,N$1,'Region 6'!$X$2:$X$496,$D189,'Region 6'!$S$2:$S$496,$A189)</f>
        <v>#DIV/0!</v>
      </c>
      <c r="Q189" t="str">
        <f t="shared" si="77"/>
        <v>Steel</v>
      </c>
      <c r="R189" t="str">
        <f t="shared" si="78"/>
        <v>High-rise</v>
      </c>
      <c r="S189">
        <f t="shared" si="79"/>
        <v>6</v>
      </c>
      <c r="T189" t="str">
        <f t="shared" si="59"/>
        <v>-</v>
      </c>
      <c r="U189" t="str">
        <f t="shared" si="60"/>
        <v>-</v>
      </c>
      <c r="V189" t="str">
        <f t="shared" si="61"/>
        <v>-</v>
      </c>
      <c r="W189" t="str">
        <f t="shared" si="62"/>
        <v>-</v>
      </c>
      <c r="X189" t="str">
        <f t="shared" si="63"/>
        <v>-</v>
      </c>
      <c r="Y189" t="str">
        <f t="shared" si="64"/>
        <v>-</v>
      </c>
      <c r="Z189" t="str">
        <f t="shared" si="65"/>
        <v>-</v>
      </c>
      <c r="AA189" t="str">
        <f t="shared" si="66"/>
        <v>-</v>
      </c>
      <c r="AB189" t="str">
        <f t="shared" si="67"/>
        <v>-</v>
      </c>
      <c r="AC189" t="str">
        <f t="shared" si="68"/>
        <v>-</v>
      </c>
    </row>
    <row r="190" spans="1:29" x14ac:dyDescent="0.3">
      <c r="A190" t="s">
        <v>30</v>
      </c>
      <c r="B190" t="str">
        <f t="shared" ref="B190:D190" si="130">B86</f>
        <v>High-rise</v>
      </c>
      <c r="C190">
        <f t="shared" si="130"/>
        <v>7</v>
      </c>
      <c r="D190">
        <f t="shared" si="130"/>
        <v>4</v>
      </c>
      <c r="E190" t="e">
        <f ca="1">AVERAGEIFS('Region 7'!$W$2:$W$500,'Region 7'!$A$2:$A$500,E$1,'Region 7'!$X$2:$X$500,$D190,'Region 7'!$S$2:$S$500,$A190)</f>
        <v>#DIV/0!</v>
      </c>
      <c r="F190" t="e">
        <f ca="1">AVERAGEIFS('Region 7'!$W$2:$W$500,'Region 7'!$A$2:$A$500,F$1,'Region 7'!$X$2:$X$500,$D190,'Region 7'!$S$2:$S$500,$A190)</f>
        <v>#DIV/0!</v>
      </c>
      <c r="G190" t="e">
        <f ca="1">AVERAGEIFS('Region 7'!$W$2:$W$500,'Region 7'!$A$2:$A$500,G$1,'Region 7'!$X$2:$X$500,$D190,'Region 7'!$S$2:$S$500,$A190)</f>
        <v>#DIV/0!</v>
      </c>
      <c r="H190" t="e">
        <f ca="1">AVERAGEIFS('Region 7'!$W$2:$W$500,'Region 7'!$A$2:$A$500,H$1,'Region 7'!$X$2:$X$500,$D190,'Region 7'!$S$2:$S$500,$A190)</f>
        <v>#DIV/0!</v>
      </c>
      <c r="I190" t="e">
        <f ca="1">AVERAGEIFS('Region 7'!$W$2:$W$500,'Region 7'!$A$2:$A$500,I$1,'Region 7'!$X$2:$X$500,$D190,'Region 7'!$S$2:$S$500,$A190)</f>
        <v>#DIV/0!</v>
      </c>
      <c r="J190" t="e">
        <f ca="1">AVERAGEIFS('Region 7'!$W$2:$W$500,'Region 7'!$A$2:$A$500,J$1,'Region 7'!$X$2:$X$500,$D190,'Region 7'!$S$2:$S$500,$A190)</f>
        <v>#DIV/0!</v>
      </c>
      <c r="K190" t="e">
        <f ca="1">AVERAGEIFS('Region 7'!$W$2:$W$500,'Region 7'!$A$2:$A$500,K$1,'Region 7'!$X$2:$X$500,$D190,'Region 7'!$S$2:$S$500,$A190)</f>
        <v>#DIV/0!</v>
      </c>
      <c r="L190" t="e">
        <f ca="1">AVERAGEIFS('Region 7'!$W$2:$W$500,'Region 7'!$A$2:$A$500,L$1,'Region 7'!$X$2:$X$500,$D190,'Region 7'!$S$2:$S$500,$A190)</f>
        <v>#DIV/0!</v>
      </c>
      <c r="M190" t="e">
        <f ca="1">AVERAGEIFS('Region 7'!$W$2:$W$500,'Region 7'!$A$2:$A$500,M$1,'Region 7'!$X$2:$X$500,$D190,'Region 7'!$S$2:$S$500,$A190)</f>
        <v>#DIV/0!</v>
      </c>
      <c r="N190" t="e">
        <f ca="1">AVERAGEIFS('Region 7'!$W$2:$W$500,'Region 7'!$A$2:$A$500,N$1,'Region 7'!$X$2:$X$500,$D190,'Region 7'!$S$2:$S$500,$A190)</f>
        <v>#DIV/0!</v>
      </c>
      <c r="Q190" t="str">
        <f t="shared" si="77"/>
        <v>Steel</v>
      </c>
      <c r="R190" t="str">
        <f t="shared" si="78"/>
        <v>High-rise</v>
      </c>
      <c r="S190">
        <f t="shared" si="79"/>
        <v>7</v>
      </c>
      <c r="T190" t="str">
        <f t="shared" ca="1" si="59"/>
        <v>-</v>
      </c>
      <c r="U190" t="str">
        <f t="shared" ca="1" si="60"/>
        <v>-</v>
      </c>
      <c r="V190" t="str">
        <f t="shared" ca="1" si="61"/>
        <v>-</v>
      </c>
      <c r="W190" t="str">
        <f t="shared" ca="1" si="62"/>
        <v>-</v>
      </c>
      <c r="X190" t="str">
        <f t="shared" ca="1" si="63"/>
        <v>-</v>
      </c>
      <c r="Y190" t="str">
        <f t="shared" ca="1" si="64"/>
        <v>-</v>
      </c>
      <c r="Z190" t="str">
        <f t="shared" ca="1" si="65"/>
        <v>-</v>
      </c>
      <c r="AA190" t="str">
        <f t="shared" ca="1" si="66"/>
        <v>-</v>
      </c>
      <c r="AB190" t="str">
        <f t="shared" ca="1" si="67"/>
        <v>-</v>
      </c>
      <c r="AC190" t="str">
        <f t="shared" ca="1" si="68"/>
        <v>-</v>
      </c>
    </row>
    <row r="191" spans="1:29" x14ac:dyDescent="0.3">
      <c r="A191" t="s">
        <v>30</v>
      </c>
      <c r="B191" t="str">
        <f t="shared" ref="B191:D191" si="131">B87</f>
        <v>High-rise</v>
      </c>
      <c r="C191">
        <f t="shared" si="131"/>
        <v>8</v>
      </c>
      <c r="D191">
        <f t="shared" si="131"/>
        <v>4</v>
      </c>
      <c r="E191" t="e">
        <f>AVERAGEIFS('Region 8'!$W$2:$W$497,'Region 8'!$A$2:$A$497,E$1,'Region 8'!$X$2:$X$497,$D191,'Region 8'!$S$2:$S$497,$A191)</f>
        <v>#DIV/0!</v>
      </c>
      <c r="F191" t="e">
        <f>AVERAGEIFS('Region 8'!$W$2:$W$497,'Region 8'!$A$2:$A$497,F$1,'Region 8'!$X$2:$X$497,$D191,'Region 8'!$S$2:$S$497,$A191)</f>
        <v>#DIV/0!</v>
      </c>
      <c r="G191" t="e">
        <f>AVERAGEIFS('Region 8'!$W$2:$W$497,'Region 8'!$A$2:$A$497,G$1,'Region 8'!$X$2:$X$497,$D191,'Region 8'!$S$2:$S$497,$A191)</f>
        <v>#DIV/0!</v>
      </c>
      <c r="H191" t="e">
        <f>AVERAGEIFS('Region 8'!$W$2:$W$497,'Region 8'!$A$2:$A$497,H$1,'Region 8'!$X$2:$X$497,$D191,'Region 8'!$S$2:$S$497,$A191)</f>
        <v>#DIV/0!</v>
      </c>
      <c r="I191" t="e">
        <f>AVERAGEIFS('Region 8'!$W$2:$W$497,'Region 8'!$A$2:$A$497,I$1,'Region 8'!$X$2:$X$497,$D191,'Region 8'!$S$2:$S$497,$A191)</f>
        <v>#DIV/0!</v>
      </c>
      <c r="J191" t="e">
        <f>AVERAGEIFS('Region 8'!$W$2:$W$497,'Region 8'!$A$2:$A$497,J$1,'Region 8'!$X$2:$X$497,$D191,'Region 8'!$S$2:$S$497,$A191)</f>
        <v>#DIV/0!</v>
      </c>
      <c r="K191" t="e">
        <f>AVERAGEIFS('Region 8'!$W$2:$W$497,'Region 8'!$A$2:$A$497,K$1,'Region 8'!$X$2:$X$497,$D191,'Region 8'!$S$2:$S$497,$A191)</f>
        <v>#DIV/0!</v>
      </c>
      <c r="L191" t="e">
        <f>AVERAGEIFS('Region 8'!$W$2:$W$497,'Region 8'!$A$2:$A$497,L$1,'Region 8'!$X$2:$X$497,$D191,'Region 8'!$S$2:$S$497,$A191)</f>
        <v>#DIV/0!</v>
      </c>
      <c r="M191" t="e">
        <f>AVERAGEIFS('Region 8'!$W$2:$W$497,'Region 8'!$A$2:$A$497,M$1,'Region 8'!$X$2:$X$497,$D191,'Region 8'!$S$2:$S$497,$A191)</f>
        <v>#DIV/0!</v>
      </c>
      <c r="N191" t="e">
        <f>AVERAGEIFS('Region 8'!$W$2:$W$497,'Region 8'!$A$2:$A$497,N$1,'Region 8'!$X$2:$X$497,$D191,'Region 8'!$S$2:$S$497,$A191)</f>
        <v>#DIV/0!</v>
      </c>
      <c r="Q191" t="str">
        <f t="shared" si="77"/>
        <v>Steel</v>
      </c>
      <c r="R191" t="str">
        <f t="shared" si="78"/>
        <v>High-rise</v>
      </c>
      <c r="S191">
        <f t="shared" si="79"/>
        <v>8</v>
      </c>
      <c r="T191" t="str">
        <f t="shared" si="59"/>
        <v>-</v>
      </c>
      <c r="U191" t="str">
        <f t="shared" si="60"/>
        <v>-</v>
      </c>
      <c r="V191" t="str">
        <f t="shared" si="61"/>
        <v>-</v>
      </c>
      <c r="W191" t="str">
        <f t="shared" si="62"/>
        <v>-</v>
      </c>
      <c r="X191" t="str">
        <f t="shared" si="63"/>
        <v>-</v>
      </c>
      <c r="Y191" t="str">
        <f t="shared" si="64"/>
        <v>-</v>
      </c>
      <c r="Z191" t="str">
        <f t="shared" si="65"/>
        <v>-</v>
      </c>
      <c r="AA191" t="str">
        <f t="shared" si="66"/>
        <v>-</v>
      </c>
      <c r="AB191" t="str">
        <f t="shared" si="67"/>
        <v>-</v>
      </c>
      <c r="AC191" t="str">
        <f t="shared" si="68"/>
        <v>-</v>
      </c>
    </row>
    <row r="192" spans="1:29" x14ac:dyDescent="0.3">
      <c r="A192" t="s">
        <v>30</v>
      </c>
      <c r="B192" t="str">
        <f t="shared" ref="B192:D192" si="132">B88</f>
        <v>High-rise</v>
      </c>
      <c r="C192">
        <f t="shared" si="132"/>
        <v>9</v>
      </c>
      <c r="D192">
        <f t="shared" si="132"/>
        <v>4</v>
      </c>
      <c r="E192" t="e">
        <f ca="1">AVERAGEIFS('Region 9'!$W$2:$W$500,'Region 9'!$A$2:$A$500,E$1,'Region 9'!$X$2:$X$500,$D192,'Region 9'!$S$2:$S$500,$A192)</f>
        <v>#DIV/0!</v>
      </c>
      <c r="F192" t="e">
        <f ca="1">AVERAGEIFS('Region 9'!$W$2:$W$500,'Region 9'!$A$2:$A$500,F$1,'Region 9'!$X$2:$X$500,$D192,'Region 9'!$S$2:$S$500,$A192)</f>
        <v>#DIV/0!</v>
      </c>
      <c r="G192" t="e">
        <f ca="1">AVERAGEIFS('Region 9'!$W$2:$W$500,'Region 9'!$A$2:$A$500,G$1,'Region 9'!$X$2:$X$500,$D192,'Region 9'!$S$2:$S$500,$A192)</f>
        <v>#DIV/0!</v>
      </c>
      <c r="H192" t="e">
        <f ca="1">AVERAGEIFS('Region 9'!$W$2:$W$500,'Region 9'!$A$2:$A$500,H$1,'Region 9'!$X$2:$X$500,$D192,'Region 9'!$S$2:$S$500,$A192)</f>
        <v>#DIV/0!</v>
      </c>
      <c r="I192" t="e">
        <f ca="1">AVERAGEIFS('Region 9'!$W$2:$W$500,'Region 9'!$A$2:$A$500,I$1,'Region 9'!$X$2:$X$500,$D192,'Region 9'!$S$2:$S$500,$A192)</f>
        <v>#DIV/0!</v>
      </c>
      <c r="J192" t="e">
        <f ca="1">AVERAGEIFS('Region 9'!$W$2:$W$500,'Region 9'!$A$2:$A$500,J$1,'Region 9'!$X$2:$X$500,$D192,'Region 9'!$S$2:$S$500,$A192)</f>
        <v>#DIV/0!</v>
      </c>
      <c r="K192" t="e">
        <f ca="1">AVERAGEIFS('Region 9'!$W$2:$W$500,'Region 9'!$A$2:$A$500,K$1,'Region 9'!$X$2:$X$500,$D192,'Region 9'!$S$2:$S$500,$A192)</f>
        <v>#DIV/0!</v>
      </c>
      <c r="L192" t="e">
        <f ca="1">AVERAGEIFS('Region 9'!$W$2:$W$500,'Region 9'!$A$2:$A$500,L$1,'Region 9'!$X$2:$X$500,$D192,'Region 9'!$S$2:$S$500,$A192)</f>
        <v>#DIV/0!</v>
      </c>
      <c r="M192" t="e">
        <f ca="1">AVERAGEIFS('Region 9'!$W$2:$W$500,'Region 9'!$A$2:$A$500,M$1,'Region 9'!$X$2:$X$500,$D192,'Region 9'!$S$2:$S$500,$A192)</f>
        <v>#DIV/0!</v>
      </c>
      <c r="N192" t="e">
        <f ca="1">AVERAGEIFS('Region 9'!$W$2:$W$500,'Region 9'!$A$2:$A$500,N$1,'Region 9'!$X$2:$X$500,$D192,'Region 9'!$S$2:$S$500,$A192)</f>
        <v>#DIV/0!</v>
      </c>
      <c r="Q192" t="str">
        <f t="shared" si="77"/>
        <v>Steel</v>
      </c>
      <c r="R192" t="str">
        <f t="shared" si="78"/>
        <v>High-rise</v>
      </c>
      <c r="S192">
        <f t="shared" si="79"/>
        <v>9</v>
      </c>
      <c r="T192" t="str">
        <f t="shared" ca="1" si="59"/>
        <v>-</v>
      </c>
      <c r="U192" t="str">
        <f t="shared" ca="1" si="60"/>
        <v>-</v>
      </c>
      <c r="V192" t="str">
        <f t="shared" ca="1" si="61"/>
        <v>-</v>
      </c>
      <c r="W192" t="str">
        <f t="shared" ca="1" si="62"/>
        <v>-</v>
      </c>
      <c r="X192" t="str">
        <f t="shared" ca="1" si="63"/>
        <v>-</v>
      </c>
      <c r="Y192" t="str">
        <f t="shared" ca="1" si="64"/>
        <v>-</v>
      </c>
      <c r="Z192" t="str">
        <f t="shared" ca="1" si="65"/>
        <v>-</v>
      </c>
      <c r="AA192" t="str">
        <f t="shared" ca="1" si="66"/>
        <v>-</v>
      </c>
      <c r="AB192" t="str">
        <f t="shared" ca="1" si="67"/>
        <v>-</v>
      </c>
      <c r="AC192" t="str">
        <f t="shared" ca="1" si="68"/>
        <v>-</v>
      </c>
    </row>
    <row r="193" spans="1:29" x14ac:dyDescent="0.3">
      <c r="A193" t="s">
        <v>30</v>
      </c>
      <c r="B193" t="str">
        <f t="shared" ref="B193:D193" si="133">B89</f>
        <v>High-rise</v>
      </c>
      <c r="C193">
        <f t="shared" si="133"/>
        <v>10</v>
      </c>
      <c r="D193">
        <f t="shared" si="133"/>
        <v>4</v>
      </c>
      <c r="E193" t="e">
        <f>AVERAGEIFS('Region 10'!$W$2:$W$500,'Region 10'!$A$2:$A$500,E$1,'Region 10'!$X$2:$X$500,$D193,'Region 10'!$S$2:$S$500,$A193)</f>
        <v>#DIV/0!</v>
      </c>
      <c r="F193" t="e">
        <f>AVERAGEIFS('Region 10'!$W$2:$W$500,'Region 10'!$A$2:$A$500,F$1,'Region 10'!$X$2:$X$500,$D193,'Region 10'!$S$2:$S$500,$A193)</f>
        <v>#DIV/0!</v>
      </c>
      <c r="G193" t="e">
        <f>AVERAGEIFS('Region 10'!$W$2:$W$500,'Region 10'!$A$2:$A$500,G$1,'Region 10'!$X$2:$X$500,$D193,'Region 10'!$S$2:$S$500,$A193)</f>
        <v>#DIV/0!</v>
      </c>
      <c r="H193" t="e">
        <f>AVERAGEIFS('Region 10'!$W$2:$W$500,'Region 10'!$A$2:$A$500,H$1,'Region 10'!$X$2:$X$500,$D193,'Region 10'!$S$2:$S$500,$A193)</f>
        <v>#DIV/0!</v>
      </c>
      <c r="I193" t="e">
        <f>AVERAGEIFS('Region 10'!$W$2:$W$500,'Region 10'!$A$2:$A$500,I$1,'Region 10'!$X$2:$X$500,$D193,'Region 10'!$S$2:$S$500,$A193)</f>
        <v>#DIV/0!</v>
      </c>
      <c r="J193" t="e">
        <f>AVERAGEIFS('Region 10'!$W$2:$W$500,'Region 10'!$A$2:$A$500,J$1,'Region 10'!$X$2:$X$500,$D193,'Region 10'!$S$2:$S$500,$A193)</f>
        <v>#DIV/0!</v>
      </c>
      <c r="K193" t="e">
        <f>AVERAGEIFS('Region 10'!$W$2:$W$500,'Region 10'!$A$2:$A$500,K$1,'Region 10'!$X$2:$X$500,$D193,'Region 10'!$S$2:$S$500,$A193)</f>
        <v>#DIV/0!</v>
      </c>
      <c r="L193" t="e">
        <f>AVERAGEIFS('Region 10'!$W$2:$W$500,'Region 10'!$A$2:$A$500,L$1,'Region 10'!$X$2:$X$500,$D193,'Region 10'!$S$2:$S$500,$A193)</f>
        <v>#DIV/0!</v>
      </c>
      <c r="M193" t="e">
        <f>AVERAGEIFS('Region 10'!$W$2:$W$500,'Region 10'!$A$2:$A$500,M$1,'Region 10'!$X$2:$X$500,$D193,'Region 10'!$S$2:$S$500,$A193)</f>
        <v>#DIV/0!</v>
      </c>
      <c r="N193" t="e">
        <f>AVERAGEIFS('Region 10'!$W$2:$W$500,'Region 10'!$A$2:$A$500,N$1,'Region 10'!$X$2:$X$500,$D193,'Region 10'!$S$2:$S$500,$A193)</f>
        <v>#DIV/0!</v>
      </c>
      <c r="Q193" t="str">
        <f t="shared" si="77"/>
        <v>Steel</v>
      </c>
      <c r="R193" t="str">
        <f t="shared" si="78"/>
        <v>High-rise</v>
      </c>
      <c r="S193">
        <f t="shared" si="79"/>
        <v>10</v>
      </c>
      <c r="T193" t="str">
        <f t="shared" si="59"/>
        <v>-</v>
      </c>
      <c r="U193" t="str">
        <f t="shared" si="60"/>
        <v>-</v>
      </c>
      <c r="V193" t="str">
        <f t="shared" si="61"/>
        <v>-</v>
      </c>
      <c r="W193" t="str">
        <f t="shared" si="62"/>
        <v>-</v>
      </c>
      <c r="X193" t="str">
        <f t="shared" si="63"/>
        <v>-</v>
      </c>
      <c r="Y193" t="str">
        <f t="shared" si="64"/>
        <v>-</v>
      </c>
      <c r="Z193" t="str">
        <f t="shared" si="65"/>
        <v>-</v>
      </c>
      <c r="AA193" t="str">
        <f t="shared" si="66"/>
        <v>-</v>
      </c>
      <c r="AB193" t="str">
        <f t="shared" si="67"/>
        <v>-</v>
      </c>
      <c r="AC193" t="str">
        <f t="shared" si="68"/>
        <v>-</v>
      </c>
    </row>
    <row r="194" spans="1:29" x14ac:dyDescent="0.3">
      <c r="A194" t="s">
        <v>30</v>
      </c>
      <c r="B194" t="str">
        <f t="shared" ref="B194:D194" si="134">B90</f>
        <v>High-rise</v>
      </c>
      <c r="C194">
        <f t="shared" si="134"/>
        <v>11</v>
      </c>
      <c r="D194">
        <f t="shared" si="134"/>
        <v>4</v>
      </c>
      <c r="E194" t="e">
        <f>AVERAGEIFS('Region 11'!$W$2:$W$391,'Region 11'!$A$2:$A$391,E$1,'Region 11'!$X$2:$X$391,$D194,'Region 11'!$S$2:$S$391,$A194)</f>
        <v>#DIV/0!</v>
      </c>
      <c r="F194" t="e">
        <f>AVERAGEIFS('Region 11'!$W$2:$W$391,'Region 11'!$A$2:$A$391,F$1,'Region 11'!$X$2:$X$391,$D194,'Region 11'!$S$2:$S$391,$A194)</f>
        <v>#DIV/0!</v>
      </c>
      <c r="G194">
        <f>AVERAGEIFS('Region 11'!$W$2:$W$391,'Region 11'!$A$2:$A$391,G$1,'Region 11'!$X$2:$X$391,$D194,'Region 11'!$S$2:$S$391,$A194)</f>
        <v>24.847222222222218</v>
      </c>
      <c r="H194" t="e">
        <f>AVERAGEIFS('Region 11'!$W$2:$W$391,'Region 11'!$A$2:$A$391,H$1,'Region 11'!$X$2:$X$391,$D194,'Region 11'!$S$2:$S$391,$A194)</f>
        <v>#DIV/0!</v>
      </c>
      <c r="I194" t="e">
        <f>AVERAGEIFS('Region 11'!$W$2:$W$391,'Region 11'!$A$2:$A$391,I$1,'Region 11'!$X$2:$X$391,$D194,'Region 11'!$S$2:$S$391,$A194)</f>
        <v>#DIV/0!</v>
      </c>
      <c r="J194" t="e">
        <f>AVERAGEIFS('Region 11'!$W$2:$W$391,'Region 11'!$A$2:$A$391,J$1,'Region 11'!$X$2:$X$391,$D194,'Region 11'!$S$2:$S$391,$A194)</f>
        <v>#DIV/0!</v>
      </c>
      <c r="K194">
        <f>AVERAGEIFS('Region 11'!$W$2:$W$391,'Region 11'!$A$2:$A$391,K$1,'Region 11'!$X$2:$X$391,$D194,'Region 11'!$S$2:$S$391,$A194)</f>
        <v>163.11111111111111</v>
      </c>
      <c r="L194">
        <f>AVERAGEIFS('Region 11'!$W$2:$W$391,'Region 11'!$A$2:$A$391,L$1,'Region 11'!$X$2:$X$391,$D194,'Region 11'!$S$2:$S$391,$A194)</f>
        <v>119</v>
      </c>
      <c r="M194" t="e">
        <f>AVERAGEIFS('Region 11'!$W$2:$W$391,'Region 11'!$A$2:$A$391,M$1,'Region 11'!$X$2:$X$391,$D194,'Region 11'!$S$2:$S$391,$A194)</f>
        <v>#DIV/0!</v>
      </c>
      <c r="N194" t="e">
        <f>AVERAGEIFS('Region 11'!$W$2:$W$391,'Region 11'!$A$2:$A$391,N$1,'Region 11'!$X$2:$X$391,$D194,'Region 11'!$S$2:$S$391,$A194)</f>
        <v>#DIV/0!</v>
      </c>
      <c r="Q194" t="str">
        <f t="shared" si="77"/>
        <v>Steel</v>
      </c>
      <c r="R194" t="str">
        <f t="shared" si="78"/>
        <v>High-rise</v>
      </c>
      <c r="S194">
        <f t="shared" si="79"/>
        <v>11</v>
      </c>
      <c r="T194" t="str">
        <f t="shared" si="59"/>
        <v>-</v>
      </c>
      <c r="U194" t="str">
        <f t="shared" si="60"/>
        <v>-</v>
      </c>
      <c r="V194">
        <f t="shared" si="61"/>
        <v>24.847222222222218</v>
      </c>
      <c r="W194" t="str">
        <f t="shared" si="62"/>
        <v>-</v>
      </c>
      <c r="X194" t="str">
        <f t="shared" si="63"/>
        <v>-</v>
      </c>
      <c r="Y194" t="str">
        <f t="shared" si="64"/>
        <v>-</v>
      </c>
      <c r="Z194">
        <f t="shared" si="65"/>
        <v>163.11111111111111</v>
      </c>
      <c r="AA194">
        <f t="shared" si="66"/>
        <v>119</v>
      </c>
      <c r="AB194" t="str">
        <f t="shared" si="67"/>
        <v>-</v>
      </c>
      <c r="AC194" t="str">
        <f t="shared" si="68"/>
        <v>-</v>
      </c>
    </row>
    <row r="195" spans="1:29" x14ac:dyDescent="0.3">
      <c r="A195" t="s">
        <v>30</v>
      </c>
      <c r="B195" t="str">
        <f t="shared" ref="B195:D195" si="135">B91</f>
        <v>High-rise</v>
      </c>
      <c r="C195">
        <f t="shared" si="135"/>
        <v>12</v>
      </c>
      <c r="D195">
        <f t="shared" si="135"/>
        <v>4</v>
      </c>
      <c r="E195" t="e">
        <f>AVERAGEIFS('Region 12'!$W$2:$W$459,'Region 12'!$A$2:$A$459,E$1,'Region 12'!$X$2:$X$459,$D195,'Region 12'!$S$2:$S$459,$A195)</f>
        <v>#DIV/0!</v>
      </c>
      <c r="F195" t="e">
        <f>AVERAGEIFS('Region 12'!$W$2:$W$459,'Region 12'!$A$2:$A$459,F$1,'Region 12'!$X$2:$X$459,$D195,'Region 12'!$S$2:$S$459,$A195)</f>
        <v>#DIV/0!</v>
      </c>
      <c r="G195" t="e">
        <f>AVERAGEIFS('Region 12'!$W$2:$W$459,'Region 12'!$A$2:$A$459,G$1,'Region 12'!$X$2:$X$459,$D195,'Region 12'!$S$2:$S$459,$A195)</f>
        <v>#DIV/0!</v>
      </c>
      <c r="H195" t="e">
        <f>AVERAGEIFS('Region 12'!$W$2:$W$459,'Region 12'!$A$2:$A$459,H$1,'Region 12'!$X$2:$X$459,$D195,'Region 12'!$S$2:$S$459,$A195)</f>
        <v>#DIV/0!</v>
      </c>
      <c r="I195" t="e">
        <f>AVERAGEIFS('Region 12'!$W$2:$W$459,'Region 12'!$A$2:$A$459,I$1,'Region 12'!$X$2:$X$459,$D195,'Region 12'!$S$2:$S$459,$A195)</f>
        <v>#DIV/0!</v>
      </c>
      <c r="J195" t="e">
        <f>AVERAGEIFS('Region 12'!$W$2:$W$459,'Region 12'!$A$2:$A$459,J$1,'Region 12'!$X$2:$X$459,$D195,'Region 12'!$S$2:$S$459,$A195)</f>
        <v>#DIV/0!</v>
      </c>
      <c r="K195" t="e">
        <f>AVERAGEIFS('Region 12'!$W$2:$W$459,'Region 12'!$A$2:$A$459,K$1,'Region 12'!$X$2:$X$459,$D195,'Region 12'!$S$2:$S$459,$A195)</f>
        <v>#DIV/0!</v>
      </c>
      <c r="L195" t="e">
        <f>AVERAGEIFS('Region 12'!$W$2:$W$459,'Region 12'!$A$2:$A$459,L$1,'Region 12'!$X$2:$X$459,$D195,'Region 12'!$S$2:$S$459,$A195)</f>
        <v>#DIV/0!</v>
      </c>
      <c r="M195" t="e">
        <f>AVERAGEIFS('Region 12'!$W$2:$W$459,'Region 12'!$A$2:$A$459,M$1,'Region 12'!$X$2:$X$459,$D195,'Region 12'!$S$2:$S$459,$A195)</f>
        <v>#DIV/0!</v>
      </c>
      <c r="N195" t="e">
        <f>AVERAGEIFS('Region 12'!$W$2:$W$459,'Region 12'!$A$2:$A$459,N$1,'Region 12'!$X$2:$X$459,$D195,'Region 12'!$S$2:$S$459,$A195)</f>
        <v>#DIV/0!</v>
      </c>
      <c r="Q195" t="str">
        <f t="shared" si="77"/>
        <v>Steel</v>
      </c>
      <c r="R195" t="str">
        <f t="shared" si="78"/>
        <v>High-rise</v>
      </c>
      <c r="S195">
        <f t="shared" si="79"/>
        <v>12</v>
      </c>
      <c r="T195" t="str">
        <f t="shared" ref="T195:T258" si="136">IF(ISNUMBER(E195),E195,"-")</f>
        <v>-</v>
      </c>
      <c r="U195" t="str">
        <f t="shared" ref="U195:U258" si="137">IF(ISNUMBER(F195),F195,"-")</f>
        <v>-</v>
      </c>
      <c r="V195" t="str">
        <f t="shared" ref="V195:V258" si="138">IF(ISNUMBER(G195),G195,"-")</f>
        <v>-</v>
      </c>
      <c r="W195" t="str">
        <f t="shared" ref="W195:W258" si="139">IF(ISNUMBER(H195),H195,"-")</f>
        <v>-</v>
      </c>
      <c r="X195" t="str">
        <f t="shared" ref="X195:X258" si="140">IF(ISNUMBER(I195),I195,"-")</f>
        <v>-</v>
      </c>
      <c r="Y195" t="str">
        <f t="shared" ref="Y195:Y258" si="141">IF(ISNUMBER(J195),J195,"-")</f>
        <v>-</v>
      </c>
      <c r="Z195" t="str">
        <f t="shared" ref="Z195:Z258" si="142">IF(ISNUMBER(K195),K195,"-")</f>
        <v>-</v>
      </c>
      <c r="AA195" t="str">
        <f t="shared" ref="AA195:AA258" si="143">IF(ISNUMBER(L195),L195,"-")</f>
        <v>-</v>
      </c>
      <c r="AB195" t="str">
        <f t="shared" ref="AB195:AB258" si="144">IF(ISNUMBER(M195),M195,"-")</f>
        <v>-</v>
      </c>
      <c r="AC195" t="str">
        <f t="shared" ref="AC195:AC258" si="145">IF(ISNUMBER(N195),N195,"-")</f>
        <v>-</v>
      </c>
    </row>
    <row r="196" spans="1:29" x14ac:dyDescent="0.3">
      <c r="A196" t="s">
        <v>30</v>
      </c>
      <c r="B196" t="str">
        <f t="shared" ref="B196:D196" si="146">B92</f>
        <v>High-rise</v>
      </c>
      <c r="C196">
        <f t="shared" si="146"/>
        <v>13</v>
      </c>
      <c r="D196">
        <f t="shared" si="146"/>
        <v>4</v>
      </c>
      <c r="E196">
        <f>AVERAGEIFS('Region 13'!$W$2:$W$500,'Region 13'!$A$2:$A$500,E$1,'Region 13'!$X$2:$X$500,$D196,'Region 13'!$S$2:$S$500,$A196)</f>
        <v>40.645076923076921</v>
      </c>
      <c r="F196" t="e">
        <f>AVERAGEIFS('Region 13'!$W$2:$W$500,'Region 13'!$A$2:$A$500,F$1,'Region 13'!$X$2:$X$500,$D196,'Region 13'!$S$2:$S$500,$A196)</f>
        <v>#DIV/0!</v>
      </c>
      <c r="G196" t="e">
        <f>AVERAGEIFS('Region 13'!$W$2:$W$500,'Region 13'!$A$2:$A$500,G$1,'Region 13'!$X$2:$X$500,$D196,'Region 13'!$S$2:$S$500,$A196)</f>
        <v>#DIV/0!</v>
      </c>
      <c r="H196" t="e">
        <f>AVERAGEIFS('Region 13'!$W$2:$W$500,'Region 13'!$A$2:$A$500,H$1,'Region 13'!$X$2:$X$500,$D196,'Region 13'!$S$2:$S$500,$A196)</f>
        <v>#DIV/0!</v>
      </c>
      <c r="I196" t="e">
        <f>AVERAGEIFS('Region 13'!$W$2:$W$500,'Region 13'!$A$2:$A$500,I$1,'Region 13'!$X$2:$X$500,$D196,'Region 13'!$S$2:$S$500,$A196)</f>
        <v>#DIV/0!</v>
      </c>
      <c r="J196" t="e">
        <f>AVERAGEIFS('Region 13'!$W$2:$W$500,'Region 13'!$A$2:$A$500,J$1,'Region 13'!$X$2:$X$500,$D196,'Region 13'!$S$2:$S$500,$A196)</f>
        <v>#DIV/0!</v>
      </c>
      <c r="K196" t="e">
        <f>AVERAGEIFS('Region 13'!$W$2:$W$500,'Region 13'!$A$2:$A$500,K$1,'Region 13'!$X$2:$X$500,$D196,'Region 13'!$S$2:$S$500,$A196)</f>
        <v>#DIV/0!</v>
      </c>
      <c r="L196" t="e">
        <f>AVERAGEIFS('Region 13'!$W$2:$W$500,'Region 13'!$A$2:$A$500,L$1,'Region 13'!$X$2:$X$500,$D196,'Region 13'!$S$2:$S$500,$A196)</f>
        <v>#DIV/0!</v>
      </c>
      <c r="M196" t="e">
        <f>AVERAGEIFS('Region 13'!$W$2:$W$500,'Region 13'!$A$2:$A$500,M$1,'Region 13'!$X$2:$X$500,$D196,'Region 13'!$S$2:$S$500,$A196)</f>
        <v>#DIV/0!</v>
      </c>
      <c r="N196" t="e">
        <f>AVERAGEIFS('Region 13'!$W$2:$W$500,'Region 13'!$A$2:$A$500,N$1,'Region 13'!$X$2:$X$500,$D196,'Region 13'!$S$2:$S$500,$A196)</f>
        <v>#DIV/0!</v>
      </c>
      <c r="Q196" t="str">
        <f t="shared" si="77"/>
        <v>Steel</v>
      </c>
      <c r="R196" t="str">
        <f t="shared" si="78"/>
        <v>High-rise</v>
      </c>
      <c r="S196">
        <f t="shared" si="79"/>
        <v>13</v>
      </c>
      <c r="T196">
        <f t="shared" si="136"/>
        <v>40.645076923076921</v>
      </c>
      <c r="U196" t="str">
        <f t="shared" si="137"/>
        <v>-</v>
      </c>
      <c r="V196" t="str">
        <f t="shared" si="138"/>
        <v>-</v>
      </c>
      <c r="W196" t="str">
        <f t="shared" si="139"/>
        <v>-</v>
      </c>
      <c r="X196" t="str">
        <f t="shared" si="140"/>
        <v>-</v>
      </c>
      <c r="Y196" t="str">
        <f t="shared" si="141"/>
        <v>-</v>
      </c>
      <c r="Z196" t="str">
        <f t="shared" si="142"/>
        <v>-</v>
      </c>
      <c r="AA196" t="str">
        <f t="shared" si="143"/>
        <v>-</v>
      </c>
      <c r="AB196" t="str">
        <f t="shared" si="144"/>
        <v>-</v>
      </c>
      <c r="AC196" t="str">
        <f t="shared" si="145"/>
        <v>-</v>
      </c>
    </row>
    <row r="197" spans="1:29" x14ac:dyDescent="0.3">
      <c r="A197" t="s">
        <v>30</v>
      </c>
      <c r="B197" t="str">
        <f t="shared" ref="B197:D197" si="147">B93</f>
        <v>High-rise</v>
      </c>
      <c r="C197">
        <f t="shared" si="147"/>
        <v>14</v>
      </c>
      <c r="D197">
        <f t="shared" si="147"/>
        <v>4</v>
      </c>
      <c r="E197" t="e">
        <f ca="1">AVERAGEIFS('Region 14'!$W$2:$W$500,'Region 14'!$A$2:$A$500,E$1,'Region 14'!$X$2:$X$500,$D197,'Region 14'!$S$2:$S$500,$A197)</f>
        <v>#DIV/0!</v>
      </c>
      <c r="F197" t="e">
        <f ca="1">AVERAGEIFS('Region 14'!$W$2:$W$500,'Region 14'!$A$2:$A$500,F$1,'Region 14'!$X$2:$X$500,$D197,'Region 14'!$S$2:$S$500,$A197)</f>
        <v>#DIV/0!</v>
      </c>
      <c r="G197" t="e">
        <f ca="1">AVERAGEIFS('Region 14'!$W$2:$W$500,'Region 14'!$A$2:$A$500,G$1,'Region 14'!$X$2:$X$500,$D197,'Region 14'!$S$2:$S$500,$A197)</f>
        <v>#DIV/0!</v>
      </c>
      <c r="H197" t="e">
        <f ca="1">AVERAGEIFS('Region 14'!$W$2:$W$500,'Region 14'!$A$2:$A$500,H$1,'Region 14'!$X$2:$X$500,$D197,'Region 14'!$S$2:$S$500,$A197)</f>
        <v>#DIV/0!</v>
      </c>
      <c r="I197" t="e">
        <f ca="1">AVERAGEIFS('Region 14'!$W$2:$W$500,'Region 14'!$A$2:$A$500,I$1,'Region 14'!$X$2:$X$500,$D197,'Region 14'!$S$2:$S$500,$A197)</f>
        <v>#DIV/0!</v>
      </c>
      <c r="J197" t="e">
        <f ca="1">AVERAGEIFS('Region 14'!$W$2:$W$500,'Region 14'!$A$2:$A$500,J$1,'Region 14'!$X$2:$X$500,$D197,'Region 14'!$S$2:$S$500,$A197)</f>
        <v>#DIV/0!</v>
      </c>
      <c r="K197" t="e">
        <f ca="1">AVERAGEIFS('Region 14'!$W$2:$W$500,'Region 14'!$A$2:$A$500,K$1,'Region 14'!$X$2:$X$500,$D197,'Region 14'!$S$2:$S$500,$A197)</f>
        <v>#DIV/0!</v>
      </c>
      <c r="L197" t="e">
        <f ca="1">AVERAGEIFS('Region 14'!$W$2:$W$500,'Region 14'!$A$2:$A$500,L$1,'Region 14'!$X$2:$X$500,$D197,'Region 14'!$S$2:$S$500,$A197)</f>
        <v>#DIV/0!</v>
      </c>
      <c r="M197" t="e">
        <f ca="1">AVERAGEIFS('Region 14'!$W$2:$W$500,'Region 14'!$A$2:$A$500,M$1,'Region 14'!$X$2:$X$500,$D197,'Region 14'!$S$2:$S$500,$A197)</f>
        <v>#DIV/0!</v>
      </c>
      <c r="N197" t="e">
        <f ca="1">AVERAGEIFS('Region 14'!$W$2:$W$500,'Region 14'!$A$2:$A$500,N$1,'Region 14'!$X$2:$X$500,$D197,'Region 14'!$S$2:$S$500,$A197)</f>
        <v>#DIV/0!</v>
      </c>
      <c r="Q197" t="str">
        <f t="shared" si="77"/>
        <v>Steel</v>
      </c>
      <c r="R197" t="str">
        <f t="shared" si="78"/>
        <v>High-rise</v>
      </c>
      <c r="S197">
        <f t="shared" si="79"/>
        <v>14</v>
      </c>
      <c r="T197" t="str">
        <f t="shared" ca="1" si="136"/>
        <v>-</v>
      </c>
      <c r="U197" t="str">
        <f t="shared" ca="1" si="137"/>
        <v>-</v>
      </c>
      <c r="V197" t="str">
        <f t="shared" ca="1" si="138"/>
        <v>-</v>
      </c>
      <c r="W197" t="str">
        <f t="shared" ca="1" si="139"/>
        <v>-</v>
      </c>
      <c r="X197" t="str">
        <f t="shared" ca="1" si="140"/>
        <v>-</v>
      </c>
      <c r="Y197" t="str">
        <f t="shared" ca="1" si="141"/>
        <v>-</v>
      </c>
      <c r="Z197" t="str">
        <f t="shared" ca="1" si="142"/>
        <v>-</v>
      </c>
      <c r="AA197" t="str">
        <f t="shared" ca="1" si="143"/>
        <v>-</v>
      </c>
      <c r="AB197" t="str">
        <f t="shared" ca="1" si="144"/>
        <v>-</v>
      </c>
      <c r="AC197" t="str">
        <f t="shared" ca="1" si="145"/>
        <v>-</v>
      </c>
    </row>
    <row r="198" spans="1:29" x14ac:dyDescent="0.3">
      <c r="A198" t="s">
        <v>30</v>
      </c>
      <c r="B198" t="str">
        <f t="shared" ref="B198:D198" si="148">B94</f>
        <v>High-rise</v>
      </c>
      <c r="C198">
        <f t="shared" si="148"/>
        <v>15</v>
      </c>
      <c r="D198">
        <f t="shared" si="148"/>
        <v>4</v>
      </c>
      <c r="E198" t="e">
        <f ca="1">AVERAGEIFS('Region 15'!$W$2:$W$500,'Region 15'!$A$2:$A$500,E$1,'Region 15'!$X$2:$X$500,$D198,'Region 15'!$S$2:$S$500,$A198)</f>
        <v>#DIV/0!</v>
      </c>
      <c r="F198" t="e">
        <f ca="1">AVERAGEIFS('Region 15'!$W$2:$W$500,'Region 15'!$A$2:$A$500,F$1,'Region 15'!$X$2:$X$500,$D198,'Region 15'!$S$2:$S$500,$A198)</f>
        <v>#DIV/0!</v>
      </c>
      <c r="G198" t="e">
        <f ca="1">AVERAGEIFS('Region 15'!$W$2:$W$500,'Region 15'!$A$2:$A$500,G$1,'Region 15'!$X$2:$X$500,$D198,'Region 15'!$S$2:$S$500,$A198)</f>
        <v>#DIV/0!</v>
      </c>
      <c r="H198" t="e">
        <f ca="1">AVERAGEIFS('Region 15'!$W$2:$W$500,'Region 15'!$A$2:$A$500,H$1,'Region 15'!$X$2:$X$500,$D198,'Region 15'!$S$2:$S$500,$A198)</f>
        <v>#DIV/0!</v>
      </c>
      <c r="I198" t="e">
        <f ca="1">AVERAGEIFS('Region 15'!$W$2:$W$500,'Region 15'!$A$2:$A$500,I$1,'Region 15'!$X$2:$X$500,$D198,'Region 15'!$S$2:$S$500,$A198)</f>
        <v>#DIV/0!</v>
      </c>
      <c r="J198" t="e">
        <f ca="1">AVERAGEIFS('Region 15'!$W$2:$W$500,'Region 15'!$A$2:$A$500,J$1,'Region 15'!$X$2:$X$500,$D198,'Region 15'!$S$2:$S$500,$A198)</f>
        <v>#DIV/0!</v>
      </c>
      <c r="K198" t="e">
        <f ca="1">AVERAGEIFS('Region 15'!$W$2:$W$500,'Region 15'!$A$2:$A$500,K$1,'Region 15'!$X$2:$X$500,$D198,'Region 15'!$S$2:$S$500,$A198)</f>
        <v>#DIV/0!</v>
      </c>
      <c r="L198" t="e">
        <f ca="1">AVERAGEIFS('Region 15'!$W$2:$W$500,'Region 15'!$A$2:$A$500,L$1,'Region 15'!$X$2:$X$500,$D198,'Region 15'!$S$2:$S$500,$A198)</f>
        <v>#DIV/0!</v>
      </c>
      <c r="M198" t="e">
        <f ca="1">AVERAGEIFS('Region 15'!$W$2:$W$500,'Region 15'!$A$2:$A$500,M$1,'Region 15'!$X$2:$X$500,$D198,'Region 15'!$S$2:$S$500,$A198)</f>
        <v>#DIV/0!</v>
      </c>
      <c r="N198" t="e">
        <f ca="1">AVERAGEIFS('Region 15'!$W$2:$W$500,'Region 15'!$A$2:$A$500,N$1,'Region 15'!$X$2:$X$500,$D198,'Region 15'!$S$2:$S$500,$A198)</f>
        <v>#DIV/0!</v>
      </c>
      <c r="Q198" t="str">
        <f t="shared" si="77"/>
        <v>Steel</v>
      </c>
      <c r="R198" t="str">
        <f t="shared" si="78"/>
        <v>High-rise</v>
      </c>
      <c r="S198">
        <f t="shared" si="79"/>
        <v>15</v>
      </c>
      <c r="T198" t="str">
        <f t="shared" ca="1" si="136"/>
        <v>-</v>
      </c>
      <c r="U198" t="str">
        <f t="shared" ca="1" si="137"/>
        <v>-</v>
      </c>
      <c r="V198" t="str">
        <f t="shared" ca="1" si="138"/>
        <v>-</v>
      </c>
      <c r="W198" t="str">
        <f t="shared" ca="1" si="139"/>
        <v>-</v>
      </c>
      <c r="X198" t="str">
        <f t="shared" ca="1" si="140"/>
        <v>-</v>
      </c>
      <c r="Y198" t="str">
        <f t="shared" ca="1" si="141"/>
        <v>-</v>
      </c>
      <c r="Z198" t="str">
        <f t="shared" ca="1" si="142"/>
        <v>-</v>
      </c>
      <c r="AA198" t="str">
        <f t="shared" ca="1" si="143"/>
        <v>-</v>
      </c>
      <c r="AB198" t="str">
        <f t="shared" ca="1" si="144"/>
        <v>-</v>
      </c>
      <c r="AC198" t="str">
        <f t="shared" ca="1" si="145"/>
        <v>-</v>
      </c>
    </row>
    <row r="199" spans="1:29" x14ac:dyDescent="0.3">
      <c r="A199" t="s">
        <v>30</v>
      </c>
      <c r="B199" t="str">
        <f t="shared" ref="B199:D199" si="149">B95</f>
        <v>High-rise</v>
      </c>
      <c r="C199">
        <f t="shared" si="149"/>
        <v>16</v>
      </c>
      <c r="D199">
        <f t="shared" si="149"/>
        <v>4</v>
      </c>
      <c r="E199" t="e">
        <f ca="1">AVERAGEIFS('Region 16'!$W$2:$W$500,'Region 16'!$A$2:$A$500,E$1,'Region 16'!$X$2:$X$500,$D199,'Region 16'!$S$2:$S$500,$A199)</f>
        <v>#DIV/0!</v>
      </c>
      <c r="F199" t="e">
        <f ca="1">AVERAGEIFS('Region 16'!$W$2:$W$500,'Region 16'!$A$2:$A$500,F$1,'Region 16'!$X$2:$X$500,$D199,'Region 16'!$S$2:$S$500,$A199)</f>
        <v>#DIV/0!</v>
      </c>
      <c r="G199" t="e">
        <f ca="1">AVERAGEIFS('Region 16'!$W$2:$W$500,'Region 16'!$A$2:$A$500,G$1,'Region 16'!$X$2:$X$500,$D199,'Region 16'!$S$2:$S$500,$A199)</f>
        <v>#DIV/0!</v>
      </c>
      <c r="H199" t="e">
        <f ca="1">AVERAGEIFS('Region 16'!$W$2:$W$500,'Region 16'!$A$2:$A$500,H$1,'Region 16'!$X$2:$X$500,$D199,'Region 16'!$S$2:$S$500,$A199)</f>
        <v>#DIV/0!</v>
      </c>
      <c r="I199" t="e">
        <f ca="1">AVERAGEIFS('Region 16'!$W$2:$W$500,'Region 16'!$A$2:$A$500,I$1,'Region 16'!$X$2:$X$500,$D199,'Region 16'!$S$2:$S$500,$A199)</f>
        <v>#DIV/0!</v>
      </c>
      <c r="J199" t="e">
        <f ca="1">AVERAGEIFS('Region 16'!$W$2:$W$500,'Region 16'!$A$2:$A$500,J$1,'Region 16'!$X$2:$X$500,$D199,'Region 16'!$S$2:$S$500,$A199)</f>
        <v>#DIV/0!</v>
      </c>
      <c r="K199" t="e">
        <f ca="1">AVERAGEIFS('Region 16'!$W$2:$W$500,'Region 16'!$A$2:$A$500,K$1,'Region 16'!$X$2:$X$500,$D199,'Region 16'!$S$2:$S$500,$A199)</f>
        <v>#DIV/0!</v>
      </c>
      <c r="L199" t="e">
        <f ca="1">AVERAGEIFS('Region 16'!$W$2:$W$500,'Region 16'!$A$2:$A$500,L$1,'Region 16'!$X$2:$X$500,$D199,'Region 16'!$S$2:$S$500,$A199)</f>
        <v>#DIV/0!</v>
      </c>
      <c r="M199" t="e">
        <f ca="1">AVERAGEIFS('Region 16'!$W$2:$W$500,'Region 16'!$A$2:$A$500,M$1,'Region 16'!$X$2:$X$500,$D199,'Region 16'!$S$2:$S$500,$A199)</f>
        <v>#DIV/0!</v>
      </c>
      <c r="N199" t="e">
        <f ca="1">AVERAGEIFS('Region 16'!$W$2:$W$500,'Region 16'!$A$2:$A$500,N$1,'Region 16'!$X$2:$X$500,$D199,'Region 16'!$S$2:$S$500,$A199)</f>
        <v>#DIV/0!</v>
      </c>
      <c r="Q199" t="str">
        <f t="shared" si="77"/>
        <v>Steel</v>
      </c>
      <c r="R199" t="str">
        <f t="shared" si="78"/>
        <v>High-rise</v>
      </c>
      <c r="S199">
        <f t="shared" si="79"/>
        <v>16</v>
      </c>
      <c r="T199" t="str">
        <f t="shared" ca="1" si="136"/>
        <v>-</v>
      </c>
      <c r="U199" t="str">
        <f t="shared" ca="1" si="137"/>
        <v>-</v>
      </c>
      <c r="V199" t="str">
        <f t="shared" ca="1" si="138"/>
        <v>-</v>
      </c>
      <c r="W199" t="str">
        <f t="shared" ca="1" si="139"/>
        <v>-</v>
      </c>
      <c r="X199" t="str">
        <f t="shared" ca="1" si="140"/>
        <v>-</v>
      </c>
      <c r="Y199" t="str">
        <f t="shared" ca="1" si="141"/>
        <v>-</v>
      </c>
      <c r="Z199" t="str">
        <f t="shared" ca="1" si="142"/>
        <v>-</v>
      </c>
      <c r="AA199" t="str">
        <f t="shared" ca="1" si="143"/>
        <v>-</v>
      </c>
      <c r="AB199" t="str">
        <f t="shared" ca="1" si="144"/>
        <v>-</v>
      </c>
      <c r="AC199" t="str">
        <f t="shared" ca="1" si="145"/>
        <v>-</v>
      </c>
    </row>
    <row r="200" spans="1:29" x14ac:dyDescent="0.3">
      <c r="A200" t="s">
        <v>30</v>
      </c>
      <c r="B200" t="str">
        <f t="shared" ref="B200:D200" si="150">B96</f>
        <v>High-rise</v>
      </c>
      <c r="C200">
        <f t="shared" si="150"/>
        <v>17</v>
      </c>
      <c r="D200">
        <f t="shared" si="150"/>
        <v>4</v>
      </c>
      <c r="E200" t="e">
        <f>AVERAGEIFS('Region 17'!$W$2:$W$498,'Region 17'!$A$2:$A$498,E$1,'Region 17'!$X$2:$X$498,$D200,'Region 17'!$S$2:$S$498,$A200)</f>
        <v>#DIV/0!</v>
      </c>
      <c r="F200" t="e">
        <f>AVERAGEIFS('Region 17'!$W$2:$W$498,'Region 17'!$A$2:$A$498,F$1,'Region 17'!$X$2:$X$498,$D200,'Region 17'!$S$2:$S$498,$A200)</f>
        <v>#DIV/0!</v>
      </c>
      <c r="G200" t="e">
        <f>AVERAGEIFS('Region 17'!$W$2:$W$498,'Region 17'!$A$2:$A$498,G$1,'Region 17'!$X$2:$X$498,$D200,'Region 17'!$S$2:$S$498,$A200)</f>
        <v>#DIV/0!</v>
      </c>
      <c r="H200" t="e">
        <f>AVERAGEIFS('Region 17'!$W$2:$W$498,'Region 17'!$A$2:$A$498,H$1,'Region 17'!$X$2:$X$498,$D200,'Region 17'!$S$2:$S$498,$A200)</f>
        <v>#DIV/0!</v>
      </c>
      <c r="I200" t="e">
        <f>AVERAGEIFS('Region 17'!$W$2:$W$498,'Region 17'!$A$2:$A$498,I$1,'Region 17'!$X$2:$X$498,$D200,'Region 17'!$S$2:$S$498,$A200)</f>
        <v>#DIV/0!</v>
      </c>
      <c r="J200" t="e">
        <f>AVERAGEIFS('Region 17'!$W$2:$W$498,'Region 17'!$A$2:$A$498,J$1,'Region 17'!$X$2:$X$498,$D200,'Region 17'!$S$2:$S$498,$A200)</f>
        <v>#DIV/0!</v>
      </c>
      <c r="K200" t="e">
        <f>AVERAGEIFS('Region 17'!$W$2:$W$498,'Region 17'!$A$2:$A$498,K$1,'Region 17'!$X$2:$X$498,$D200,'Region 17'!$S$2:$S$498,$A200)</f>
        <v>#DIV/0!</v>
      </c>
      <c r="L200" t="e">
        <f>AVERAGEIFS('Region 17'!$W$2:$W$498,'Region 17'!$A$2:$A$498,L$1,'Region 17'!$X$2:$X$498,$D200,'Region 17'!$S$2:$S$498,$A200)</f>
        <v>#DIV/0!</v>
      </c>
      <c r="M200" t="e">
        <f>AVERAGEIFS('Region 17'!$W$2:$W$498,'Region 17'!$A$2:$A$498,M$1,'Region 17'!$X$2:$X$498,$D200,'Region 17'!$S$2:$S$498,$A200)</f>
        <v>#DIV/0!</v>
      </c>
      <c r="N200" t="e">
        <f>AVERAGEIFS('Region 17'!$W$2:$W$498,'Region 17'!$A$2:$A$498,N$1,'Region 17'!$X$2:$X$498,$D200,'Region 17'!$S$2:$S$498,$A200)</f>
        <v>#DIV/0!</v>
      </c>
      <c r="Q200" t="str">
        <f t="shared" si="77"/>
        <v>Steel</v>
      </c>
      <c r="R200" t="str">
        <f t="shared" si="78"/>
        <v>High-rise</v>
      </c>
      <c r="S200">
        <f t="shared" si="79"/>
        <v>17</v>
      </c>
      <c r="T200" t="str">
        <f t="shared" si="136"/>
        <v>-</v>
      </c>
      <c r="U200" t="str">
        <f t="shared" si="137"/>
        <v>-</v>
      </c>
      <c r="V200" t="str">
        <f t="shared" si="138"/>
        <v>-</v>
      </c>
      <c r="W200" t="str">
        <f t="shared" si="139"/>
        <v>-</v>
      </c>
      <c r="X200" t="str">
        <f t="shared" si="140"/>
        <v>-</v>
      </c>
      <c r="Y200" t="str">
        <f t="shared" si="141"/>
        <v>-</v>
      </c>
      <c r="Z200" t="str">
        <f t="shared" si="142"/>
        <v>-</v>
      </c>
      <c r="AA200" t="str">
        <f t="shared" si="143"/>
        <v>-</v>
      </c>
      <c r="AB200" t="str">
        <f t="shared" si="144"/>
        <v>-</v>
      </c>
      <c r="AC200" t="str">
        <f t="shared" si="145"/>
        <v>-</v>
      </c>
    </row>
    <row r="201" spans="1:29" x14ac:dyDescent="0.3">
      <c r="A201" t="s">
        <v>30</v>
      </c>
      <c r="B201" t="str">
        <f>B97</f>
        <v>High-rise</v>
      </c>
      <c r="C201">
        <f>C97</f>
        <v>18</v>
      </c>
      <c r="D201">
        <f>D97</f>
        <v>4</v>
      </c>
      <c r="E201">
        <f>AVERAGEIFS('Region 18'!$W$2:$W$468,'Region 18'!$A$2:$A$468,E$1,'Region 18'!$X$2:$X$468,$D201,'Region 18'!$S$2:$S$468,$A201)</f>
        <v>121.20547258136422</v>
      </c>
      <c r="F201" t="e">
        <f>AVERAGEIFS('Region 18'!$W$2:$W$468,'Region 18'!$A$2:$A$468,F$1,'Region 18'!$X$2:$X$468,$D201,'Region 18'!$S$2:$S$468,$A201)</f>
        <v>#DIV/0!</v>
      </c>
      <c r="G201" t="e">
        <f>AVERAGEIFS('Region 18'!$W$2:$W$468,'Region 18'!$A$2:$A$468,G$1,'Region 18'!$X$2:$X$468,$D201,'Region 18'!$S$2:$S$468,$A201)</f>
        <v>#DIV/0!</v>
      </c>
      <c r="H201" t="e">
        <f>AVERAGEIFS('Region 18'!$W$2:$W$468,'Region 18'!$A$2:$A$468,H$1,'Region 18'!$X$2:$X$468,$D201,'Region 18'!$S$2:$S$468,$A201)</f>
        <v>#DIV/0!</v>
      </c>
      <c r="I201" t="e">
        <f>AVERAGEIFS('Region 18'!$W$2:$W$468,'Region 18'!$A$2:$A$468,I$1,'Region 18'!$X$2:$X$468,$D201,'Region 18'!$S$2:$S$468,$A201)</f>
        <v>#DIV/0!</v>
      </c>
      <c r="J201" t="e">
        <f>AVERAGEIFS('Region 18'!$W$2:$W$468,'Region 18'!$A$2:$A$468,J$1,'Region 18'!$X$2:$X$468,$D201,'Region 18'!$S$2:$S$468,$A201)</f>
        <v>#DIV/0!</v>
      </c>
      <c r="K201" t="e">
        <f>AVERAGEIFS('Region 18'!$W$2:$W$468,'Region 18'!$A$2:$A$468,K$1,'Region 18'!$X$2:$X$468,$D201,'Region 18'!$S$2:$S$468,$A201)</f>
        <v>#DIV/0!</v>
      </c>
      <c r="L201" t="e">
        <f>AVERAGEIFS('Region 18'!$W$2:$W$468,'Region 18'!$A$2:$A$468,L$1,'Region 18'!$X$2:$X$468,$D201,'Region 18'!$S$2:$S$468,$A201)</f>
        <v>#DIV/0!</v>
      </c>
      <c r="M201" t="e">
        <f>AVERAGEIFS('Region 18'!$W$2:$W$468,'Region 18'!$A$2:$A$468,M$1,'Region 18'!$X$2:$X$468,$D201,'Region 18'!$S$2:$S$468,$A201)</f>
        <v>#DIV/0!</v>
      </c>
      <c r="N201" t="e">
        <f>AVERAGEIFS('Region 18'!$W$2:$W$468,'Region 18'!$A$2:$A$468,N$1,'Region 18'!$X$2:$X$468,$D201,'Region 18'!$S$2:$S$468,$A201)</f>
        <v>#DIV/0!</v>
      </c>
      <c r="Q201" t="str">
        <f t="shared" si="77"/>
        <v>Steel</v>
      </c>
      <c r="R201" t="str">
        <f t="shared" si="78"/>
        <v>High-rise</v>
      </c>
      <c r="S201">
        <f t="shared" si="79"/>
        <v>18</v>
      </c>
      <c r="T201">
        <f t="shared" si="136"/>
        <v>121.20547258136422</v>
      </c>
      <c r="U201" t="str">
        <f t="shared" si="137"/>
        <v>-</v>
      </c>
      <c r="V201" t="str">
        <f t="shared" si="138"/>
        <v>-</v>
      </c>
      <c r="W201" t="str">
        <f t="shared" si="139"/>
        <v>-</v>
      </c>
      <c r="X201" t="str">
        <f t="shared" si="140"/>
        <v>-</v>
      </c>
      <c r="Y201" t="str">
        <f t="shared" si="141"/>
        <v>-</v>
      </c>
      <c r="Z201" t="str">
        <f t="shared" si="142"/>
        <v>-</v>
      </c>
      <c r="AA201" t="str">
        <f t="shared" si="143"/>
        <v>-</v>
      </c>
      <c r="AB201" t="str">
        <f t="shared" si="144"/>
        <v>-</v>
      </c>
      <c r="AC201" t="str">
        <f t="shared" si="145"/>
        <v>-</v>
      </c>
    </row>
    <row r="202" spans="1:29" x14ac:dyDescent="0.3">
      <c r="A202" t="s">
        <v>30</v>
      </c>
      <c r="B202" t="str">
        <f t="shared" ref="B202:D202" si="151">B98</f>
        <v>High-rise</v>
      </c>
      <c r="C202">
        <f t="shared" si="151"/>
        <v>19</v>
      </c>
      <c r="D202">
        <f t="shared" si="151"/>
        <v>4</v>
      </c>
      <c r="E202">
        <f>AVERAGEIFS('Region 19'!$W$2:$W$494,'Region 19'!$A$2:$A$494,E$1,'Region 19'!$X$2:$X$494,$D202,'Region 19'!$S$2:$S$494,$A202)</f>
        <v>45.297703647031859</v>
      </c>
      <c r="F202" t="e">
        <f>AVERAGEIFS('Region 19'!$W$2:$W$494,'Region 19'!$A$2:$A$494,F$1,'Region 19'!$X$2:$X$494,$D202,'Region 19'!$S$2:$S$494,$A202)</f>
        <v>#DIV/0!</v>
      </c>
      <c r="G202">
        <f>AVERAGEIFS('Region 19'!$W$2:$W$494,'Region 19'!$A$2:$A$494,G$1,'Region 19'!$X$2:$X$494,$D202,'Region 19'!$S$2:$S$494,$A202)</f>
        <v>81.331100616505807</v>
      </c>
      <c r="H202" t="e">
        <f>AVERAGEIFS('Region 19'!$W$2:$W$494,'Region 19'!$A$2:$A$494,H$1,'Region 19'!$X$2:$X$494,$D202,'Region 19'!$S$2:$S$494,$A202)</f>
        <v>#DIV/0!</v>
      </c>
      <c r="I202" t="e">
        <f>AVERAGEIFS('Region 19'!$W$2:$W$494,'Region 19'!$A$2:$A$494,I$1,'Region 19'!$X$2:$X$494,$D202,'Region 19'!$S$2:$S$494,$A202)</f>
        <v>#DIV/0!</v>
      </c>
      <c r="J202" t="e">
        <f>AVERAGEIFS('Region 19'!$W$2:$W$494,'Region 19'!$A$2:$A$494,J$1,'Region 19'!$X$2:$X$494,$D202,'Region 19'!$S$2:$S$494,$A202)</f>
        <v>#DIV/0!</v>
      </c>
      <c r="K202" t="e">
        <f>AVERAGEIFS('Region 19'!$W$2:$W$494,'Region 19'!$A$2:$A$494,K$1,'Region 19'!$X$2:$X$494,$D202,'Region 19'!$S$2:$S$494,$A202)</f>
        <v>#DIV/0!</v>
      </c>
      <c r="L202" t="e">
        <f>AVERAGEIFS('Region 19'!$W$2:$W$494,'Region 19'!$A$2:$A$494,L$1,'Region 19'!$X$2:$X$494,$D202,'Region 19'!$S$2:$S$494,$A202)</f>
        <v>#DIV/0!</v>
      </c>
      <c r="M202" t="e">
        <f>AVERAGEIFS('Region 19'!$W$2:$W$494,'Region 19'!$A$2:$A$494,M$1,'Region 19'!$X$2:$X$494,$D202,'Region 19'!$S$2:$S$494,$A202)</f>
        <v>#DIV/0!</v>
      </c>
      <c r="N202" t="e">
        <f>AVERAGEIFS('Region 19'!$W$2:$W$494,'Region 19'!$A$2:$A$494,N$1,'Region 19'!$X$2:$X$494,$D202,'Region 19'!$S$2:$S$494,$A202)</f>
        <v>#DIV/0!</v>
      </c>
      <c r="Q202" t="str">
        <f t="shared" si="77"/>
        <v>Steel</v>
      </c>
      <c r="R202" t="str">
        <f t="shared" si="78"/>
        <v>High-rise</v>
      </c>
      <c r="S202">
        <f t="shared" si="79"/>
        <v>19</v>
      </c>
      <c r="T202">
        <f t="shared" si="136"/>
        <v>45.297703647031859</v>
      </c>
      <c r="U202" t="str">
        <f t="shared" si="137"/>
        <v>-</v>
      </c>
      <c r="V202">
        <f t="shared" si="138"/>
        <v>81.331100616505807</v>
      </c>
      <c r="W202" t="str">
        <f t="shared" si="139"/>
        <v>-</v>
      </c>
      <c r="X202" t="str">
        <f t="shared" si="140"/>
        <v>-</v>
      </c>
      <c r="Y202" t="str">
        <f t="shared" si="141"/>
        <v>-</v>
      </c>
      <c r="Z202" t="str">
        <f t="shared" si="142"/>
        <v>-</v>
      </c>
      <c r="AA202" t="str">
        <f t="shared" si="143"/>
        <v>-</v>
      </c>
      <c r="AB202" t="str">
        <f t="shared" si="144"/>
        <v>-</v>
      </c>
      <c r="AC202" t="str">
        <f t="shared" si="145"/>
        <v>-</v>
      </c>
    </row>
    <row r="203" spans="1:29" x14ac:dyDescent="0.3">
      <c r="A203" t="s">
        <v>30</v>
      </c>
      <c r="B203" t="str">
        <f t="shared" ref="B203:D203" si="152">B99</f>
        <v>High-rise</v>
      </c>
      <c r="C203">
        <f t="shared" si="152"/>
        <v>20</v>
      </c>
      <c r="D203">
        <f t="shared" si="152"/>
        <v>4</v>
      </c>
      <c r="E203">
        <f>AVERAGEIFS('Region 20'!$W$2:$W$269,'Region 20'!$A$2:$A$269,E$1,'Region 20'!$X$2:$X$269,$D203,'Region 20'!$S$2:$S$269,$A203)</f>
        <v>141.93162208800692</v>
      </c>
      <c r="F203" t="e">
        <f>AVERAGEIFS('Region 20'!$W$2:$W$269,'Region 20'!$A$2:$A$269,F$1,'Region 20'!$X$2:$X$269,$D203,'Region 20'!$S$2:$S$269,$A203)</f>
        <v>#DIV/0!</v>
      </c>
      <c r="G203" t="e">
        <f>AVERAGEIFS('Region 20'!$W$2:$W$269,'Region 20'!$A$2:$A$269,G$1,'Region 20'!$X$2:$X$269,$D203,'Region 20'!$S$2:$S$269,$A203)</f>
        <v>#DIV/0!</v>
      </c>
      <c r="H203">
        <f>AVERAGEIFS('Region 20'!$W$2:$W$269,'Region 20'!$A$2:$A$269,H$1,'Region 20'!$X$2:$X$269,$D203,'Region 20'!$S$2:$S$269,$A203)</f>
        <v>120.29891660010246</v>
      </c>
      <c r="I203" t="e">
        <f>AVERAGEIFS('Region 20'!$W$2:$W$269,'Region 20'!$A$2:$A$269,I$1,'Region 20'!$X$2:$X$269,$D203,'Region 20'!$S$2:$S$269,$A203)</f>
        <v>#DIV/0!</v>
      </c>
      <c r="J203" t="e">
        <f>AVERAGEIFS('Region 20'!$W$2:$W$269,'Region 20'!$A$2:$A$269,J$1,'Region 20'!$X$2:$X$269,$D203,'Region 20'!$S$2:$S$269,$A203)</f>
        <v>#DIV/0!</v>
      </c>
      <c r="K203" t="e">
        <f>AVERAGEIFS('Region 20'!$W$2:$W$269,'Region 20'!$A$2:$A$269,K$1,'Region 20'!$X$2:$X$269,$D203,'Region 20'!$S$2:$S$269,$A203)</f>
        <v>#DIV/0!</v>
      </c>
      <c r="L203" t="e">
        <f>AVERAGEIFS('Region 20'!$W$2:$W$269,'Region 20'!$A$2:$A$269,L$1,'Region 20'!$X$2:$X$269,$D203,'Region 20'!$S$2:$S$269,$A203)</f>
        <v>#DIV/0!</v>
      </c>
      <c r="M203" t="e">
        <f>AVERAGEIFS('Region 20'!$W$2:$W$269,'Region 20'!$A$2:$A$269,M$1,'Region 20'!$X$2:$X$269,$D203,'Region 20'!$S$2:$S$269,$A203)</f>
        <v>#DIV/0!</v>
      </c>
      <c r="N203" t="e">
        <f>AVERAGEIFS('Region 20'!$W$2:$W$269,'Region 20'!$A$2:$A$269,N$1,'Region 20'!$X$2:$X$269,$D203,'Region 20'!$S$2:$S$269,$A203)</f>
        <v>#DIV/0!</v>
      </c>
      <c r="Q203" t="str">
        <f t="shared" ref="Q203:Q266" si="153">A203</f>
        <v>Steel</v>
      </c>
      <c r="R203" t="str">
        <f t="shared" ref="R203:R266" si="154">B203</f>
        <v>High-rise</v>
      </c>
      <c r="S203">
        <f t="shared" ref="S203:S266" si="155">C203</f>
        <v>20</v>
      </c>
      <c r="T203">
        <f t="shared" si="136"/>
        <v>141.93162208800692</v>
      </c>
      <c r="U203" t="str">
        <f t="shared" si="137"/>
        <v>-</v>
      </c>
      <c r="V203" t="str">
        <f t="shared" si="138"/>
        <v>-</v>
      </c>
      <c r="W203">
        <f t="shared" si="139"/>
        <v>120.29891660010246</v>
      </c>
      <c r="X203" t="str">
        <f t="shared" si="140"/>
        <v>-</v>
      </c>
      <c r="Y203" t="str">
        <f t="shared" si="141"/>
        <v>-</v>
      </c>
      <c r="Z203" t="str">
        <f t="shared" si="142"/>
        <v>-</v>
      </c>
      <c r="AA203" t="str">
        <f t="shared" si="143"/>
        <v>-</v>
      </c>
      <c r="AB203" t="str">
        <f t="shared" si="144"/>
        <v>-</v>
      </c>
      <c r="AC203" t="str">
        <f t="shared" si="145"/>
        <v>-</v>
      </c>
    </row>
    <row r="204" spans="1:29" x14ac:dyDescent="0.3">
      <c r="A204" t="s">
        <v>30</v>
      </c>
      <c r="B204" t="str">
        <f t="shared" ref="B204:D204" si="156">B100</f>
        <v>High-rise</v>
      </c>
      <c r="C204">
        <f t="shared" si="156"/>
        <v>21</v>
      </c>
      <c r="D204">
        <f t="shared" si="156"/>
        <v>4</v>
      </c>
      <c r="E204" t="e">
        <f>AVERAGEIFS('Region 21'!$W$2:$W$497,'Region 21'!$A$2:$A$497,E$1,'Region 21'!$X$2:$X$497,$D204,'Region 21'!$S$2:$S$497,$A204)</f>
        <v>#DIV/0!</v>
      </c>
      <c r="F204" t="e">
        <f>AVERAGEIFS('Region 21'!$W$2:$W$497,'Region 21'!$A$2:$A$497,F$1,'Region 21'!$X$2:$X$497,$D204,'Region 21'!$S$2:$S$497,$A204)</f>
        <v>#DIV/0!</v>
      </c>
      <c r="G204" t="e">
        <f>AVERAGEIFS('Region 21'!$W$2:$W$497,'Region 21'!$A$2:$A$497,G$1,'Region 21'!$X$2:$X$497,$D204,'Region 21'!$S$2:$S$497,$A204)</f>
        <v>#DIV/0!</v>
      </c>
      <c r="H204" t="e">
        <f>AVERAGEIFS('Region 21'!$W$2:$W$497,'Region 21'!$A$2:$A$497,H$1,'Region 21'!$X$2:$X$497,$D204,'Region 21'!$S$2:$S$497,$A204)</f>
        <v>#DIV/0!</v>
      </c>
      <c r="I204" t="e">
        <f>AVERAGEIFS('Region 21'!$W$2:$W$497,'Region 21'!$A$2:$A$497,I$1,'Region 21'!$X$2:$X$497,$D204,'Region 21'!$S$2:$S$497,$A204)</f>
        <v>#DIV/0!</v>
      </c>
      <c r="J204" t="e">
        <f>AVERAGEIFS('Region 21'!$W$2:$W$497,'Region 21'!$A$2:$A$497,J$1,'Region 21'!$X$2:$X$497,$D204,'Region 21'!$S$2:$S$497,$A204)</f>
        <v>#DIV/0!</v>
      </c>
      <c r="K204" t="e">
        <f>AVERAGEIFS('Region 21'!$W$2:$W$497,'Region 21'!$A$2:$A$497,K$1,'Region 21'!$X$2:$X$497,$D204,'Region 21'!$S$2:$S$497,$A204)</f>
        <v>#DIV/0!</v>
      </c>
      <c r="L204" t="e">
        <f>AVERAGEIFS('Region 21'!$W$2:$W$497,'Region 21'!$A$2:$A$497,L$1,'Region 21'!$X$2:$X$497,$D204,'Region 21'!$S$2:$S$497,$A204)</f>
        <v>#DIV/0!</v>
      </c>
      <c r="M204" t="e">
        <f>AVERAGEIFS('Region 21'!$W$2:$W$497,'Region 21'!$A$2:$A$497,M$1,'Region 21'!$X$2:$X$497,$D204,'Region 21'!$S$2:$S$497,$A204)</f>
        <v>#DIV/0!</v>
      </c>
      <c r="N204" t="e">
        <f>AVERAGEIFS('Region 21'!$W$2:$W$497,'Region 21'!$A$2:$A$497,N$1,'Region 21'!$X$2:$X$497,$D204,'Region 21'!$S$2:$S$497,$A204)</f>
        <v>#DIV/0!</v>
      </c>
      <c r="Q204" t="str">
        <f t="shared" si="153"/>
        <v>Steel</v>
      </c>
      <c r="R204" t="str">
        <f t="shared" si="154"/>
        <v>High-rise</v>
      </c>
      <c r="S204">
        <f t="shared" si="155"/>
        <v>21</v>
      </c>
      <c r="T204" t="str">
        <f t="shared" si="136"/>
        <v>-</v>
      </c>
      <c r="U204" t="str">
        <f t="shared" si="137"/>
        <v>-</v>
      </c>
      <c r="V204" t="str">
        <f t="shared" si="138"/>
        <v>-</v>
      </c>
      <c r="W204" t="str">
        <f t="shared" si="139"/>
        <v>-</v>
      </c>
      <c r="X204" t="str">
        <f t="shared" si="140"/>
        <v>-</v>
      </c>
      <c r="Y204" t="str">
        <f t="shared" si="141"/>
        <v>-</v>
      </c>
      <c r="Z204" t="str">
        <f t="shared" si="142"/>
        <v>-</v>
      </c>
      <c r="AA204" t="str">
        <f t="shared" si="143"/>
        <v>-</v>
      </c>
      <c r="AB204" t="str">
        <f t="shared" si="144"/>
        <v>-</v>
      </c>
      <c r="AC204" t="str">
        <f t="shared" si="145"/>
        <v>-</v>
      </c>
    </row>
    <row r="205" spans="1:29" x14ac:dyDescent="0.3">
      <c r="A205" t="s">
        <v>30</v>
      </c>
      <c r="B205" t="str">
        <f t="shared" ref="B205:D205" si="157">B101</f>
        <v>High-rise</v>
      </c>
      <c r="C205">
        <f t="shared" si="157"/>
        <v>22</v>
      </c>
      <c r="D205">
        <f t="shared" si="157"/>
        <v>4</v>
      </c>
      <c r="E205" t="e">
        <f>AVERAGEIFS('Region 22'!$W$2:$W$510,'Region 22'!$A$2:$A$510,E$1,'Region 22'!$X$2:$X$510,$D205,'Region 22'!$S$2:$S$510,$A205)</f>
        <v>#DIV/0!</v>
      </c>
      <c r="F205" t="e">
        <f>AVERAGEIFS('Region 22'!$W$2:$W$510,'Region 22'!$A$2:$A$510,F$1,'Region 22'!$X$2:$X$510,$D205,'Region 22'!$S$2:$S$510,$A205)</f>
        <v>#DIV/0!</v>
      </c>
      <c r="G205" t="e">
        <f>AVERAGEIFS('Region 22'!$W$2:$W$510,'Region 22'!$A$2:$A$510,G$1,'Region 22'!$X$2:$X$510,$D205,'Region 22'!$S$2:$S$510,$A205)</f>
        <v>#DIV/0!</v>
      </c>
      <c r="H205" t="e">
        <f>AVERAGEIFS('Region 22'!$W$2:$W$510,'Region 22'!$A$2:$A$510,H$1,'Region 22'!$X$2:$X$510,$D205,'Region 22'!$S$2:$S$510,$A205)</f>
        <v>#DIV/0!</v>
      </c>
      <c r="I205" t="e">
        <f>AVERAGEIFS('Region 22'!$W$2:$W$510,'Region 22'!$A$2:$A$510,I$1,'Region 22'!$X$2:$X$510,$D205,'Region 22'!$S$2:$S$510,$A205)</f>
        <v>#DIV/0!</v>
      </c>
      <c r="J205" t="e">
        <f>AVERAGEIFS('Region 22'!$W$2:$W$510,'Region 22'!$A$2:$A$510,J$1,'Region 22'!$X$2:$X$510,$D205,'Region 22'!$S$2:$S$510,$A205)</f>
        <v>#DIV/0!</v>
      </c>
      <c r="K205" t="e">
        <f>AVERAGEIFS('Region 22'!$W$2:$W$510,'Region 22'!$A$2:$A$510,K$1,'Region 22'!$X$2:$X$510,$D205,'Region 22'!$S$2:$S$510,$A205)</f>
        <v>#DIV/0!</v>
      </c>
      <c r="L205" t="e">
        <f>AVERAGEIFS('Region 22'!$W$2:$W$510,'Region 22'!$A$2:$A$510,L$1,'Region 22'!$X$2:$X$510,$D205,'Region 22'!$S$2:$S$510,$A205)</f>
        <v>#DIV/0!</v>
      </c>
      <c r="M205" t="e">
        <f>AVERAGEIFS('Region 22'!$W$2:$W$510,'Region 22'!$A$2:$A$510,M$1,'Region 22'!$X$2:$X$510,$D205,'Region 22'!$S$2:$S$510,$A205)</f>
        <v>#DIV/0!</v>
      </c>
      <c r="N205" t="e">
        <f>AVERAGEIFS('Region 22'!$W$2:$W$510,'Region 22'!$A$2:$A$510,N$1,'Region 22'!$X$2:$X$510,$D205,'Region 22'!$S$2:$S$510,$A205)</f>
        <v>#DIV/0!</v>
      </c>
      <c r="Q205" t="str">
        <f t="shared" si="153"/>
        <v>Steel</v>
      </c>
      <c r="R205" t="str">
        <f t="shared" si="154"/>
        <v>High-rise</v>
      </c>
      <c r="S205">
        <f t="shared" si="155"/>
        <v>22</v>
      </c>
      <c r="T205" t="str">
        <f t="shared" si="136"/>
        <v>-</v>
      </c>
      <c r="U205" t="str">
        <f t="shared" si="137"/>
        <v>-</v>
      </c>
      <c r="V205" t="str">
        <f t="shared" si="138"/>
        <v>-</v>
      </c>
      <c r="W205" t="str">
        <f t="shared" si="139"/>
        <v>-</v>
      </c>
      <c r="X205" t="str">
        <f t="shared" si="140"/>
        <v>-</v>
      </c>
      <c r="Y205" t="str">
        <f t="shared" si="141"/>
        <v>-</v>
      </c>
      <c r="Z205" t="str">
        <f t="shared" si="142"/>
        <v>-</v>
      </c>
      <c r="AA205" t="str">
        <f t="shared" si="143"/>
        <v>-</v>
      </c>
      <c r="AB205" t="str">
        <f t="shared" si="144"/>
        <v>-</v>
      </c>
      <c r="AC205" t="str">
        <f t="shared" si="145"/>
        <v>-</v>
      </c>
    </row>
    <row r="206" spans="1:29" x14ac:dyDescent="0.3">
      <c r="A206" t="s">
        <v>30</v>
      </c>
      <c r="B206" t="str">
        <f t="shared" ref="B206:D206" si="158">B102</f>
        <v>High-rise</v>
      </c>
      <c r="C206">
        <f t="shared" si="158"/>
        <v>23</v>
      </c>
      <c r="D206">
        <f t="shared" si="158"/>
        <v>4</v>
      </c>
      <c r="E206">
        <f>AVERAGEIFS('Region 23'!$W$2:$W$468,'Region 23'!$A$2:$A$468,E$1,'Region 23'!$X$2:$X$468,$D206,'Region 23'!$S$2:$S$468,$A206)</f>
        <v>427</v>
      </c>
      <c r="F206">
        <f>AVERAGEIFS('Region 23'!$W$2:$W$468,'Region 23'!$A$2:$A$468,F$1,'Region 23'!$X$2:$X$468,$D206,'Region 23'!$S$2:$S$468,$A206)</f>
        <v>59</v>
      </c>
      <c r="G206" t="e">
        <f>AVERAGEIFS('Region 23'!$W$2:$W$468,'Region 23'!$A$2:$A$468,G$1,'Region 23'!$X$2:$X$468,$D206,'Region 23'!$S$2:$S$468,$A206)</f>
        <v>#DIV/0!</v>
      </c>
      <c r="H206" t="e">
        <f>AVERAGEIFS('Region 23'!$W$2:$W$468,'Region 23'!$A$2:$A$468,H$1,'Region 23'!$X$2:$X$468,$D206,'Region 23'!$S$2:$S$468,$A206)</f>
        <v>#DIV/0!</v>
      </c>
      <c r="I206" t="e">
        <f>AVERAGEIFS('Region 23'!$W$2:$W$468,'Region 23'!$A$2:$A$468,I$1,'Region 23'!$X$2:$X$468,$D206,'Region 23'!$S$2:$S$468,$A206)</f>
        <v>#DIV/0!</v>
      </c>
      <c r="J206" t="e">
        <f>AVERAGEIFS('Region 23'!$W$2:$W$468,'Region 23'!$A$2:$A$468,J$1,'Region 23'!$X$2:$X$468,$D206,'Region 23'!$S$2:$S$468,$A206)</f>
        <v>#DIV/0!</v>
      </c>
      <c r="K206" t="e">
        <f>AVERAGEIFS('Region 23'!$W$2:$W$468,'Region 23'!$A$2:$A$468,K$1,'Region 23'!$X$2:$X$468,$D206,'Region 23'!$S$2:$S$468,$A206)</f>
        <v>#DIV/0!</v>
      </c>
      <c r="L206" t="e">
        <f>AVERAGEIFS('Region 23'!$W$2:$W$468,'Region 23'!$A$2:$A$468,L$1,'Region 23'!$X$2:$X$468,$D206,'Region 23'!$S$2:$S$468,$A206)</f>
        <v>#DIV/0!</v>
      </c>
      <c r="M206" t="e">
        <f>AVERAGEIFS('Region 23'!$W$2:$W$468,'Region 23'!$A$2:$A$468,M$1,'Region 23'!$X$2:$X$468,$D206,'Region 23'!$S$2:$S$468,$A206)</f>
        <v>#DIV/0!</v>
      </c>
      <c r="N206" t="e">
        <f>AVERAGEIFS('Region 23'!$W$2:$W$468,'Region 23'!$A$2:$A$468,N$1,'Region 23'!$X$2:$X$468,$D206,'Region 23'!$S$2:$S$468,$A206)</f>
        <v>#DIV/0!</v>
      </c>
      <c r="Q206" t="str">
        <f t="shared" si="153"/>
        <v>Steel</v>
      </c>
      <c r="R206" t="str">
        <f t="shared" si="154"/>
        <v>High-rise</v>
      </c>
      <c r="S206">
        <f t="shared" si="155"/>
        <v>23</v>
      </c>
      <c r="T206">
        <f t="shared" si="136"/>
        <v>427</v>
      </c>
      <c r="U206">
        <f t="shared" si="137"/>
        <v>59</v>
      </c>
      <c r="V206" t="str">
        <f t="shared" si="138"/>
        <v>-</v>
      </c>
      <c r="W206" t="str">
        <f t="shared" si="139"/>
        <v>-</v>
      </c>
      <c r="X206" t="str">
        <f t="shared" si="140"/>
        <v>-</v>
      </c>
      <c r="Y206" t="str">
        <f t="shared" si="141"/>
        <v>-</v>
      </c>
      <c r="Z206" t="str">
        <f t="shared" si="142"/>
        <v>-</v>
      </c>
      <c r="AA206" t="str">
        <f t="shared" si="143"/>
        <v>-</v>
      </c>
      <c r="AB206" t="str">
        <f t="shared" si="144"/>
        <v>-</v>
      </c>
      <c r="AC206" t="str">
        <f t="shared" si="145"/>
        <v>-</v>
      </c>
    </row>
    <row r="207" spans="1:29" x14ac:dyDescent="0.3">
      <c r="A207" t="s">
        <v>30</v>
      </c>
      <c r="B207" t="str">
        <f t="shared" ref="B207:D207" si="159">B103</f>
        <v>High-rise</v>
      </c>
      <c r="C207">
        <f t="shared" si="159"/>
        <v>24</v>
      </c>
      <c r="D207">
        <f t="shared" si="159"/>
        <v>4</v>
      </c>
      <c r="E207" t="e">
        <f>AVERAGEIFS('Region 24'!$W$2:$W$454,'Region 24'!$A$2:$A$454,E$1,'Region 24'!$X$2:$X$454,$D207,'Region 24'!$S$2:$S$454,$A207)</f>
        <v>#DIV/0!</v>
      </c>
      <c r="F207" t="e">
        <f>AVERAGEIFS('Region 24'!$W$2:$W$454,'Region 24'!$A$2:$A$454,F$1,'Region 24'!$X$2:$X$454,$D207,'Region 24'!$S$2:$S$454,$A207)</f>
        <v>#DIV/0!</v>
      </c>
      <c r="G207" t="e">
        <f>AVERAGEIFS('Region 24'!$W$2:$W$454,'Region 24'!$A$2:$A$454,G$1,'Region 24'!$X$2:$X$454,$D207,'Region 24'!$S$2:$S$454,$A207)</f>
        <v>#DIV/0!</v>
      </c>
      <c r="H207" t="e">
        <f>AVERAGEIFS('Region 24'!$W$2:$W$454,'Region 24'!$A$2:$A$454,H$1,'Region 24'!$X$2:$X$454,$D207,'Region 24'!$S$2:$S$454,$A207)</f>
        <v>#DIV/0!</v>
      </c>
      <c r="I207">
        <f>AVERAGEIFS('Region 24'!$W$2:$W$454,'Region 24'!$A$2:$A$454,I$1,'Region 24'!$X$2:$X$454,$D207,'Region 24'!$S$2:$S$454,$A207)</f>
        <v>245.44199284244934</v>
      </c>
      <c r="J207" t="e">
        <f>AVERAGEIFS('Region 24'!$W$2:$W$454,'Region 24'!$A$2:$A$454,J$1,'Region 24'!$X$2:$X$454,$D207,'Region 24'!$S$2:$S$454,$A207)</f>
        <v>#DIV/0!</v>
      </c>
      <c r="K207">
        <f>AVERAGEIFS('Region 24'!$W$2:$W$454,'Region 24'!$A$2:$A$454,K$1,'Region 24'!$X$2:$X$454,$D207,'Region 24'!$S$2:$S$454,$A207)</f>
        <v>58.354224221514507</v>
      </c>
      <c r="L207" t="e">
        <f>AVERAGEIFS('Region 24'!$W$2:$W$454,'Region 24'!$A$2:$A$454,L$1,'Region 24'!$X$2:$X$454,$D207,'Region 24'!$S$2:$S$454,$A207)</f>
        <v>#DIV/0!</v>
      </c>
      <c r="M207" t="e">
        <f>AVERAGEIFS('Region 24'!$W$2:$W$454,'Region 24'!$A$2:$A$454,M$1,'Region 24'!$X$2:$X$454,$D207,'Region 24'!$S$2:$S$454,$A207)</f>
        <v>#DIV/0!</v>
      </c>
      <c r="N207" t="e">
        <f>AVERAGEIFS('Region 24'!$W$2:$W$454,'Region 24'!$A$2:$A$454,N$1,'Region 24'!$X$2:$X$454,$D207,'Region 24'!$S$2:$S$454,$A207)</f>
        <v>#DIV/0!</v>
      </c>
      <c r="Q207" t="str">
        <f t="shared" si="153"/>
        <v>Steel</v>
      </c>
      <c r="R207" t="str">
        <f t="shared" si="154"/>
        <v>High-rise</v>
      </c>
      <c r="S207">
        <f t="shared" si="155"/>
        <v>24</v>
      </c>
      <c r="T207" t="str">
        <f t="shared" si="136"/>
        <v>-</v>
      </c>
      <c r="U207" t="str">
        <f t="shared" si="137"/>
        <v>-</v>
      </c>
      <c r="V207" t="str">
        <f t="shared" si="138"/>
        <v>-</v>
      </c>
      <c r="W207" t="str">
        <f t="shared" si="139"/>
        <v>-</v>
      </c>
      <c r="X207">
        <f t="shared" si="140"/>
        <v>245.44199284244934</v>
      </c>
      <c r="Y207" t="str">
        <f t="shared" si="141"/>
        <v>-</v>
      </c>
      <c r="Z207">
        <f t="shared" si="142"/>
        <v>58.354224221514507</v>
      </c>
      <c r="AA207" t="str">
        <f t="shared" si="143"/>
        <v>-</v>
      </c>
      <c r="AB207" t="str">
        <f t="shared" si="144"/>
        <v>-</v>
      </c>
      <c r="AC207" t="str">
        <f t="shared" si="145"/>
        <v>-</v>
      </c>
    </row>
    <row r="208" spans="1:29" x14ac:dyDescent="0.3">
      <c r="A208" t="s">
        <v>30</v>
      </c>
      <c r="B208" t="str">
        <f t="shared" ref="B208:D208" si="160">B104</f>
        <v>High-rise</v>
      </c>
      <c r="C208">
        <f t="shared" si="160"/>
        <v>25</v>
      </c>
      <c r="D208">
        <f t="shared" si="160"/>
        <v>4</v>
      </c>
      <c r="E208" t="e">
        <f>AVERAGEIFS('Region 25'!$W$2:$W$499,'Region 25'!$A$2:$A$499,E$1,'Region 25'!$X$2:$X$499,$D208,'Region 25'!$S$2:$S$499,$A208)</f>
        <v>#DIV/0!</v>
      </c>
      <c r="F208" t="e">
        <f>AVERAGEIFS('Region 25'!$W$2:$W$499,'Region 25'!$A$2:$A$499,F$1,'Region 25'!$X$2:$X$499,$D208,'Region 25'!$S$2:$S$499,$A208)</f>
        <v>#DIV/0!</v>
      </c>
      <c r="G208" t="e">
        <f>AVERAGEIFS('Region 25'!$W$2:$W$499,'Region 25'!$A$2:$A$499,G$1,'Region 25'!$X$2:$X$499,$D208,'Region 25'!$S$2:$S$499,$A208)</f>
        <v>#DIV/0!</v>
      </c>
      <c r="H208" t="e">
        <f>AVERAGEIFS('Region 25'!$W$2:$W$499,'Region 25'!$A$2:$A$499,H$1,'Region 25'!$X$2:$X$499,$D208,'Region 25'!$S$2:$S$499,$A208)</f>
        <v>#DIV/0!</v>
      </c>
      <c r="I208" t="e">
        <f>AVERAGEIFS('Region 25'!$W$2:$W$499,'Region 25'!$A$2:$A$499,I$1,'Region 25'!$X$2:$X$499,$D208,'Region 25'!$S$2:$S$499,$A208)</f>
        <v>#DIV/0!</v>
      </c>
      <c r="J208" t="e">
        <f>AVERAGEIFS('Region 25'!$W$2:$W$499,'Region 25'!$A$2:$A$499,J$1,'Region 25'!$X$2:$X$499,$D208,'Region 25'!$S$2:$S$499,$A208)</f>
        <v>#DIV/0!</v>
      </c>
      <c r="K208" t="e">
        <f>AVERAGEIFS('Region 25'!$W$2:$W$499,'Region 25'!$A$2:$A$499,K$1,'Region 25'!$X$2:$X$499,$D208,'Region 25'!$S$2:$S$499,$A208)</f>
        <v>#DIV/0!</v>
      </c>
      <c r="L208" t="e">
        <f>AVERAGEIFS('Region 25'!$W$2:$W$499,'Region 25'!$A$2:$A$499,L$1,'Region 25'!$X$2:$X$499,$D208,'Region 25'!$S$2:$S$499,$A208)</f>
        <v>#DIV/0!</v>
      </c>
      <c r="M208" t="e">
        <f>AVERAGEIFS('Region 25'!$W$2:$W$499,'Region 25'!$A$2:$A$499,M$1,'Region 25'!$X$2:$X$499,$D208,'Region 25'!$S$2:$S$499,$A208)</f>
        <v>#DIV/0!</v>
      </c>
      <c r="N208" t="e">
        <f>AVERAGEIFS('Region 25'!$W$2:$W$499,'Region 25'!$A$2:$A$499,N$1,'Region 25'!$X$2:$X$499,$D208,'Region 25'!$S$2:$S$499,$A208)</f>
        <v>#DIV/0!</v>
      </c>
      <c r="Q208" t="str">
        <f t="shared" si="153"/>
        <v>Steel</v>
      </c>
      <c r="R208" t="str">
        <f t="shared" si="154"/>
        <v>High-rise</v>
      </c>
      <c r="S208">
        <f t="shared" si="155"/>
        <v>25</v>
      </c>
      <c r="T208" t="str">
        <f t="shared" si="136"/>
        <v>-</v>
      </c>
      <c r="U208" t="str">
        <f t="shared" si="137"/>
        <v>-</v>
      </c>
      <c r="V208" t="str">
        <f t="shared" si="138"/>
        <v>-</v>
      </c>
      <c r="W208" t="str">
        <f t="shared" si="139"/>
        <v>-</v>
      </c>
      <c r="X208" t="str">
        <f t="shared" si="140"/>
        <v>-</v>
      </c>
      <c r="Y208" t="str">
        <f t="shared" si="141"/>
        <v>-</v>
      </c>
      <c r="Z208" t="str">
        <f t="shared" si="142"/>
        <v>-</v>
      </c>
      <c r="AA208" t="str">
        <f t="shared" si="143"/>
        <v>-</v>
      </c>
      <c r="AB208" t="str">
        <f t="shared" si="144"/>
        <v>-</v>
      </c>
      <c r="AC208" t="str">
        <f t="shared" si="145"/>
        <v>-</v>
      </c>
    </row>
    <row r="209" spans="1:29" x14ac:dyDescent="0.3">
      <c r="A209" t="s">
        <v>30</v>
      </c>
      <c r="B209" t="str">
        <f t="shared" ref="B209:D209" si="161">B105</f>
        <v>High-rise</v>
      </c>
      <c r="C209">
        <f t="shared" si="161"/>
        <v>26</v>
      </c>
      <c r="D209">
        <f t="shared" si="161"/>
        <v>4</v>
      </c>
      <c r="E209" t="e">
        <f ca="1">AVERAGEIFS('Region 26'!$W$2:$W$500,'Region 26'!$A$2:$A$500,E$1,'Region 26'!$X$2:$X$500,$D209,'Region 26'!$S$2:$S$500,$A209)</f>
        <v>#DIV/0!</v>
      </c>
      <c r="F209" t="e">
        <f ca="1">AVERAGEIFS('Region 26'!$W$2:$W$500,'Region 26'!$A$2:$A$500,F$1,'Region 26'!$X$2:$X$500,$D209,'Region 26'!$S$2:$S$500,$A209)</f>
        <v>#DIV/0!</v>
      </c>
      <c r="G209" t="e">
        <f ca="1">AVERAGEIFS('Region 26'!$W$2:$W$500,'Region 26'!$A$2:$A$500,G$1,'Region 26'!$X$2:$X$500,$D209,'Region 26'!$S$2:$S$500,$A209)</f>
        <v>#DIV/0!</v>
      </c>
      <c r="H209" t="e">
        <f ca="1">AVERAGEIFS('Region 26'!$W$2:$W$500,'Region 26'!$A$2:$A$500,H$1,'Region 26'!$X$2:$X$500,$D209,'Region 26'!$S$2:$S$500,$A209)</f>
        <v>#DIV/0!</v>
      </c>
      <c r="I209" t="e">
        <f ca="1">AVERAGEIFS('Region 26'!$W$2:$W$500,'Region 26'!$A$2:$A$500,I$1,'Region 26'!$X$2:$X$500,$D209,'Region 26'!$S$2:$S$500,$A209)</f>
        <v>#DIV/0!</v>
      </c>
      <c r="J209" t="e">
        <f ca="1">AVERAGEIFS('Region 26'!$W$2:$W$500,'Region 26'!$A$2:$A$500,J$1,'Region 26'!$X$2:$X$500,$D209,'Region 26'!$S$2:$S$500,$A209)</f>
        <v>#DIV/0!</v>
      </c>
      <c r="K209" t="e">
        <f ca="1">AVERAGEIFS('Region 26'!$W$2:$W$500,'Region 26'!$A$2:$A$500,K$1,'Region 26'!$X$2:$X$500,$D209,'Region 26'!$S$2:$S$500,$A209)</f>
        <v>#DIV/0!</v>
      </c>
      <c r="L209" t="e">
        <f ca="1">AVERAGEIFS('Region 26'!$W$2:$W$500,'Region 26'!$A$2:$A$500,L$1,'Region 26'!$X$2:$X$500,$D209,'Region 26'!$S$2:$S$500,$A209)</f>
        <v>#DIV/0!</v>
      </c>
      <c r="M209" t="e">
        <f ca="1">AVERAGEIFS('Region 26'!$W$2:$W$500,'Region 26'!$A$2:$A$500,M$1,'Region 26'!$X$2:$X$500,$D209,'Region 26'!$S$2:$S$500,$A209)</f>
        <v>#DIV/0!</v>
      </c>
      <c r="N209" t="e">
        <f ca="1">AVERAGEIFS('Region 26'!$W$2:$W$500,'Region 26'!$A$2:$A$500,N$1,'Region 26'!$X$2:$X$500,$D209,'Region 26'!$S$2:$S$500,$A209)</f>
        <v>#DIV/0!</v>
      </c>
      <c r="Q209" t="str">
        <f t="shared" si="153"/>
        <v>Steel</v>
      </c>
      <c r="R209" t="str">
        <f t="shared" si="154"/>
        <v>High-rise</v>
      </c>
      <c r="S209">
        <f t="shared" si="155"/>
        <v>26</v>
      </c>
      <c r="T209" t="str">
        <f t="shared" ca="1" si="136"/>
        <v>-</v>
      </c>
      <c r="U209" t="str">
        <f t="shared" ca="1" si="137"/>
        <v>-</v>
      </c>
      <c r="V209" t="str">
        <f t="shared" ca="1" si="138"/>
        <v>-</v>
      </c>
      <c r="W209" t="str">
        <f t="shared" ca="1" si="139"/>
        <v>-</v>
      </c>
      <c r="X209" t="str">
        <f t="shared" ca="1" si="140"/>
        <v>-</v>
      </c>
      <c r="Y209" t="str">
        <f t="shared" ca="1" si="141"/>
        <v>-</v>
      </c>
      <c r="Z209" t="str">
        <f t="shared" ca="1" si="142"/>
        <v>-</v>
      </c>
      <c r="AA209" t="str">
        <f t="shared" ca="1" si="143"/>
        <v>-</v>
      </c>
      <c r="AB209" t="str">
        <f t="shared" ca="1" si="144"/>
        <v>-</v>
      </c>
      <c r="AC209" t="str">
        <f t="shared" ca="1" si="145"/>
        <v>-</v>
      </c>
    </row>
    <row r="210" spans="1:29" x14ac:dyDescent="0.3">
      <c r="A210" t="s">
        <v>67</v>
      </c>
      <c r="B210" t="str">
        <f>B106</f>
        <v>Detached</v>
      </c>
      <c r="C210">
        <f>C106</f>
        <v>1</v>
      </c>
      <c r="D210">
        <f>D106</f>
        <v>1</v>
      </c>
      <c r="E210">
        <f>AVERAGEIFS('Region 1'!$W$2:$W$498,'Region 1'!$A$2:$A$498,E$1,'Region 1'!$X$2:$X$498,$D210,'Region 1'!$S$2:$S$498,$A210)</f>
        <v>54.381589388958169</v>
      </c>
      <c r="F210" t="e">
        <f>AVERAGEIFS('Region 1'!$W$2:$W$498,'Region 1'!$A$2:$A$498,F$1,'Region 1'!$X$2:$X$498,$D210,'Region 1'!$S$2:$S$498,$A210)</f>
        <v>#DIV/0!</v>
      </c>
      <c r="G210">
        <f>AVERAGEIFS('Region 1'!$W$2:$W$498,'Region 1'!$A$2:$A$498,G$1,'Region 1'!$X$2:$X$498,$D210,'Region 1'!$S$2:$S$498,$A210)</f>
        <v>43.127099999999999</v>
      </c>
      <c r="H210" t="e">
        <f>AVERAGEIFS('Region 1'!$W$2:$W$498,'Region 1'!$A$2:$A$498,H$1,'Region 1'!$X$2:$X$498,$D210,'Region 1'!$S$2:$S$498,$A210)</f>
        <v>#DIV/0!</v>
      </c>
      <c r="I210" t="e">
        <f>AVERAGEIFS('Region 1'!$W$2:$W$498,'Region 1'!$A$2:$A$498,I$1,'Region 1'!$X$2:$X$498,$D210,'Region 1'!$S$2:$S$498,$A210)</f>
        <v>#DIV/0!</v>
      </c>
      <c r="J210" t="e">
        <f>AVERAGEIFS('Region 1'!$W$2:$W$498,'Region 1'!$A$2:$A$498,J$1,'Region 1'!$X$2:$X$498,$D210,'Region 1'!$S$2:$S$498,$A210)</f>
        <v>#DIV/0!</v>
      </c>
      <c r="K210" t="e">
        <f>AVERAGEIFS('Region 1'!$W$2:$W$498,'Region 1'!$A$2:$A$498,K$1,'Region 1'!$X$2:$X$498,$D210,'Region 1'!$S$2:$S$498,$A210)</f>
        <v>#DIV/0!</v>
      </c>
      <c r="L210" t="e">
        <f>AVERAGEIFS('Region 1'!$W$2:$W$498,'Region 1'!$A$2:$A$498,L$1,'Region 1'!$X$2:$X$498,$D210,'Region 1'!$S$2:$S$498,$A210)</f>
        <v>#DIV/0!</v>
      </c>
      <c r="M210" t="e">
        <f>AVERAGEIFS('Region 1'!$W$2:$W$498,'Region 1'!$A$2:$A$498,M$1,'Region 1'!$X$2:$X$498,$D210,'Region 1'!$S$2:$S$498,$A210)</f>
        <v>#DIV/0!</v>
      </c>
      <c r="N210" t="e">
        <f>AVERAGEIFS('Region 1'!$W$2:$W$498,'Region 1'!$A$2:$A$498,N$1,'Region 1'!$X$2:$X$498,$D210,'Region 1'!$S$2:$S$498,$A210)</f>
        <v>#DIV/0!</v>
      </c>
      <c r="Q210" t="str">
        <f t="shared" si="153"/>
        <v>Wood</v>
      </c>
      <c r="R210" t="str">
        <f t="shared" si="154"/>
        <v>Detached</v>
      </c>
      <c r="S210">
        <f t="shared" si="155"/>
        <v>1</v>
      </c>
      <c r="T210">
        <f t="shared" si="136"/>
        <v>54.381589388958169</v>
      </c>
      <c r="U210" t="str">
        <f t="shared" si="137"/>
        <v>-</v>
      </c>
      <c r="V210">
        <f t="shared" si="138"/>
        <v>43.127099999999999</v>
      </c>
      <c r="W210" t="str">
        <f t="shared" si="139"/>
        <v>-</v>
      </c>
      <c r="X210" t="str">
        <f t="shared" si="140"/>
        <v>-</v>
      </c>
      <c r="Y210" t="str">
        <f t="shared" si="141"/>
        <v>-</v>
      </c>
      <c r="Z210" t="str">
        <f t="shared" si="142"/>
        <v>-</v>
      </c>
      <c r="AA210" t="str">
        <f t="shared" si="143"/>
        <v>-</v>
      </c>
      <c r="AB210" t="str">
        <f t="shared" si="144"/>
        <v>-</v>
      </c>
      <c r="AC210" t="str">
        <f t="shared" si="145"/>
        <v>-</v>
      </c>
    </row>
    <row r="211" spans="1:29" x14ac:dyDescent="0.3">
      <c r="A211" t="s">
        <v>67</v>
      </c>
      <c r="B211" t="str">
        <f t="shared" ref="B211:D211" si="162">B107</f>
        <v>Detached</v>
      </c>
      <c r="C211">
        <f t="shared" si="162"/>
        <v>2</v>
      </c>
      <c r="D211">
        <f t="shared" si="162"/>
        <v>1</v>
      </c>
      <c r="E211">
        <f>AVERAGEIFS('Region 2'!$W$2:$W$498,'Region 2'!$A$2:$A$498,E$1,'Region 2'!$X$2:$X$498,$D211,'Region 2'!$S$2:$S$498,$A211)</f>
        <v>67.324100092965054</v>
      </c>
      <c r="F211">
        <f>AVERAGEIFS('Region 2'!$W$2:$W$498,'Region 2'!$A$2:$A$498,F$1,'Region 2'!$X$2:$X$498,$D211,'Region 2'!$S$2:$S$498,$A211)</f>
        <v>29.56993006993007</v>
      </c>
      <c r="G211" t="e">
        <f>AVERAGEIFS('Region 2'!$W$2:$W$498,'Region 2'!$A$2:$A$498,G$1,'Region 2'!$X$2:$X$498,$D211,'Region 2'!$S$2:$S$498,$A211)</f>
        <v>#DIV/0!</v>
      </c>
      <c r="H211" t="e">
        <f>AVERAGEIFS('Region 2'!$W$2:$W$498,'Region 2'!$A$2:$A$498,H$1,'Region 2'!$X$2:$X$498,$D211,'Region 2'!$S$2:$S$498,$A211)</f>
        <v>#DIV/0!</v>
      </c>
      <c r="I211" t="e">
        <f>AVERAGEIFS('Region 2'!$W$2:$W$498,'Region 2'!$A$2:$A$498,I$1,'Region 2'!$X$2:$X$498,$D211,'Region 2'!$S$2:$S$498,$A211)</f>
        <v>#DIV/0!</v>
      </c>
      <c r="J211" t="e">
        <f>AVERAGEIFS('Region 2'!$W$2:$W$498,'Region 2'!$A$2:$A$498,J$1,'Region 2'!$X$2:$X$498,$D211,'Region 2'!$S$2:$S$498,$A211)</f>
        <v>#DIV/0!</v>
      </c>
      <c r="K211" t="e">
        <f>AVERAGEIFS('Region 2'!$W$2:$W$498,'Region 2'!$A$2:$A$498,K$1,'Region 2'!$X$2:$X$498,$D211,'Region 2'!$S$2:$S$498,$A211)</f>
        <v>#DIV/0!</v>
      </c>
      <c r="L211" t="e">
        <f>AVERAGEIFS('Region 2'!$W$2:$W$498,'Region 2'!$A$2:$A$498,L$1,'Region 2'!$X$2:$X$498,$D211,'Region 2'!$S$2:$S$498,$A211)</f>
        <v>#DIV/0!</v>
      </c>
      <c r="M211" t="e">
        <f>AVERAGEIFS('Region 2'!$W$2:$W$498,'Region 2'!$A$2:$A$498,M$1,'Region 2'!$X$2:$X$498,$D211,'Region 2'!$S$2:$S$498,$A211)</f>
        <v>#DIV/0!</v>
      </c>
      <c r="N211" t="e">
        <f>AVERAGEIFS('Region 2'!$W$2:$W$498,'Region 2'!$A$2:$A$498,N$1,'Region 2'!$X$2:$X$498,$D211,'Region 2'!$S$2:$S$498,$A211)</f>
        <v>#DIV/0!</v>
      </c>
      <c r="Q211" t="str">
        <f t="shared" si="153"/>
        <v>Wood</v>
      </c>
      <c r="R211" t="str">
        <f t="shared" si="154"/>
        <v>Detached</v>
      </c>
      <c r="S211">
        <f t="shared" si="155"/>
        <v>2</v>
      </c>
      <c r="T211">
        <f t="shared" si="136"/>
        <v>67.324100092965054</v>
      </c>
      <c r="U211">
        <f t="shared" si="137"/>
        <v>29.56993006993007</v>
      </c>
      <c r="V211" t="str">
        <f t="shared" si="138"/>
        <v>-</v>
      </c>
      <c r="W211" t="str">
        <f t="shared" si="139"/>
        <v>-</v>
      </c>
      <c r="X211" t="str">
        <f t="shared" si="140"/>
        <v>-</v>
      </c>
      <c r="Y211" t="str">
        <f t="shared" si="141"/>
        <v>-</v>
      </c>
      <c r="Z211" t="str">
        <f t="shared" si="142"/>
        <v>-</v>
      </c>
      <c r="AA211" t="str">
        <f t="shared" si="143"/>
        <v>-</v>
      </c>
      <c r="AB211" t="str">
        <f t="shared" si="144"/>
        <v>-</v>
      </c>
      <c r="AC211" t="str">
        <f t="shared" si="145"/>
        <v>-</v>
      </c>
    </row>
    <row r="212" spans="1:29" x14ac:dyDescent="0.3">
      <c r="A212" t="s">
        <v>67</v>
      </c>
      <c r="B212" t="str">
        <f t="shared" ref="B212:D212" si="163">B108</f>
        <v>Detached</v>
      </c>
      <c r="C212">
        <f t="shared" si="163"/>
        <v>3</v>
      </c>
      <c r="D212">
        <f t="shared" si="163"/>
        <v>1</v>
      </c>
      <c r="E212" t="e">
        <f ca="1">AVERAGEIFS('Region 3'!$W$2:$W$500,'Region 3'!$A$2:$A$500,E$1,'Region 3'!$X$2:$X$500,$D212,'Region 3'!$S$2:$S$500,$A212)</f>
        <v>#DIV/0!</v>
      </c>
      <c r="F212" t="e">
        <f ca="1">AVERAGEIFS('Region 3'!$W$2:$W$500,'Region 3'!$A$2:$A$500,F$1,'Region 3'!$X$2:$X$500,$D212,'Region 3'!$S$2:$S$500,$A212)</f>
        <v>#DIV/0!</v>
      </c>
      <c r="G212" t="e">
        <f ca="1">AVERAGEIFS('Region 3'!$W$2:$W$500,'Region 3'!$A$2:$A$500,G$1,'Region 3'!$X$2:$X$500,$D212,'Region 3'!$S$2:$S$500,$A212)</f>
        <v>#DIV/0!</v>
      </c>
      <c r="H212" t="e">
        <f ca="1">AVERAGEIFS('Region 3'!$W$2:$W$500,'Region 3'!$A$2:$A$500,H$1,'Region 3'!$X$2:$X$500,$D212,'Region 3'!$S$2:$S$500,$A212)</f>
        <v>#DIV/0!</v>
      </c>
      <c r="I212" t="e">
        <f ca="1">AVERAGEIFS('Region 3'!$W$2:$W$500,'Region 3'!$A$2:$A$500,I$1,'Region 3'!$X$2:$X$500,$D212,'Region 3'!$S$2:$S$500,$A212)</f>
        <v>#DIV/0!</v>
      </c>
      <c r="J212" t="e">
        <f ca="1">AVERAGEIFS('Region 3'!$W$2:$W$500,'Region 3'!$A$2:$A$500,J$1,'Region 3'!$X$2:$X$500,$D212,'Region 3'!$S$2:$S$500,$A212)</f>
        <v>#DIV/0!</v>
      </c>
      <c r="K212" t="e">
        <f ca="1">AVERAGEIFS('Region 3'!$W$2:$W$500,'Region 3'!$A$2:$A$500,K$1,'Region 3'!$X$2:$X$500,$D212,'Region 3'!$S$2:$S$500,$A212)</f>
        <v>#DIV/0!</v>
      </c>
      <c r="L212" t="e">
        <f ca="1">AVERAGEIFS('Region 3'!$W$2:$W$500,'Region 3'!$A$2:$A$500,L$1,'Region 3'!$X$2:$X$500,$D212,'Region 3'!$S$2:$S$500,$A212)</f>
        <v>#DIV/0!</v>
      </c>
      <c r="M212" t="e">
        <f ca="1">AVERAGEIFS('Region 3'!$W$2:$W$500,'Region 3'!$A$2:$A$500,M$1,'Region 3'!$X$2:$X$500,$D212,'Region 3'!$S$2:$S$500,$A212)</f>
        <v>#DIV/0!</v>
      </c>
      <c r="N212" t="e">
        <f ca="1">AVERAGEIFS('Region 3'!$W$2:$W$500,'Region 3'!$A$2:$A$500,N$1,'Region 3'!$X$2:$X$500,$D212,'Region 3'!$S$2:$S$500,$A212)</f>
        <v>#DIV/0!</v>
      </c>
      <c r="Q212" t="str">
        <f t="shared" si="153"/>
        <v>Wood</v>
      </c>
      <c r="R212" t="str">
        <f t="shared" si="154"/>
        <v>Detached</v>
      </c>
      <c r="S212">
        <f t="shared" si="155"/>
        <v>3</v>
      </c>
      <c r="T212" t="str">
        <f t="shared" ca="1" si="136"/>
        <v>-</v>
      </c>
      <c r="U212" t="str">
        <f t="shared" ca="1" si="137"/>
        <v>-</v>
      </c>
      <c r="V212" t="str">
        <f t="shared" ca="1" si="138"/>
        <v>-</v>
      </c>
      <c r="W212" t="str">
        <f t="shared" ca="1" si="139"/>
        <v>-</v>
      </c>
      <c r="X212" t="str">
        <f t="shared" ca="1" si="140"/>
        <v>-</v>
      </c>
      <c r="Y212" t="str">
        <f t="shared" ca="1" si="141"/>
        <v>-</v>
      </c>
      <c r="Z212" t="str">
        <f t="shared" ca="1" si="142"/>
        <v>-</v>
      </c>
      <c r="AA212" t="str">
        <f t="shared" ca="1" si="143"/>
        <v>-</v>
      </c>
      <c r="AB212" t="str">
        <f t="shared" ca="1" si="144"/>
        <v>-</v>
      </c>
      <c r="AC212" t="str">
        <f t="shared" ca="1" si="145"/>
        <v>-</v>
      </c>
    </row>
    <row r="213" spans="1:29" x14ac:dyDescent="0.3">
      <c r="A213" t="s">
        <v>67</v>
      </c>
      <c r="B213" t="str">
        <f t="shared" ref="B213:D213" si="164">B109</f>
        <v>Detached</v>
      </c>
      <c r="C213">
        <f t="shared" si="164"/>
        <v>4</v>
      </c>
      <c r="D213">
        <f t="shared" si="164"/>
        <v>1</v>
      </c>
      <c r="E213">
        <f>AVERAGEIFS('Region 4'!$W$2:$W$10,'Region 4'!$A$2:$A$10,E$1,'Region 4'!$X$2:$X$10,$D213,'Region 4'!$S$2:$S$10,$A213)</f>
        <v>90</v>
      </c>
      <c r="F213" t="e">
        <f>AVERAGEIFS('Region 4'!$W$2:$W$10,'Region 4'!$A$2:$A$10,F$1,'Region 4'!$X$2:$X$10,$D213,'Region 4'!$S$2:$S$10,$A213)</f>
        <v>#DIV/0!</v>
      </c>
      <c r="G213" t="e">
        <f>AVERAGEIFS('Region 4'!$W$2:$W$10,'Region 4'!$A$2:$A$10,G$1,'Region 4'!$X$2:$X$10,$D213,'Region 4'!$S$2:$S$10,$A213)</f>
        <v>#DIV/0!</v>
      </c>
      <c r="H213" t="e">
        <f>AVERAGEIFS('Region 4'!$W$2:$W$10,'Region 4'!$A$2:$A$10,H$1,'Region 4'!$X$2:$X$10,$D213,'Region 4'!$S$2:$S$10,$A213)</f>
        <v>#DIV/0!</v>
      </c>
      <c r="I213" t="e">
        <f>AVERAGEIFS('Region 4'!$W$2:$W$10,'Region 4'!$A$2:$A$10,I$1,'Region 4'!$X$2:$X$10,$D213,'Region 4'!$S$2:$S$10,$A213)</f>
        <v>#DIV/0!</v>
      </c>
      <c r="J213" t="e">
        <f>AVERAGEIFS('Region 4'!$W$2:$W$10,'Region 4'!$A$2:$A$10,J$1,'Region 4'!$X$2:$X$10,$D213,'Region 4'!$S$2:$S$10,$A213)</f>
        <v>#DIV/0!</v>
      </c>
      <c r="K213" t="e">
        <f>AVERAGEIFS('Region 4'!$W$2:$W$10,'Region 4'!$A$2:$A$10,K$1,'Region 4'!$X$2:$X$10,$D213,'Region 4'!$S$2:$S$10,$A213)</f>
        <v>#DIV/0!</v>
      </c>
      <c r="L213" t="e">
        <f>AVERAGEIFS('Region 4'!$W$2:$W$10,'Region 4'!$A$2:$A$10,L$1,'Region 4'!$X$2:$X$10,$D213,'Region 4'!$S$2:$S$10,$A213)</f>
        <v>#DIV/0!</v>
      </c>
      <c r="M213" t="e">
        <f>AVERAGEIFS('Region 4'!$W$2:$W$10,'Region 4'!$A$2:$A$10,M$1,'Region 4'!$X$2:$X$10,$D213,'Region 4'!$S$2:$S$10,$A213)</f>
        <v>#DIV/0!</v>
      </c>
      <c r="N213" t="e">
        <f>AVERAGEIFS('Region 4'!$W$2:$W$10,'Region 4'!$A$2:$A$10,N$1,'Region 4'!$X$2:$X$10,$D213,'Region 4'!$S$2:$S$10,$A213)</f>
        <v>#DIV/0!</v>
      </c>
      <c r="Q213" t="str">
        <f t="shared" si="153"/>
        <v>Wood</v>
      </c>
      <c r="R213" t="str">
        <f t="shared" si="154"/>
        <v>Detached</v>
      </c>
      <c r="S213">
        <f t="shared" si="155"/>
        <v>4</v>
      </c>
      <c r="T213">
        <f t="shared" si="136"/>
        <v>90</v>
      </c>
      <c r="U213" t="str">
        <f t="shared" si="137"/>
        <v>-</v>
      </c>
      <c r="V213" t="str">
        <f t="shared" si="138"/>
        <v>-</v>
      </c>
      <c r="W213" t="str">
        <f t="shared" si="139"/>
        <v>-</v>
      </c>
      <c r="X213" t="str">
        <f t="shared" si="140"/>
        <v>-</v>
      </c>
      <c r="Y213" t="str">
        <f t="shared" si="141"/>
        <v>-</v>
      </c>
      <c r="Z213" t="str">
        <f t="shared" si="142"/>
        <v>-</v>
      </c>
      <c r="AA213" t="str">
        <f t="shared" si="143"/>
        <v>-</v>
      </c>
      <c r="AB213" t="str">
        <f t="shared" si="144"/>
        <v>-</v>
      </c>
      <c r="AC213" t="str">
        <f t="shared" si="145"/>
        <v>-</v>
      </c>
    </row>
    <row r="214" spans="1:29" x14ac:dyDescent="0.3">
      <c r="A214" t="s">
        <v>67</v>
      </c>
      <c r="B214" t="str">
        <f t="shared" ref="B214:D214" si="165">B110</f>
        <v>Detached</v>
      </c>
      <c r="C214">
        <f t="shared" si="165"/>
        <v>5</v>
      </c>
      <c r="D214">
        <f t="shared" si="165"/>
        <v>1</v>
      </c>
      <c r="E214" t="e">
        <f>AVERAGEIFS('Region 5'!$W$2:$W$496,'Region 5'!$A$2:$A$496,E$1,'Region 5'!$X$2:$X$496,$D214,'Region 5'!$S$2:$S$496,$A214)</f>
        <v>#DIV/0!</v>
      </c>
      <c r="F214">
        <f>AVERAGEIFS('Region 5'!$W$2:$W$496,'Region 5'!$A$2:$A$496,F$1,'Region 5'!$X$2:$X$496,$D214,'Region 5'!$S$2:$S$496,$A214)</f>
        <v>868.96</v>
      </c>
      <c r="G214" t="e">
        <f>AVERAGEIFS('Region 5'!$W$2:$W$496,'Region 5'!$A$2:$A$496,G$1,'Region 5'!$X$2:$X$496,$D214,'Region 5'!$S$2:$S$496,$A214)</f>
        <v>#DIV/0!</v>
      </c>
      <c r="H214" t="e">
        <f>AVERAGEIFS('Region 5'!$W$2:$W$496,'Region 5'!$A$2:$A$496,H$1,'Region 5'!$X$2:$X$496,$D214,'Region 5'!$S$2:$S$496,$A214)</f>
        <v>#DIV/0!</v>
      </c>
      <c r="I214" t="e">
        <f>AVERAGEIFS('Region 5'!$W$2:$W$496,'Region 5'!$A$2:$A$496,I$1,'Region 5'!$X$2:$X$496,$D214,'Region 5'!$S$2:$S$496,$A214)</f>
        <v>#DIV/0!</v>
      </c>
      <c r="J214" t="e">
        <f>AVERAGEIFS('Region 5'!$W$2:$W$496,'Region 5'!$A$2:$A$496,J$1,'Region 5'!$X$2:$X$496,$D214,'Region 5'!$S$2:$S$496,$A214)</f>
        <v>#DIV/0!</v>
      </c>
      <c r="K214" t="e">
        <f>AVERAGEIFS('Region 5'!$W$2:$W$496,'Region 5'!$A$2:$A$496,K$1,'Region 5'!$X$2:$X$496,$D214,'Region 5'!$S$2:$S$496,$A214)</f>
        <v>#DIV/0!</v>
      </c>
      <c r="L214" t="e">
        <f>AVERAGEIFS('Region 5'!$W$2:$W$496,'Region 5'!$A$2:$A$496,L$1,'Region 5'!$X$2:$X$496,$D214,'Region 5'!$S$2:$S$496,$A214)</f>
        <v>#DIV/0!</v>
      </c>
      <c r="M214" t="e">
        <f>AVERAGEIFS('Region 5'!$W$2:$W$496,'Region 5'!$A$2:$A$496,M$1,'Region 5'!$X$2:$X$496,$D214,'Region 5'!$S$2:$S$496,$A214)</f>
        <v>#DIV/0!</v>
      </c>
      <c r="N214" t="e">
        <f>AVERAGEIFS('Region 5'!$W$2:$W$496,'Region 5'!$A$2:$A$496,N$1,'Region 5'!$X$2:$X$496,$D214,'Region 5'!$S$2:$S$496,$A214)</f>
        <v>#DIV/0!</v>
      </c>
      <c r="Q214" t="str">
        <f t="shared" si="153"/>
        <v>Wood</v>
      </c>
      <c r="R214" t="str">
        <f t="shared" si="154"/>
        <v>Detached</v>
      </c>
      <c r="S214">
        <f t="shared" si="155"/>
        <v>5</v>
      </c>
      <c r="T214" t="str">
        <f t="shared" si="136"/>
        <v>-</v>
      </c>
      <c r="U214" s="111" t="s">
        <v>908</v>
      </c>
      <c r="V214" t="str">
        <f t="shared" si="138"/>
        <v>-</v>
      </c>
      <c r="W214" t="str">
        <f t="shared" si="139"/>
        <v>-</v>
      </c>
      <c r="X214" t="str">
        <f t="shared" si="140"/>
        <v>-</v>
      </c>
      <c r="Y214" t="str">
        <f t="shared" si="141"/>
        <v>-</v>
      </c>
      <c r="Z214" t="str">
        <f t="shared" si="142"/>
        <v>-</v>
      </c>
      <c r="AA214" t="str">
        <f t="shared" si="143"/>
        <v>-</v>
      </c>
      <c r="AB214" t="str">
        <f t="shared" si="144"/>
        <v>-</v>
      </c>
      <c r="AC214" t="str">
        <f t="shared" si="145"/>
        <v>-</v>
      </c>
    </row>
    <row r="215" spans="1:29" x14ac:dyDescent="0.3">
      <c r="A215" t="s">
        <v>67</v>
      </c>
      <c r="B215" t="str">
        <f t="shared" ref="B215:D215" si="166">B111</f>
        <v>Detached</v>
      </c>
      <c r="C215">
        <f t="shared" si="166"/>
        <v>6</v>
      </c>
      <c r="D215">
        <f t="shared" si="166"/>
        <v>1</v>
      </c>
      <c r="E215">
        <f>AVERAGEIFS('Region 6'!$W$2:$W$496,'Region 6'!$A$2:$A$496,E$1,'Region 6'!$X$2:$X$496,$D215,'Region 6'!$S$2:$S$496,$A215)</f>
        <v>17.3</v>
      </c>
      <c r="F215">
        <f>AVERAGEIFS('Region 6'!$W$2:$W$496,'Region 6'!$A$2:$A$496,F$1,'Region 6'!$X$2:$X$496,$D215,'Region 6'!$S$2:$S$496,$A215)</f>
        <v>24.75</v>
      </c>
      <c r="G215" t="e">
        <f>AVERAGEIFS('Region 6'!$W$2:$W$496,'Region 6'!$A$2:$A$496,G$1,'Region 6'!$X$2:$X$496,$D215,'Region 6'!$S$2:$S$496,$A215)</f>
        <v>#DIV/0!</v>
      </c>
      <c r="H215" t="e">
        <f>AVERAGEIFS('Region 6'!$W$2:$W$496,'Region 6'!$A$2:$A$496,H$1,'Region 6'!$X$2:$X$496,$D215,'Region 6'!$S$2:$S$496,$A215)</f>
        <v>#DIV/0!</v>
      </c>
      <c r="I215" t="e">
        <f>AVERAGEIFS('Region 6'!$W$2:$W$496,'Region 6'!$A$2:$A$496,I$1,'Region 6'!$X$2:$X$496,$D215,'Region 6'!$S$2:$S$496,$A215)</f>
        <v>#DIV/0!</v>
      </c>
      <c r="J215" t="e">
        <f>AVERAGEIFS('Region 6'!$W$2:$W$496,'Region 6'!$A$2:$A$496,J$1,'Region 6'!$X$2:$X$496,$D215,'Region 6'!$S$2:$S$496,$A215)</f>
        <v>#DIV/0!</v>
      </c>
      <c r="K215" t="e">
        <f>AVERAGEIFS('Region 6'!$W$2:$W$496,'Region 6'!$A$2:$A$496,K$1,'Region 6'!$X$2:$X$496,$D215,'Region 6'!$S$2:$S$496,$A215)</f>
        <v>#DIV/0!</v>
      </c>
      <c r="L215" t="e">
        <f>AVERAGEIFS('Region 6'!$W$2:$W$496,'Region 6'!$A$2:$A$496,L$1,'Region 6'!$X$2:$X$496,$D215,'Region 6'!$S$2:$S$496,$A215)</f>
        <v>#DIV/0!</v>
      </c>
      <c r="M215" t="e">
        <f>AVERAGEIFS('Region 6'!$W$2:$W$496,'Region 6'!$A$2:$A$496,M$1,'Region 6'!$X$2:$X$496,$D215,'Region 6'!$S$2:$S$496,$A215)</f>
        <v>#DIV/0!</v>
      </c>
      <c r="N215" t="e">
        <f>AVERAGEIFS('Region 6'!$W$2:$W$496,'Region 6'!$A$2:$A$496,N$1,'Region 6'!$X$2:$X$496,$D215,'Region 6'!$S$2:$S$496,$A215)</f>
        <v>#DIV/0!</v>
      </c>
      <c r="Q215" t="str">
        <f t="shared" si="153"/>
        <v>Wood</v>
      </c>
      <c r="R215" t="str">
        <f t="shared" si="154"/>
        <v>Detached</v>
      </c>
      <c r="S215">
        <f t="shared" si="155"/>
        <v>6</v>
      </c>
      <c r="T215">
        <f t="shared" si="136"/>
        <v>17.3</v>
      </c>
      <c r="U215">
        <f t="shared" si="137"/>
        <v>24.75</v>
      </c>
      <c r="V215" t="str">
        <f t="shared" si="138"/>
        <v>-</v>
      </c>
      <c r="W215" t="str">
        <f t="shared" si="139"/>
        <v>-</v>
      </c>
      <c r="X215" t="str">
        <f t="shared" si="140"/>
        <v>-</v>
      </c>
      <c r="Y215" t="str">
        <f t="shared" si="141"/>
        <v>-</v>
      </c>
      <c r="Z215" t="str">
        <f t="shared" si="142"/>
        <v>-</v>
      </c>
      <c r="AA215" t="str">
        <f t="shared" si="143"/>
        <v>-</v>
      </c>
      <c r="AB215" t="str">
        <f t="shared" si="144"/>
        <v>-</v>
      </c>
      <c r="AC215" t="str">
        <f t="shared" si="145"/>
        <v>-</v>
      </c>
    </row>
    <row r="216" spans="1:29" x14ac:dyDescent="0.3">
      <c r="A216" t="s">
        <v>67</v>
      </c>
      <c r="B216" t="str">
        <f t="shared" ref="B216:D216" si="167">B112</f>
        <v>Detached</v>
      </c>
      <c r="C216">
        <f t="shared" si="167"/>
        <v>7</v>
      </c>
      <c r="D216">
        <f t="shared" si="167"/>
        <v>1</v>
      </c>
      <c r="E216" t="e">
        <f ca="1">AVERAGEIFS('Region 7'!$W$2:$W$500,'Region 7'!$A$2:$A$500,E$1,'Region 7'!$X$2:$X$500,$D216,'Region 7'!$S$2:$S$500,$A216)</f>
        <v>#DIV/0!</v>
      </c>
      <c r="F216" t="e">
        <f ca="1">AVERAGEIFS('Region 7'!$W$2:$W$500,'Region 7'!$A$2:$A$500,F$1,'Region 7'!$X$2:$X$500,$D216,'Region 7'!$S$2:$S$500,$A216)</f>
        <v>#DIV/0!</v>
      </c>
      <c r="G216" t="e">
        <f ca="1">AVERAGEIFS('Region 7'!$W$2:$W$500,'Region 7'!$A$2:$A$500,G$1,'Region 7'!$X$2:$X$500,$D216,'Region 7'!$S$2:$S$500,$A216)</f>
        <v>#DIV/0!</v>
      </c>
      <c r="H216" t="e">
        <f ca="1">AVERAGEIFS('Region 7'!$W$2:$W$500,'Region 7'!$A$2:$A$500,H$1,'Region 7'!$X$2:$X$500,$D216,'Region 7'!$S$2:$S$500,$A216)</f>
        <v>#DIV/0!</v>
      </c>
      <c r="I216" t="e">
        <f ca="1">AVERAGEIFS('Region 7'!$W$2:$W$500,'Region 7'!$A$2:$A$500,I$1,'Region 7'!$X$2:$X$500,$D216,'Region 7'!$S$2:$S$500,$A216)</f>
        <v>#DIV/0!</v>
      </c>
      <c r="J216" t="e">
        <f ca="1">AVERAGEIFS('Region 7'!$W$2:$W$500,'Region 7'!$A$2:$A$500,J$1,'Region 7'!$X$2:$X$500,$D216,'Region 7'!$S$2:$S$500,$A216)</f>
        <v>#DIV/0!</v>
      </c>
      <c r="K216" t="e">
        <f ca="1">AVERAGEIFS('Region 7'!$W$2:$W$500,'Region 7'!$A$2:$A$500,K$1,'Region 7'!$X$2:$X$500,$D216,'Region 7'!$S$2:$S$500,$A216)</f>
        <v>#DIV/0!</v>
      </c>
      <c r="L216" t="e">
        <f ca="1">AVERAGEIFS('Region 7'!$W$2:$W$500,'Region 7'!$A$2:$A$500,L$1,'Region 7'!$X$2:$X$500,$D216,'Region 7'!$S$2:$S$500,$A216)</f>
        <v>#DIV/0!</v>
      </c>
      <c r="M216" t="e">
        <f ca="1">AVERAGEIFS('Region 7'!$W$2:$W$500,'Region 7'!$A$2:$A$500,M$1,'Region 7'!$X$2:$X$500,$D216,'Region 7'!$S$2:$S$500,$A216)</f>
        <v>#DIV/0!</v>
      </c>
      <c r="N216" t="e">
        <f ca="1">AVERAGEIFS('Region 7'!$W$2:$W$500,'Region 7'!$A$2:$A$500,N$1,'Region 7'!$X$2:$X$500,$D216,'Region 7'!$S$2:$S$500,$A216)</f>
        <v>#DIV/0!</v>
      </c>
      <c r="Q216" t="str">
        <f t="shared" si="153"/>
        <v>Wood</v>
      </c>
      <c r="R216" t="str">
        <f t="shared" si="154"/>
        <v>Detached</v>
      </c>
      <c r="S216">
        <f t="shared" si="155"/>
        <v>7</v>
      </c>
      <c r="T216" t="str">
        <f t="shared" ca="1" si="136"/>
        <v>-</v>
      </c>
      <c r="U216" t="str">
        <f t="shared" ca="1" si="137"/>
        <v>-</v>
      </c>
      <c r="V216" t="str">
        <f t="shared" ca="1" si="138"/>
        <v>-</v>
      </c>
      <c r="W216" t="str">
        <f t="shared" ca="1" si="139"/>
        <v>-</v>
      </c>
      <c r="X216" t="str">
        <f t="shared" ca="1" si="140"/>
        <v>-</v>
      </c>
      <c r="Y216" t="str">
        <f t="shared" ca="1" si="141"/>
        <v>-</v>
      </c>
      <c r="Z216" t="str">
        <f t="shared" ca="1" si="142"/>
        <v>-</v>
      </c>
      <c r="AA216" t="str">
        <f t="shared" ca="1" si="143"/>
        <v>-</v>
      </c>
      <c r="AB216" t="str">
        <f t="shared" ca="1" si="144"/>
        <v>-</v>
      </c>
      <c r="AC216" t="str">
        <f t="shared" ca="1" si="145"/>
        <v>-</v>
      </c>
    </row>
    <row r="217" spans="1:29" x14ac:dyDescent="0.3">
      <c r="A217" t="s">
        <v>67</v>
      </c>
      <c r="B217" t="str">
        <f t="shared" ref="B217:D217" si="168">B113</f>
        <v>Detached</v>
      </c>
      <c r="C217">
        <f t="shared" si="168"/>
        <v>8</v>
      </c>
      <c r="D217">
        <f t="shared" si="168"/>
        <v>1</v>
      </c>
      <c r="E217">
        <f>AVERAGEIFS('Region 8'!$W$2:$W$497,'Region 8'!$A$2:$A$497,E$1,'Region 8'!$X$2:$X$497,$D217,'Region 8'!$S$2:$S$497,$A217)</f>
        <v>6.8864337012604029</v>
      </c>
      <c r="F217" t="e">
        <f>AVERAGEIFS('Region 8'!$W$2:$W$497,'Region 8'!$A$2:$A$497,F$1,'Region 8'!$X$2:$X$497,$D217,'Region 8'!$S$2:$S$497,$A217)</f>
        <v>#DIV/0!</v>
      </c>
      <c r="G217" t="e">
        <f>AVERAGEIFS('Region 8'!$W$2:$W$497,'Region 8'!$A$2:$A$497,G$1,'Region 8'!$X$2:$X$497,$D217,'Region 8'!$S$2:$S$497,$A217)</f>
        <v>#DIV/0!</v>
      </c>
      <c r="H217" t="e">
        <f>AVERAGEIFS('Region 8'!$W$2:$W$497,'Region 8'!$A$2:$A$497,H$1,'Region 8'!$X$2:$X$497,$D217,'Region 8'!$S$2:$S$497,$A217)</f>
        <v>#DIV/0!</v>
      </c>
      <c r="I217" t="e">
        <f>AVERAGEIFS('Region 8'!$W$2:$W$497,'Region 8'!$A$2:$A$497,I$1,'Region 8'!$X$2:$X$497,$D217,'Region 8'!$S$2:$S$497,$A217)</f>
        <v>#DIV/0!</v>
      </c>
      <c r="J217" t="e">
        <f>AVERAGEIFS('Region 8'!$W$2:$W$497,'Region 8'!$A$2:$A$497,J$1,'Region 8'!$X$2:$X$497,$D217,'Region 8'!$S$2:$S$497,$A217)</f>
        <v>#DIV/0!</v>
      </c>
      <c r="K217" t="e">
        <f>AVERAGEIFS('Region 8'!$W$2:$W$497,'Region 8'!$A$2:$A$497,K$1,'Region 8'!$X$2:$X$497,$D217,'Region 8'!$S$2:$S$497,$A217)</f>
        <v>#DIV/0!</v>
      </c>
      <c r="L217" t="e">
        <f>AVERAGEIFS('Region 8'!$W$2:$W$497,'Region 8'!$A$2:$A$497,L$1,'Region 8'!$X$2:$X$497,$D217,'Region 8'!$S$2:$S$497,$A217)</f>
        <v>#DIV/0!</v>
      </c>
      <c r="M217" t="e">
        <f>AVERAGEIFS('Region 8'!$W$2:$W$497,'Region 8'!$A$2:$A$497,M$1,'Region 8'!$X$2:$X$497,$D217,'Region 8'!$S$2:$S$497,$A217)</f>
        <v>#DIV/0!</v>
      </c>
      <c r="N217" t="e">
        <f>AVERAGEIFS('Region 8'!$W$2:$W$497,'Region 8'!$A$2:$A$497,N$1,'Region 8'!$X$2:$X$497,$D217,'Region 8'!$S$2:$S$497,$A217)</f>
        <v>#DIV/0!</v>
      </c>
      <c r="Q217" t="str">
        <f t="shared" si="153"/>
        <v>Wood</v>
      </c>
      <c r="R217" t="str">
        <f t="shared" si="154"/>
        <v>Detached</v>
      </c>
      <c r="S217">
        <f t="shared" si="155"/>
        <v>8</v>
      </c>
      <c r="T217">
        <f t="shared" si="136"/>
        <v>6.8864337012604029</v>
      </c>
      <c r="U217" t="str">
        <f t="shared" si="137"/>
        <v>-</v>
      </c>
      <c r="V217" t="str">
        <f t="shared" si="138"/>
        <v>-</v>
      </c>
      <c r="W217" t="str">
        <f t="shared" si="139"/>
        <v>-</v>
      </c>
      <c r="X217" t="str">
        <f t="shared" si="140"/>
        <v>-</v>
      </c>
      <c r="Y217" t="str">
        <f t="shared" si="141"/>
        <v>-</v>
      </c>
      <c r="Z217" t="str">
        <f t="shared" si="142"/>
        <v>-</v>
      </c>
      <c r="AA217" t="str">
        <f t="shared" si="143"/>
        <v>-</v>
      </c>
      <c r="AB217" t="str">
        <f t="shared" si="144"/>
        <v>-</v>
      </c>
      <c r="AC217" t="str">
        <f t="shared" si="145"/>
        <v>-</v>
      </c>
    </row>
    <row r="218" spans="1:29" x14ac:dyDescent="0.3">
      <c r="A218" t="s">
        <v>67</v>
      </c>
      <c r="B218" t="str">
        <f t="shared" ref="B218:D218" si="169">B114</f>
        <v>Detached</v>
      </c>
      <c r="C218">
        <f t="shared" si="169"/>
        <v>9</v>
      </c>
      <c r="D218">
        <f t="shared" si="169"/>
        <v>1</v>
      </c>
      <c r="E218" t="e">
        <f ca="1">AVERAGEIFS('Region 9'!$W$2:$W$500,'Region 9'!$A$2:$A$500,E$1,'Region 9'!$X$2:$X$500,$D218,'Region 9'!$S$2:$S$500,$A218)</f>
        <v>#DIV/0!</v>
      </c>
      <c r="F218" t="e">
        <f ca="1">AVERAGEIFS('Region 9'!$W$2:$W$500,'Region 9'!$A$2:$A$500,F$1,'Region 9'!$X$2:$X$500,$D218,'Region 9'!$S$2:$S$500,$A218)</f>
        <v>#DIV/0!</v>
      </c>
      <c r="G218" t="e">
        <f ca="1">AVERAGEIFS('Region 9'!$W$2:$W$500,'Region 9'!$A$2:$A$500,G$1,'Region 9'!$X$2:$X$500,$D218,'Region 9'!$S$2:$S$500,$A218)</f>
        <v>#DIV/0!</v>
      </c>
      <c r="H218" t="e">
        <f ca="1">AVERAGEIFS('Region 9'!$W$2:$W$500,'Region 9'!$A$2:$A$500,H$1,'Region 9'!$X$2:$X$500,$D218,'Region 9'!$S$2:$S$500,$A218)</f>
        <v>#DIV/0!</v>
      </c>
      <c r="I218" t="e">
        <f ca="1">AVERAGEIFS('Region 9'!$W$2:$W$500,'Region 9'!$A$2:$A$500,I$1,'Region 9'!$X$2:$X$500,$D218,'Region 9'!$S$2:$S$500,$A218)</f>
        <v>#DIV/0!</v>
      </c>
      <c r="J218" t="e">
        <f ca="1">AVERAGEIFS('Region 9'!$W$2:$W$500,'Region 9'!$A$2:$A$500,J$1,'Region 9'!$X$2:$X$500,$D218,'Region 9'!$S$2:$S$500,$A218)</f>
        <v>#DIV/0!</v>
      </c>
      <c r="K218" t="e">
        <f ca="1">AVERAGEIFS('Region 9'!$W$2:$W$500,'Region 9'!$A$2:$A$500,K$1,'Region 9'!$X$2:$X$500,$D218,'Region 9'!$S$2:$S$500,$A218)</f>
        <v>#DIV/0!</v>
      </c>
      <c r="L218" t="e">
        <f ca="1">AVERAGEIFS('Region 9'!$W$2:$W$500,'Region 9'!$A$2:$A$500,L$1,'Region 9'!$X$2:$X$500,$D218,'Region 9'!$S$2:$S$500,$A218)</f>
        <v>#DIV/0!</v>
      </c>
      <c r="M218" t="e">
        <f ca="1">AVERAGEIFS('Region 9'!$W$2:$W$500,'Region 9'!$A$2:$A$500,M$1,'Region 9'!$X$2:$X$500,$D218,'Region 9'!$S$2:$S$500,$A218)</f>
        <v>#DIV/0!</v>
      </c>
      <c r="N218" t="e">
        <f ca="1">AVERAGEIFS('Region 9'!$W$2:$W$500,'Region 9'!$A$2:$A$500,N$1,'Region 9'!$X$2:$X$500,$D218,'Region 9'!$S$2:$S$500,$A218)</f>
        <v>#DIV/0!</v>
      </c>
      <c r="Q218" t="str">
        <f t="shared" si="153"/>
        <v>Wood</v>
      </c>
      <c r="R218" t="str">
        <f t="shared" si="154"/>
        <v>Detached</v>
      </c>
      <c r="S218">
        <f t="shared" si="155"/>
        <v>9</v>
      </c>
      <c r="T218" t="str">
        <f t="shared" ca="1" si="136"/>
        <v>-</v>
      </c>
      <c r="U218" t="str">
        <f t="shared" ca="1" si="137"/>
        <v>-</v>
      </c>
      <c r="V218" t="str">
        <f t="shared" ca="1" si="138"/>
        <v>-</v>
      </c>
      <c r="W218" t="str">
        <f t="shared" ca="1" si="139"/>
        <v>-</v>
      </c>
      <c r="X218" t="str">
        <f t="shared" ca="1" si="140"/>
        <v>-</v>
      </c>
      <c r="Y218" t="str">
        <f t="shared" ca="1" si="141"/>
        <v>-</v>
      </c>
      <c r="Z218" t="str">
        <f t="shared" ca="1" si="142"/>
        <v>-</v>
      </c>
      <c r="AA218" t="str">
        <f t="shared" ca="1" si="143"/>
        <v>-</v>
      </c>
      <c r="AB218" t="str">
        <f t="shared" ca="1" si="144"/>
        <v>-</v>
      </c>
      <c r="AC218" t="str">
        <f t="shared" ca="1" si="145"/>
        <v>-</v>
      </c>
    </row>
    <row r="219" spans="1:29" x14ac:dyDescent="0.3">
      <c r="A219" t="s">
        <v>67</v>
      </c>
      <c r="B219" t="str">
        <f t="shared" ref="B219:D219" si="170">B115</f>
        <v>Detached</v>
      </c>
      <c r="C219">
        <f t="shared" si="170"/>
        <v>10</v>
      </c>
      <c r="D219">
        <f t="shared" si="170"/>
        <v>1</v>
      </c>
      <c r="E219" t="e">
        <f>AVERAGEIFS('Region 10'!$W$2:$W$500,'Region 10'!$A$2:$A$500,E$1,'Region 10'!$X$2:$X$500,$D219,'Region 10'!$S$2:$S$500,$A219)</f>
        <v>#DIV/0!</v>
      </c>
      <c r="F219" t="e">
        <f>AVERAGEIFS('Region 10'!$W$2:$W$500,'Region 10'!$A$2:$A$500,F$1,'Region 10'!$X$2:$X$500,$D219,'Region 10'!$S$2:$S$500,$A219)</f>
        <v>#DIV/0!</v>
      </c>
      <c r="G219" t="e">
        <f>AVERAGEIFS('Region 10'!$W$2:$W$500,'Region 10'!$A$2:$A$500,G$1,'Region 10'!$X$2:$X$500,$D219,'Region 10'!$S$2:$S$500,$A219)</f>
        <v>#DIV/0!</v>
      </c>
      <c r="H219" t="e">
        <f>AVERAGEIFS('Region 10'!$W$2:$W$500,'Region 10'!$A$2:$A$500,H$1,'Region 10'!$X$2:$X$500,$D219,'Region 10'!$S$2:$S$500,$A219)</f>
        <v>#DIV/0!</v>
      </c>
      <c r="I219" t="e">
        <f>AVERAGEIFS('Region 10'!$W$2:$W$500,'Region 10'!$A$2:$A$500,I$1,'Region 10'!$X$2:$X$500,$D219,'Region 10'!$S$2:$S$500,$A219)</f>
        <v>#DIV/0!</v>
      </c>
      <c r="J219" t="e">
        <f>AVERAGEIFS('Region 10'!$W$2:$W$500,'Region 10'!$A$2:$A$500,J$1,'Region 10'!$X$2:$X$500,$D219,'Region 10'!$S$2:$S$500,$A219)</f>
        <v>#DIV/0!</v>
      </c>
      <c r="K219" t="e">
        <f>AVERAGEIFS('Region 10'!$W$2:$W$500,'Region 10'!$A$2:$A$500,K$1,'Region 10'!$X$2:$X$500,$D219,'Region 10'!$S$2:$S$500,$A219)</f>
        <v>#DIV/0!</v>
      </c>
      <c r="L219" t="e">
        <f>AVERAGEIFS('Region 10'!$W$2:$W$500,'Region 10'!$A$2:$A$500,L$1,'Region 10'!$X$2:$X$500,$D219,'Region 10'!$S$2:$S$500,$A219)</f>
        <v>#DIV/0!</v>
      </c>
      <c r="M219" t="e">
        <f>AVERAGEIFS('Region 10'!$W$2:$W$500,'Region 10'!$A$2:$A$500,M$1,'Region 10'!$X$2:$X$500,$D219,'Region 10'!$S$2:$S$500,$A219)</f>
        <v>#DIV/0!</v>
      </c>
      <c r="N219" t="e">
        <f>AVERAGEIFS('Region 10'!$W$2:$W$500,'Region 10'!$A$2:$A$500,N$1,'Region 10'!$X$2:$X$500,$D219,'Region 10'!$S$2:$S$500,$A219)</f>
        <v>#DIV/0!</v>
      </c>
      <c r="Q219" t="str">
        <f t="shared" si="153"/>
        <v>Wood</v>
      </c>
      <c r="R219" t="str">
        <f t="shared" si="154"/>
        <v>Detached</v>
      </c>
      <c r="S219">
        <f t="shared" si="155"/>
        <v>10</v>
      </c>
      <c r="T219" t="str">
        <f t="shared" si="136"/>
        <v>-</v>
      </c>
      <c r="U219" t="str">
        <f t="shared" si="137"/>
        <v>-</v>
      </c>
      <c r="V219" t="str">
        <f t="shared" si="138"/>
        <v>-</v>
      </c>
      <c r="W219" t="str">
        <f t="shared" si="139"/>
        <v>-</v>
      </c>
      <c r="X219" t="str">
        <f t="shared" si="140"/>
        <v>-</v>
      </c>
      <c r="Y219" t="str">
        <f t="shared" si="141"/>
        <v>-</v>
      </c>
      <c r="Z219" t="str">
        <f t="shared" si="142"/>
        <v>-</v>
      </c>
      <c r="AA219" t="str">
        <f t="shared" si="143"/>
        <v>-</v>
      </c>
      <c r="AB219" t="str">
        <f t="shared" si="144"/>
        <v>-</v>
      </c>
      <c r="AC219" t="str">
        <f t="shared" si="145"/>
        <v>-</v>
      </c>
    </row>
    <row r="220" spans="1:29" x14ac:dyDescent="0.3">
      <c r="A220" t="s">
        <v>67</v>
      </c>
      <c r="B220" t="str">
        <f t="shared" ref="B220:D220" si="171">B116</f>
        <v>Detached</v>
      </c>
      <c r="C220">
        <f t="shared" si="171"/>
        <v>11</v>
      </c>
      <c r="D220">
        <f t="shared" si="171"/>
        <v>1</v>
      </c>
      <c r="E220">
        <f>AVERAGEIFS('Region 11'!$W$2:$W$391,'Region 11'!$A$2:$A$391,E$1,'Region 11'!$X$2:$X$391,$D220,'Region 11'!$S$2:$S$391,$A220)</f>
        <v>82.909163211034297</v>
      </c>
      <c r="F220" t="e">
        <f>AVERAGEIFS('Region 11'!$W$2:$W$391,'Region 11'!$A$2:$A$391,F$1,'Region 11'!$X$2:$X$391,$D220,'Region 11'!$S$2:$S$391,$A220)</f>
        <v>#DIV/0!</v>
      </c>
      <c r="G220">
        <f>AVERAGEIFS('Region 11'!$W$2:$W$391,'Region 11'!$A$2:$A$391,G$1,'Region 11'!$X$2:$X$391,$D220,'Region 11'!$S$2:$S$391,$A220)</f>
        <v>18.739393939393938</v>
      </c>
      <c r="H220">
        <f>AVERAGEIFS('Region 11'!$W$2:$W$391,'Region 11'!$A$2:$A$391,H$1,'Region 11'!$X$2:$X$391,$D220,'Region 11'!$S$2:$S$391,$A220)</f>
        <v>38.284615384615385</v>
      </c>
      <c r="I220">
        <f>AVERAGEIFS('Region 11'!$W$2:$W$391,'Region 11'!$A$2:$A$391,I$1,'Region 11'!$X$2:$X$391,$D220,'Region 11'!$S$2:$S$391,$A220)</f>
        <v>44.062322946175641</v>
      </c>
      <c r="J220" t="e">
        <f>AVERAGEIFS('Region 11'!$W$2:$W$391,'Region 11'!$A$2:$A$391,J$1,'Region 11'!$X$2:$X$391,$D220,'Region 11'!$S$2:$S$391,$A220)</f>
        <v>#DIV/0!</v>
      </c>
      <c r="K220">
        <f>AVERAGEIFS('Region 11'!$W$2:$W$391,'Region 11'!$A$2:$A$391,K$1,'Region 11'!$X$2:$X$391,$D220,'Region 11'!$S$2:$S$391,$A220)</f>
        <v>74</v>
      </c>
      <c r="L220">
        <f>AVERAGEIFS('Region 11'!$W$2:$W$391,'Region 11'!$A$2:$A$391,L$1,'Region 11'!$X$2:$X$391,$D220,'Region 11'!$S$2:$S$391,$A220)</f>
        <v>72.666666666666671</v>
      </c>
      <c r="M220" t="e">
        <f>AVERAGEIFS('Region 11'!$W$2:$W$391,'Region 11'!$A$2:$A$391,M$1,'Region 11'!$X$2:$X$391,$D220,'Region 11'!$S$2:$S$391,$A220)</f>
        <v>#DIV/0!</v>
      </c>
      <c r="N220" t="e">
        <f>AVERAGEIFS('Region 11'!$W$2:$W$391,'Region 11'!$A$2:$A$391,N$1,'Region 11'!$X$2:$X$391,$D220,'Region 11'!$S$2:$S$391,$A220)</f>
        <v>#DIV/0!</v>
      </c>
      <c r="Q220" t="str">
        <f t="shared" si="153"/>
        <v>Wood</v>
      </c>
      <c r="R220" t="str">
        <f t="shared" si="154"/>
        <v>Detached</v>
      </c>
      <c r="S220">
        <f t="shared" si="155"/>
        <v>11</v>
      </c>
      <c r="T220">
        <f t="shared" si="136"/>
        <v>82.909163211034297</v>
      </c>
      <c r="U220" t="str">
        <f t="shared" si="137"/>
        <v>-</v>
      </c>
      <c r="V220">
        <f t="shared" si="138"/>
        <v>18.739393939393938</v>
      </c>
      <c r="W220">
        <f t="shared" si="139"/>
        <v>38.284615384615385</v>
      </c>
      <c r="X220">
        <f t="shared" si="140"/>
        <v>44.062322946175641</v>
      </c>
      <c r="Y220" t="str">
        <f t="shared" si="141"/>
        <v>-</v>
      </c>
      <c r="Z220">
        <f t="shared" si="142"/>
        <v>74</v>
      </c>
      <c r="AA220">
        <f t="shared" si="143"/>
        <v>72.666666666666671</v>
      </c>
      <c r="AB220" t="str">
        <f t="shared" si="144"/>
        <v>-</v>
      </c>
      <c r="AC220" t="str">
        <f t="shared" si="145"/>
        <v>-</v>
      </c>
    </row>
    <row r="221" spans="1:29" x14ac:dyDescent="0.3">
      <c r="A221" t="s">
        <v>67</v>
      </c>
      <c r="B221" t="str">
        <f t="shared" ref="B221:D221" si="172">B117</f>
        <v>Detached</v>
      </c>
      <c r="C221">
        <f t="shared" si="172"/>
        <v>12</v>
      </c>
      <c r="D221">
        <f t="shared" si="172"/>
        <v>1</v>
      </c>
      <c r="E221">
        <f>AVERAGEIFS('Region 12'!$W$2:$W$459,'Region 12'!$A$2:$A$459,E$1,'Region 12'!$X$2:$X$459,$D221,'Region 12'!$S$2:$S$459,$A221)</f>
        <v>103.33027335781313</v>
      </c>
      <c r="F221">
        <f>AVERAGEIFS('Region 12'!$W$2:$W$459,'Region 12'!$A$2:$A$459,F$1,'Region 12'!$X$2:$X$459,$D221,'Region 12'!$S$2:$S$459,$A221)</f>
        <v>98.565996209921735</v>
      </c>
      <c r="G221" t="e">
        <f>AVERAGEIFS('Region 12'!$W$2:$W$459,'Region 12'!$A$2:$A$459,G$1,'Region 12'!$X$2:$X$459,$D221,'Region 12'!$S$2:$S$459,$A221)</f>
        <v>#DIV/0!</v>
      </c>
      <c r="H221" t="e">
        <f>AVERAGEIFS('Region 12'!$W$2:$W$459,'Region 12'!$A$2:$A$459,H$1,'Region 12'!$X$2:$X$459,$D221,'Region 12'!$S$2:$S$459,$A221)</f>
        <v>#DIV/0!</v>
      </c>
      <c r="I221" t="e">
        <f>AVERAGEIFS('Region 12'!$W$2:$W$459,'Region 12'!$A$2:$A$459,I$1,'Region 12'!$X$2:$X$459,$D221,'Region 12'!$S$2:$S$459,$A221)</f>
        <v>#DIV/0!</v>
      </c>
      <c r="J221" t="e">
        <f>AVERAGEIFS('Region 12'!$W$2:$W$459,'Region 12'!$A$2:$A$459,J$1,'Region 12'!$X$2:$X$459,$D221,'Region 12'!$S$2:$S$459,$A221)</f>
        <v>#DIV/0!</v>
      </c>
      <c r="K221" t="e">
        <f>AVERAGEIFS('Region 12'!$W$2:$W$459,'Region 12'!$A$2:$A$459,K$1,'Region 12'!$X$2:$X$459,$D221,'Region 12'!$S$2:$S$459,$A221)</f>
        <v>#DIV/0!</v>
      </c>
      <c r="L221" t="e">
        <f>AVERAGEIFS('Region 12'!$W$2:$W$459,'Region 12'!$A$2:$A$459,L$1,'Region 12'!$X$2:$X$459,$D221,'Region 12'!$S$2:$S$459,$A221)</f>
        <v>#DIV/0!</v>
      </c>
      <c r="M221" t="e">
        <f>AVERAGEIFS('Region 12'!$W$2:$W$459,'Region 12'!$A$2:$A$459,M$1,'Region 12'!$X$2:$X$459,$D221,'Region 12'!$S$2:$S$459,$A221)</f>
        <v>#DIV/0!</v>
      </c>
      <c r="N221" t="e">
        <f>AVERAGEIFS('Region 12'!$W$2:$W$459,'Region 12'!$A$2:$A$459,N$1,'Region 12'!$X$2:$X$459,$D221,'Region 12'!$S$2:$S$459,$A221)</f>
        <v>#DIV/0!</v>
      </c>
      <c r="Q221" t="str">
        <f t="shared" si="153"/>
        <v>Wood</v>
      </c>
      <c r="R221" t="str">
        <f t="shared" si="154"/>
        <v>Detached</v>
      </c>
      <c r="S221">
        <f t="shared" si="155"/>
        <v>12</v>
      </c>
      <c r="T221">
        <f t="shared" si="136"/>
        <v>103.33027335781313</v>
      </c>
      <c r="U221">
        <f t="shared" si="137"/>
        <v>98.565996209921735</v>
      </c>
      <c r="V221" t="str">
        <f t="shared" si="138"/>
        <v>-</v>
      </c>
      <c r="W221" t="str">
        <f t="shared" si="139"/>
        <v>-</v>
      </c>
      <c r="X221" t="str">
        <f t="shared" si="140"/>
        <v>-</v>
      </c>
      <c r="Y221" t="str">
        <f t="shared" si="141"/>
        <v>-</v>
      </c>
      <c r="Z221" t="str">
        <f t="shared" si="142"/>
        <v>-</v>
      </c>
      <c r="AA221" t="str">
        <f t="shared" si="143"/>
        <v>-</v>
      </c>
      <c r="AB221" t="str">
        <f t="shared" si="144"/>
        <v>-</v>
      </c>
      <c r="AC221" t="str">
        <f t="shared" si="145"/>
        <v>-</v>
      </c>
    </row>
    <row r="222" spans="1:29" x14ac:dyDescent="0.3">
      <c r="A222" t="s">
        <v>67</v>
      </c>
      <c r="B222" t="str">
        <f t="shared" ref="B222:D222" si="173">B118</f>
        <v>Detached</v>
      </c>
      <c r="C222">
        <f t="shared" si="173"/>
        <v>13</v>
      </c>
      <c r="D222">
        <f t="shared" si="173"/>
        <v>1</v>
      </c>
      <c r="E222" t="e">
        <f>AVERAGEIFS('Region 13'!$W$2:$W$500,'Region 13'!$A$2:$A$500,E$1,'Region 13'!$X$2:$X$500,$D222,'Region 13'!$S$2:$S$500,$A222)</f>
        <v>#DIV/0!</v>
      </c>
      <c r="F222" t="e">
        <f>AVERAGEIFS('Region 13'!$W$2:$W$500,'Region 13'!$A$2:$A$500,F$1,'Region 13'!$X$2:$X$500,$D222,'Region 13'!$S$2:$S$500,$A222)</f>
        <v>#DIV/0!</v>
      </c>
      <c r="G222" t="e">
        <f>AVERAGEIFS('Region 13'!$W$2:$W$500,'Region 13'!$A$2:$A$500,G$1,'Region 13'!$X$2:$X$500,$D222,'Region 13'!$S$2:$S$500,$A222)</f>
        <v>#DIV/0!</v>
      </c>
      <c r="H222" t="e">
        <f>AVERAGEIFS('Region 13'!$W$2:$W$500,'Region 13'!$A$2:$A$500,H$1,'Region 13'!$X$2:$X$500,$D222,'Region 13'!$S$2:$S$500,$A222)</f>
        <v>#DIV/0!</v>
      </c>
      <c r="I222" t="e">
        <f>AVERAGEIFS('Region 13'!$W$2:$W$500,'Region 13'!$A$2:$A$500,I$1,'Region 13'!$X$2:$X$500,$D222,'Region 13'!$S$2:$S$500,$A222)</f>
        <v>#DIV/0!</v>
      </c>
      <c r="J222" t="e">
        <f>AVERAGEIFS('Region 13'!$W$2:$W$500,'Region 13'!$A$2:$A$500,J$1,'Region 13'!$X$2:$X$500,$D222,'Region 13'!$S$2:$S$500,$A222)</f>
        <v>#DIV/0!</v>
      </c>
      <c r="K222" t="e">
        <f>AVERAGEIFS('Region 13'!$W$2:$W$500,'Region 13'!$A$2:$A$500,K$1,'Region 13'!$X$2:$X$500,$D222,'Region 13'!$S$2:$S$500,$A222)</f>
        <v>#DIV/0!</v>
      </c>
      <c r="L222" t="e">
        <f>AVERAGEIFS('Region 13'!$W$2:$W$500,'Region 13'!$A$2:$A$500,L$1,'Region 13'!$X$2:$X$500,$D222,'Region 13'!$S$2:$S$500,$A222)</f>
        <v>#DIV/0!</v>
      </c>
      <c r="M222" t="e">
        <f>AVERAGEIFS('Region 13'!$W$2:$W$500,'Region 13'!$A$2:$A$500,M$1,'Region 13'!$X$2:$X$500,$D222,'Region 13'!$S$2:$S$500,$A222)</f>
        <v>#DIV/0!</v>
      </c>
      <c r="N222" t="e">
        <f>AVERAGEIFS('Region 13'!$W$2:$W$500,'Region 13'!$A$2:$A$500,N$1,'Region 13'!$X$2:$X$500,$D222,'Region 13'!$S$2:$S$500,$A222)</f>
        <v>#DIV/0!</v>
      </c>
      <c r="Q222" t="str">
        <f t="shared" si="153"/>
        <v>Wood</v>
      </c>
      <c r="R222" t="str">
        <f t="shared" si="154"/>
        <v>Detached</v>
      </c>
      <c r="S222">
        <f t="shared" si="155"/>
        <v>13</v>
      </c>
      <c r="T222" t="str">
        <f t="shared" si="136"/>
        <v>-</v>
      </c>
      <c r="U222" t="str">
        <f t="shared" si="137"/>
        <v>-</v>
      </c>
      <c r="V222" t="str">
        <f t="shared" si="138"/>
        <v>-</v>
      </c>
      <c r="W222" t="str">
        <f t="shared" si="139"/>
        <v>-</v>
      </c>
      <c r="X222" t="str">
        <f t="shared" si="140"/>
        <v>-</v>
      </c>
      <c r="Y222" t="str">
        <f t="shared" si="141"/>
        <v>-</v>
      </c>
      <c r="Z222" t="str">
        <f t="shared" si="142"/>
        <v>-</v>
      </c>
      <c r="AA222" t="str">
        <f t="shared" si="143"/>
        <v>-</v>
      </c>
      <c r="AB222" t="str">
        <f t="shared" si="144"/>
        <v>-</v>
      </c>
      <c r="AC222" t="str">
        <f t="shared" si="145"/>
        <v>-</v>
      </c>
    </row>
    <row r="223" spans="1:29" x14ac:dyDescent="0.3">
      <c r="A223" t="s">
        <v>67</v>
      </c>
      <c r="B223" t="str">
        <f t="shared" ref="B223:D223" si="174">B119</f>
        <v>Detached</v>
      </c>
      <c r="C223">
        <f t="shared" si="174"/>
        <v>14</v>
      </c>
      <c r="D223">
        <f t="shared" si="174"/>
        <v>1</v>
      </c>
      <c r="E223" t="e">
        <f ca="1">AVERAGEIFS('Region 14'!$W$2:$W$500,'Region 14'!$A$2:$A$500,E$1,'Region 14'!$X$2:$X$500,$D223,'Region 14'!$S$2:$S$500,$A223)</f>
        <v>#DIV/0!</v>
      </c>
      <c r="F223" t="e">
        <f ca="1">AVERAGEIFS('Region 14'!$W$2:$W$500,'Region 14'!$A$2:$A$500,F$1,'Region 14'!$X$2:$X$500,$D223,'Region 14'!$S$2:$S$500,$A223)</f>
        <v>#DIV/0!</v>
      </c>
      <c r="G223" t="e">
        <f ca="1">AVERAGEIFS('Region 14'!$W$2:$W$500,'Region 14'!$A$2:$A$500,G$1,'Region 14'!$X$2:$X$500,$D223,'Region 14'!$S$2:$S$500,$A223)</f>
        <v>#DIV/0!</v>
      </c>
      <c r="H223" t="e">
        <f ca="1">AVERAGEIFS('Region 14'!$W$2:$W$500,'Region 14'!$A$2:$A$500,H$1,'Region 14'!$X$2:$X$500,$D223,'Region 14'!$S$2:$S$500,$A223)</f>
        <v>#DIV/0!</v>
      </c>
      <c r="I223" t="e">
        <f ca="1">AVERAGEIFS('Region 14'!$W$2:$W$500,'Region 14'!$A$2:$A$500,I$1,'Region 14'!$X$2:$X$500,$D223,'Region 14'!$S$2:$S$500,$A223)</f>
        <v>#DIV/0!</v>
      </c>
      <c r="J223" t="e">
        <f ca="1">AVERAGEIFS('Region 14'!$W$2:$W$500,'Region 14'!$A$2:$A$500,J$1,'Region 14'!$X$2:$X$500,$D223,'Region 14'!$S$2:$S$500,$A223)</f>
        <v>#DIV/0!</v>
      </c>
      <c r="K223" t="e">
        <f ca="1">AVERAGEIFS('Region 14'!$W$2:$W$500,'Region 14'!$A$2:$A$500,K$1,'Region 14'!$X$2:$X$500,$D223,'Region 14'!$S$2:$S$500,$A223)</f>
        <v>#DIV/0!</v>
      </c>
      <c r="L223" t="e">
        <f ca="1">AVERAGEIFS('Region 14'!$W$2:$W$500,'Region 14'!$A$2:$A$500,L$1,'Region 14'!$X$2:$X$500,$D223,'Region 14'!$S$2:$S$500,$A223)</f>
        <v>#DIV/0!</v>
      </c>
      <c r="M223" t="e">
        <f ca="1">AVERAGEIFS('Region 14'!$W$2:$W$500,'Region 14'!$A$2:$A$500,M$1,'Region 14'!$X$2:$X$500,$D223,'Region 14'!$S$2:$S$500,$A223)</f>
        <v>#DIV/0!</v>
      </c>
      <c r="N223" t="e">
        <f ca="1">AVERAGEIFS('Region 14'!$W$2:$W$500,'Region 14'!$A$2:$A$500,N$1,'Region 14'!$X$2:$X$500,$D223,'Region 14'!$S$2:$S$500,$A223)</f>
        <v>#DIV/0!</v>
      </c>
      <c r="Q223" t="str">
        <f t="shared" si="153"/>
        <v>Wood</v>
      </c>
      <c r="R223" t="str">
        <f t="shared" si="154"/>
        <v>Detached</v>
      </c>
      <c r="S223">
        <f t="shared" si="155"/>
        <v>14</v>
      </c>
      <c r="T223" t="str">
        <f t="shared" ca="1" si="136"/>
        <v>-</v>
      </c>
      <c r="U223" t="str">
        <f t="shared" ca="1" si="137"/>
        <v>-</v>
      </c>
      <c r="V223" t="str">
        <f t="shared" ca="1" si="138"/>
        <v>-</v>
      </c>
      <c r="W223" t="str">
        <f t="shared" ca="1" si="139"/>
        <v>-</v>
      </c>
      <c r="X223" t="str">
        <f t="shared" ca="1" si="140"/>
        <v>-</v>
      </c>
      <c r="Y223" t="str">
        <f t="shared" ca="1" si="141"/>
        <v>-</v>
      </c>
      <c r="Z223" t="str">
        <f t="shared" ca="1" si="142"/>
        <v>-</v>
      </c>
      <c r="AA223" t="str">
        <f t="shared" ca="1" si="143"/>
        <v>-</v>
      </c>
      <c r="AB223" t="str">
        <f t="shared" ca="1" si="144"/>
        <v>-</v>
      </c>
      <c r="AC223" t="str">
        <f t="shared" ca="1" si="145"/>
        <v>-</v>
      </c>
    </row>
    <row r="224" spans="1:29" x14ac:dyDescent="0.3">
      <c r="A224" t="s">
        <v>67</v>
      </c>
      <c r="B224" t="str">
        <f t="shared" ref="B224:D224" si="175">B120</f>
        <v>Detached</v>
      </c>
      <c r="C224">
        <f t="shared" si="175"/>
        <v>15</v>
      </c>
      <c r="D224">
        <f t="shared" si="175"/>
        <v>1</v>
      </c>
      <c r="E224" t="e">
        <f ca="1">AVERAGEIFS('Region 15'!$W$2:$W$500,'Region 15'!$A$2:$A$500,E$1,'Region 15'!$X$2:$X$500,$D224,'Region 15'!$S$2:$S$500,$A224)</f>
        <v>#DIV/0!</v>
      </c>
      <c r="F224" t="e">
        <f ca="1">AVERAGEIFS('Region 15'!$W$2:$W$500,'Region 15'!$A$2:$A$500,F$1,'Region 15'!$X$2:$X$500,$D224,'Region 15'!$S$2:$S$500,$A224)</f>
        <v>#DIV/0!</v>
      </c>
      <c r="G224" t="e">
        <f ca="1">AVERAGEIFS('Region 15'!$W$2:$W$500,'Region 15'!$A$2:$A$500,G$1,'Region 15'!$X$2:$X$500,$D224,'Region 15'!$S$2:$S$500,$A224)</f>
        <v>#DIV/0!</v>
      </c>
      <c r="H224" t="e">
        <f ca="1">AVERAGEIFS('Region 15'!$W$2:$W$500,'Region 15'!$A$2:$A$500,H$1,'Region 15'!$X$2:$X$500,$D224,'Region 15'!$S$2:$S$500,$A224)</f>
        <v>#DIV/0!</v>
      </c>
      <c r="I224" t="e">
        <f ca="1">AVERAGEIFS('Region 15'!$W$2:$W$500,'Region 15'!$A$2:$A$500,I$1,'Region 15'!$X$2:$X$500,$D224,'Region 15'!$S$2:$S$500,$A224)</f>
        <v>#DIV/0!</v>
      </c>
      <c r="J224" t="e">
        <f ca="1">AVERAGEIFS('Region 15'!$W$2:$W$500,'Region 15'!$A$2:$A$500,J$1,'Region 15'!$X$2:$X$500,$D224,'Region 15'!$S$2:$S$500,$A224)</f>
        <v>#DIV/0!</v>
      </c>
      <c r="K224" t="e">
        <f ca="1">AVERAGEIFS('Region 15'!$W$2:$W$500,'Region 15'!$A$2:$A$500,K$1,'Region 15'!$X$2:$X$500,$D224,'Region 15'!$S$2:$S$500,$A224)</f>
        <v>#DIV/0!</v>
      </c>
      <c r="L224" t="e">
        <f ca="1">AVERAGEIFS('Region 15'!$W$2:$W$500,'Region 15'!$A$2:$A$500,L$1,'Region 15'!$X$2:$X$500,$D224,'Region 15'!$S$2:$S$500,$A224)</f>
        <v>#DIV/0!</v>
      </c>
      <c r="M224" t="e">
        <f ca="1">AVERAGEIFS('Region 15'!$W$2:$W$500,'Region 15'!$A$2:$A$500,M$1,'Region 15'!$X$2:$X$500,$D224,'Region 15'!$S$2:$S$500,$A224)</f>
        <v>#DIV/0!</v>
      </c>
      <c r="N224" t="e">
        <f ca="1">AVERAGEIFS('Region 15'!$W$2:$W$500,'Region 15'!$A$2:$A$500,N$1,'Region 15'!$X$2:$X$500,$D224,'Region 15'!$S$2:$S$500,$A224)</f>
        <v>#DIV/0!</v>
      </c>
      <c r="Q224" t="str">
        <f t="shared" si="153"/>
        <v>Wood</v>
      </c>
      <c r="R224" t="str">
        <f t="shared" si="154"/>
        <v>Detached</v>
      </c>
      <c r="S224">
        <f t="shared" si="155"/>
        <v>15</v>
      </c>
      <c r="T224" t="str">
        <f t="shared" ca="1" si="136"/>
        <v>-</v>
      </c>
      <c r="U224" t="str">
        <f t="shared" ca="1" si="137"/>
        <v>-</v>
      </c>
      <c r="V224" t="str">
        <f t="shared" ca="1" si="138"/>
        <v>-</v>
      </c>
      <c r="W224" t="str">
        <f t="shared" ca="1" si="139"/>
        <v>-</v>
      </c>
      <c r="X224" t="str">
        <f t="shared" ca="1" si="140"/>
        <v>-</v>
      </c>
      <c r="Y224" t="str">
        <f t="shared" ca="1" si="141"/>
        <v>-</v>
      </c>
      <c r="Z224" t="str">
        <f t="shared" ca="1" si="142"/>
        <v>-</v>
      </c>
      <c r="AA224" t="str">
        <f t="shared" ca="1" si="143"/>
        <v>-</v>
      </c>
      <c r="AB224" t="str">
        <f t="shared" ca="1" si="144"/>
        <v>-</v>
      </c>
      <c r="AC224" t="str">
        <f t="shared" ca="1" si="145"/>
        <v>-</v>
      </c>
    </row>
    <row r="225" spans="1:29" x14ac:dyDescent="0.3">
      <c r="A225" t="s">
        <v>67</v>
      </c>
      <c r="B225" t="str">
        <f t="shared" ref="B225:D225" si="176">B121</f>
        <v>Detached</v>
      </c>
      <c r="C225">
        <f t="shared" si="176"/>
        <v>16</v>
      </c>
      <c r="D225">
        <f t="shared" si="176"/>
        <v>1</v>
      </c>
      <c r="E225" t="e">
        <f ca="1">AVERAGEIFS('Region 16'!$W$2:$W$500,'Region 16'!$A$2:$A$500,E$1,'Region 16'!$X$2:$X$500,$D225,'Region 16'!$S$2:$S$500,$A225)</f>
        <v>#DIV/0!</v>
      </c>
      <c r="F225" t="e">
        <f ca="1">AVERAGEIFS('Region 16'!$W$2:$W$500,'Region 16'!$A$2:$A$500,F$1,'Region 16'!$X$2:$X$500,$D225,'Region 16'!$S$2:$S$500,$A225)</f>
        <v>#DIV/0!</v>
      </c>
      <c r="G225" t="e">
        <f ca="1">AVERAGEIFS('Region 16'!$W$2:$W$500,'Region 16'!$A$2:$A$500,G$1,'Region 16'!$X$2:$X$500,$D225,'Region 16'!$S$2:$S$500,$A225)</f>
        <v>#DIV/0!</v>
      </c>
      <c r="H225" t="e">
        <f ca="1">AVERAGEIFS('Region 16'!$W$2:$W$500,'Region 16'!$A$2:$A$500,H$1,'Region 16'!$X$2:$X$500,$D225,'Region 16'!$S$2:$S$500,$A225)</f>
        <v>#DIV/0!</v>
      </c>
      <c r="I225" t="e">
        <f ca="1">AVERAGEIFS('Region 16'!$W$2:$W$500,'Region 16'!$A$2:$A$500,I$1,'Region 16'!$X$2:$X$500,$D225,'Region 16'!$S$2:$S$500,$A225)</f>
        <v>#DIV/0!</v>
      </c>
      <c r="J225" t="e">
        <f ca="1">AVERAGEIFS('Region 16'!$W$2:$W$500,'Region 16'!$A$2:$A$500,J$1,'Region 16'!$X$2:$X$500,$D225,'Region 16'!$S$2:$S$500,$A225)</f>
        <v>#DIV/0!</v>
      </c>
      <c r="K225" t="e">
        <f ca="1">AVERAGEIFS('Region 16'!$W$2:$W$500,'Region 16'!$A$2:$A$500,K$1,'Region 16'!$X$2:$X$500,$D225,'Region 16'!$S$2:$S$500,$A225)</f>
        <v>#DIV/0!</v>
      </c>
      <c r="L225" t="e">
        <f ca="1">AVERAGEIFS('Region 16'!$W$2:$W$500,'Region 16'!$A$2:$A$500,L$1,'Region 16'!$X$2:$X$500,$D225,'Region 16'!$S$2:$S$500,$A225)</f>
        <v>#DIV/0!</v>
      </c>
      <c r="M225" t="e">
        <f ca="1">AVERAGEIFS('Region 16'!$W$2:$W$500,'Region 16'!$A$2:$A$500,M$1,'Region 16'!$X$2:$X$500,$D225,'Region 16'!$S$2:$S$500,$A225)</f>
        <v>#DIV/0!</v>
      </c>
      <c r="N225" t="e">
        <f ca="1">AVERAGEIFS('Region 16'!$W$2:$W$500,'Region 16'!$A$2:$A$500,N$1,'Region 16'!$X$2:$X$500,$D225,'Region 16'!$S$2:$S$500,$A225)</f>
        <v>#DIV/0!</v>
      </c>
      <c r="Q225" t="str">
        <f t="shared" si="153"/>
        <v>Wood</v>
      </c>
      <c r="R225" t="str">
        <f t="shared" si="154"/>
        <v>Detached</v>
      </c>
      <c r="S225">
        <f t="shared" si="155"/>
        <v>16</v>
      </c>
      <c r="T225" t="str">
        <f t="shared" ca="1" si="136"/>
        <v>-</v>
      </c>
      <c r="U225" t="str">
        <f t="shared" ca="1" si="137"/>
        <v>-</v>
      </c>
      <c r="V225" t="str">
        <f t="shared" ca="1" si="138"/>
        <v>-</v>
      </c>
      <c r="W225" t="str">
        <f t="shared" ca="1" si="139"/>
        <v>-</v>
      </c>
      <c r="X225" t="str">
        <f t="shared" ca="1" si="140"/>
        <v>-</v>
      </c>
      <c r="Y225" t="str">
        <f t="shared" ca="1" si="141"/>
        <v>-</v>
      </c>
      <c r="Z225" t="str">
        <f t="shared" ca="1" si="142"/>
        <v>-</v>
      </c>
      <c r="AA225" t="str">
        <f t="shared" ca="1" si="143"/>
        <v>-</v>
      </c>
      <c r="AB225" t="str">
        <f t="shared" ca="1" si="144"/>
        <v>-</v>
      </c>
      <c r="AC225" t="str">
        <f t="shared" ca="1" si="145"/>
        <v>-</v>
      </c>
    </row>
    <row r="226" spans="1:29" x14ac:dyDescent="0.3">
      <c r="A226" t="s">
        <v>67</v>
      </c>
      <c r="B226" t="str">
        <f t="shared" ref="B226:D226" si="177">B122</f>
        <v>Detached</v>
      </c>
      <c r="C226">
        <f t="shared" si="177"/>
        <v>17</v>
      </c>
      <c r="D226">
        <f t="shared" si="177"/>
        <v>1</v>
      </c>
      <c r="E226" t="e">
        <f>AVERAGEIFS('Region 17'!$W$2:$W$498,'Region 17'!$A$2:$A$498,E$1,'Region 17'!$X$2:$X$498,$D226,'Region 17'!$S$2:$S$498,$A226)</f>
        <v>#DIV/0!</v>
      </c>
      <c r="F226">
        <f>AVERAGEIFS('Region 17'!$W$2:$W$498,'Region 17'!$A$2:$A$498,F$1,'Region 17'!$X$2:$X$498,$D226,'Region 17'!$S$2:$S$498,$A226)</f>
        <v>11.882505974528843</v>
      </c>
      <c r="G226" t="e">
        <f>AVERAGEIFS('Region 17'!$W$2:$W$498,'Region 17'!$A$2:$A$498,G$1,'Region 17'!$X$2:$X$498,$D226,'Region 17'!$S$2:$S$498,$A226)</f>
        <v>#DIV/0!</v>
      </c>
      <c r="H226" t="e">
        <f>AVERAGEIFS('Region 17'!$W$2:$W$498,'Region 17'!$A$2:$A$498,H$1,'Region 17'!$X$2:$X$498,$D226,'Region 17'!$S$2:$S$498,$A226)</f>
        <v>#DIV/0!</v>
      </c>
      <c r="I226" t="e">
        <f>AVERAGEIFS('Region 17'!$W$2:$W$498,'Region 17'!$A$2:$A$498,I$1,'Region 17'!$X$2:$X$498,$D226,'Region 17'!$S$2:$S$498,$A226)</f>
        <v>#DIV/0!</v>
      </c>
      <c r="J226" t="e">
        <f>AVERAGEIFS('Region 17'!$W$2:$W$498,'Region 17'!$A$2:$A$498,J$1,'Region 17'!$X$2:$X$498,$D226,'Region 17'!$S$2:$S$498,$A226)</f>
        <v>#DIV/0!</v>
      </c>
      <c r="K226" t="e">
        <f>AVERAGEIFS('Region 17'!$W$2:$W$498,'Region 17'!$A$2:$A$498,K$1,'Region 17'!$X$2:$X$498,$D226,'Region 17'!$S$2:$S$498,$A226)</f>
        <v>#DIV/0!</v>
      </c>
      <c r="L226" t="e">
        <f>AVERAGEIFS('Region 17'!$W$2:$W$498,'Region 17'!$A$2:$A$498,L$1,'Region 17'!$X$2:$X$498,$D226,'Region 17'!$S$2:$S$498,$A226)</f>
        <v>#DIV/0!</v>
      </c>
      <c r="M226" t="e">
        <f>AVERAGEIFS('Region 17'!$W$2:$W$498,'Region 17'!$A$2:$A$498,M$1,'Region 17'!$X$2:$X$498,$D226,'Region 17'!$S$2:$S$498,$A226)</f>
        <v>#DIV/0!</v>
      </c>
      <c r="N226" t="e">
        <f>AVERAGEIFS('Region 17'!$W$2:$W$498,'Region 17'!$A$2:$A$498,N$1,'Region 17'!$X$2:$X$498,$D226,'Region 17'!$S$2:$S$498,$A226)</f>
        <v>#DIV/0!</v>
      </c>
      <c r="Q226" t="str">
        <f t="shared" si="153"/>
        <v>Wood</v>
      </c>
      <c r="R226" t="str">
        <f t="shared" si="154"/>
        <v>Detached</v>
      </c>
      <c r="S226">
        <f t="shared" si="155"/>
        <v>17</v>
      </c>
      <c r="T226" t="str">
        <f t="shared" si="136"/>
        <v>-</v>
      </c>
      <c r="U226">
        <f t="shared" si="137"/>
        <v>11.882505974528843</v>
      </c>
      <c r="V226" t="str">
        <f t="shared" si="138"/>
        <v>-</v>
      </c>
      <c r="W226" t="str">
        <f t="shared" si="139"/>
        <v>-</v>
      </c>
      <c r="X226" t="str">
        <f t="shared" si="140"/>
        <v>-</v>
      </c>
      <c r="Y226" t="str">
        <f t="shared" si="141"/>
        <v>-</v>
      </c>
      <c r="Z226" t="str">
        <f t="shared" si="142"/>
        <v>-</v>
      </c>
      <c r="AA226" t="str">
        <f t="shared" si="143"/>
        <v>-</v>
      </c>
      <c r="AB226" t="str">
        <f t="shared" si="144"/>
        <v>-</v>
      </c>
      <c r="AC226" t="str">
        <f t="shared" si="145"/>
        <v>-</v>
      </c>
    </row>
    <row r="227" spans="1:29" x14ac:dyDescent="0.3">
      <c r="A227" t="s">
        <v>67</v>
      </c>
      <c r="B227" t="str">
        <f t="shared" ref="B227:D227" si="178">B123</f>
        <v>Detached</v>
      </c>
      <c r="C227">
        <f t="shared" si="178"/>
        <v>18</v>
      </c>
      <c r="D227">
        <f t="shared" si="178"/>
        <v>1</v>
      </c>
      <c r="E227" t="e">
        <f>AVERAGEIFS('Region 18'!$W$2:$W$468,'Region 18'!$A$2:$A$468,E$1,'Region 18'!$X$2:$X$468,$D227,'Region 18'!$S$2:$S$468,$A227)</f>
        <v>#DIV/0!</v>
      </c>
      <c r="F227" t="e">
        <f>AVERAGEIFS('Region 18'!$W$2:$W$468,'Region 18'!$A$2:$A$468,F$1,'Region 18'!$X$2:$X$468,$D227,'Region 18'!$S$2:$S$468,$A227)</f>
        <v>#DIV/0!</v>
      </c>
      <c r="G227">
        <f>AVERAGEIFS('Region 18'!$W$2:$W$468,'Region 18'!$A$2:$A$468,G$1,'Region 18'!$X$2:$X$468,$D227,'Region 18'!$S$2:$S$468,$A227)</f>
        <v>23.424657534246574</v>
      </c>
      <c r="H227" t="e">
        <f>AVERAGEIFS('Region 18'!$W$2:$W$468,'Region 18'!$A$2:$A$468,H$1,'Region 18'!$X$2:$X$468,$D227,'Region 18'!$S$2:$S$468,$A227)</f>
        <v>#DIV/0!</v>
      </c>
      <c r="I227">
        <f>AVERAGEIFS('Region 18'!$W$2:$W$468,'Region 18'!$A$2:$A$468,I$1,'Region 18'!$X$2:$X$468,$D227,'Region 18'!$S$2:$S$468,$A227)</f>
        <v>5.8055555555555554</v>
      </c>
      <c r="J227">
        <f>AVERAGEIFS('Region 18'!$W$2:$W$468,'Region 18'!$A$2:$A$468,J$1,'Region 18'!$X$2:$X$468,$D227,'Region 18'!$S$2:$S$468,$A227)</f>
        <v>17</v>
      </c>
      <c r="K227" t="e">
        <f>AVERAGEIFS('Region 18'!$W$2:$W$468,'Region 18'!$A$2:$A$468,K$1,'Region 18'!$X$2:$X$468,$D227,'Region 18'!$S$2:$S$468,$A227)</f>
        <v>#DIV/0!</v>
      </c>
      <c r="L227" t="e">
        <f>AVERAGEIFS('Region 18'!$W$2:$W$468,'Region 18'!$A$2:$A$468,L$1,'Region 18'!$X$2:$X$468,$D227,'Region 18'!$S$2:$S$468,$A227)</f>
        <v>#DIV/0!</v>
      </c>
      <c r="M227" t="e">
        <f>AVERAGEIFS('Region 18'!$W$2:$W$468,'Region 18'!$A$2:$A$468,M$1,'Region 18'!$X$2:$X$468,$D227,'Region 18'!$S$2:$S$468,$A227)</f>
        <v>#DIV/0!</v>
      </c>
      <c r="N227" t="e">
        <f>AVERAGEIFS('Region 18'!$W$2:$W$468,'Region 18'!$A$2:$A$468,N$1,'Region 18'!$X$2:$X$468,$D227,'Region 18'!$S$2:$S$468,$A227)</f>
        <v>#DIV/0!</v>
      </c>
      <c r="Q227" t="str">
        <f t="shared" si="153"/>
        <v>Wood</v>
      </c>
      <c r="R227" t="str">
        <f t="shared" si="154"/>
        <v>Detached</v>
      </c>
      <c r="S227">
        <f t="shared" si="155"/>
        <v>18</v>
      </c>
      <c r="T227" t="str">
        <f t="shared" si="136"/>
        <v>-</v>
      </c>
      <c r="U227" t="str">
        <f t="shared" si="137"/>
        <v>-</v>
      </c>
      <c r="V227">
        <f t="shared" si="138"/>
        <v>23.424657534246574</v>
      </c>
      <c r="W227" t="str">
        <f t="shared" si="139"/>
        <v>-</v>
      </c>
      <c r="X227">
        <f t="shared" si="140"/>
        <v>5.8055555555555554</v>
      </c>
      <c r="Y227">
        <f t="shared" si="141"/>
        <v>17</v>
      </c>
      <c r="Z227" t="str">
        <f t="shared" si="142"/>
        <v>-</v>
      </c>
      <c r="AA227" t="str">
        <f t="shared" si="143"/>
        <v>-</v>
      </c>
      <c r="AB227" t="str">
        <f t="shared" si="144"/>
        <v>-</v>
      </c>
      <c r="AC227" t="str">
        <f t="shared" si="145"/>
        <v>-</v>
      </c>
    </row>
    <row r="228" spans="1:29" x14ac:dyDescent="0.3">
      <c r="A228" t="s">
        <v>67</v>
      </c>
      <c r="B228" t="str">
        <f t="shared" ref="B228:D228" si="179">B124</f>
        <v>Detached</v>
      </c>
      <c r="C228">
        <f t="shared" si="179"/>
        <v>19</v>
      </c>
      <c r="D228">
        <f t="shared" si="179"/>
        <v>1</v>
      </c>
      <c r="E228" t="e">
        <f>AVERAGEIFS('Region 19'!$W$2:$W$494,'Region 19'!$A$2:$A$494,E$1,'Region 19'!$X$2:$X$494,$D228,'Region 19'!$S$2:$S$494,$A228)</f>
        <v>#DIV/0!</v>
      </c>
      <c r="F228" t="e">
        <f>AVERAGEIFS('Region 19'!$W$2:$W$494,'Region 19'!$A$2:$A$494,F$1,'Region 19'!$X$2:$X$494,$D228,'Region 19'!$S$2:$S$494,$A228)</f>
        <v>#DIV/0!</v>
      </c>
      <c r="G228" t="e">
        <f>AVERAGEIFS('Region 19'!$W$2:$W$494,'Region 19'!$A$2:$A$494,G$1,'Region 19'!$X$2:$X$494,$D228,'Region 19'!$S$2:$S$494,$A228)</f>
        <v>#DIV/0!</v>
      </c>
      <c r="H228" t="e">
        <f>AVERAGEIFS('Region 19'!$W$2:$W$494,'Region 19'!$A$2:$A$494,H$1,'Region 19'!$X$2:$X$494,$D228,'Region 19'!$S$2:$S$494,$A228)</f>
        <v>#DIV/0!</v>
      </c>
      <c r="I228" t="e">
        <f>AVERAGEIFS('Region 19'!$W$2:$W$494,'Region 19'!$A$2:$A$494,I$1,'Region 19'!$X$2:$X$494,$D228,'Region 19'!$S$2:$S$494,$A228)</f>
        <v>#DIV/0!</v>
      </c>
      <c r="J228" t="e">
        <f>AVERAGEIFS('Region 19'!$W$2:$W$494,'Region 19'!$A$2:$A$494,J$1,'Region 19'!$X$2:$X$494,$D228,'Region 19'!$S$2:$S$494,$A228)</f>
        <v>#DIV/0!</v>
      </c>
      <c r="K228" t="e">
        <f>AVERAGEIFS('Region 19'!$W$2:$W$494,'Region 19'!$A$2:$A$494,K$1,'Region 19'!$X$2:$X$494,$D228,'Region 19'!$S$2:$S$494,$A228)</f>
        <v>#DIV/0!</v>
      </c>
      <c r="L228" t="e">
        <f>AVERAGEIFS('Region 19'!$W$2:$W$494,'Region 19'!$A$2:$A$494,L$1,'Region 19'!$X$2:$X$494,$D228,'Region 19'!$S$2:$S$494,$A228)</f>
        <v>#DIV/0!</v>
      </c>
      <c r="M228" t="e">
        <f>AVERAGEIFS('Region 19'!$W$2:$W$494,'Region 19'!$A$2:$A$494,M$1,'Region 19'!$X$2:$X$494,$D228,'Region 19'!$S$2:$S$494,$A228)</f>
        <v>#DIV/0!</v>
      </c>
      <c r="N228" t="e">
        <f>AVERAGEIFS('Region 19'!$W$2:$W$494,'Region 19'!$A$2:$A$494,N$1,'Region 19'!$X$2:$X$494,$D228,'Region 19'!$S$2:$S$494,$A228)</f>
        <v>#DIV/0!</v>
      </c>
      <c r="Q228" t="str">
        <f t="shared" si="153"/>
        <v>Wood</v>
      </c>
      <c r="R228" t="str">
        <f t="shared" si="154"/>
        <v>Detached</v>
      </c>
      <c r="S228">
        <f t="shared" si="155"/>
        <v>19</v>
      </c>
      <c r="T228" t="str">
        <f t="shared" si="136"/>
        <v>-</v>
      </c>
      <c r="U228" t="str">
        <f t="shared" si="137"/>
        <v>-</v>
      </c>
      <c r="V228" t="str">
        <f t="shared" si="138"/>
        <v>-</v>
      </c>
      <c r="W228" t="str">
        <f t="shared" si="139"/>
        <v>-</v>
      </c>
      <c r="X228" t="str">
        <f t="shared" si="140"/>
        <v>-</v>
      </c>
      <c r="Y228" t="str">
        <f t="shared" si="141"/>
        <v>-</v>
      </c>
      <c r="Z228" t="str">
        <f t="shared" si="142"/>
        <v>-</v>
      </c>
      <c r="AA228" t="str">
        <f t="shared" si="143"/>
        <v>-</v>
      </c>
      <c r="AB228" t="str">
        <f t="shared" si="144"/>
        <v>-</v>
      </c>
      <c r="AC228" t="str">
        <f t="shared" si="145"/>
        <v>-</v>
      </c>
    </row>
    <row r="229" spans="1:29" x14ac:dyDescent="0.3">
      <c r="A229" t="s">
        <v>67</v>
      </c>
      <c r="B229" t="str">
        <f t="shared" ref="B229:D229" si="180">B125</f>
        <v>Detached</v>
      </c>
      <c r="C229">
        <f t="shared" si="180"/>
        <v>20</v>
      </c>
      <c r="D229">
        <f t="shared" si="180"/>
        <v>1</v>
      </c>
      <c r="E229" t="e">
        <f>AVERAGEIFS('Region 20'!$W$2:$W$269,'Region 20'!$A$2:$A$269,E$1,'Region 20'!$X$2:$X$269,$D229,'Region 20'!$S$2:$S$269,$A229)</f>
        <v>#DIV/0!</v>
      </c>
      <c r="F229">
        <f>AVERAGEIFS('Region 20'!$W$2:$W$269,'Region 20'!$A$2:$A$269,F$1,'Region 20'!$X$2:$X$269,$D229,'Region 20'!$S$2:$S$269,$A229)</f>
        <v>37.9</v>
      </c>
      <c r="G229" t="e">
        <f>AVERAGEIFS('Region 20'!$W$2:$W$269,'Region 20'!$A$2:$A$269,G$1,'Region 20'!$X$2:$X$269,$D229,'Region 20'!$S$2:$S$269,$A229)</f>
        <v>#DIV/0!</v>
      </c>
      <c r="H229" t="e">
        <f>AVERAGEIFS('Region 20'!$W$2:$W$269,'Region 20'!$A$2:$A$269,H$1,'Region 20'!$X$2:$X$269,$D229,'Region 20'!$S$2:$S$269,$A229)</f>
        <v>#DIV/0!</v>
      </c>
      <c r="I229">
        <f>AVERAGEIFS('Region 20'!$W$2:$W$269,'Region 20'!$A$2:$A$269,I$1,'Region 20'!$X$2:$X$269,$D229,'Region 20'!$S$2:$S$269,$A229)</f>
        <v>27.172781189314016</v>
      </c>
      <c r="J229" t="e">
        <f>AVERAGEIFS('Region 20'!$W$2:$W$269,'Region 20'!$A$2:$A$269,J$1,'Region 20'!$X$2:$X$269,$D229,'Region 20'!$S$2:$S$269,$A229)</f>
        <v>#DIV/0!</v>
      </c>
      <c r="K229" t="e">
        <f>AVERAGEIFS('Region 20'!$W$2:$W$269,'Region 20'!$A$2:$A$269,K$1,'Region 20'!$X$2:$X$269,$D229,'Region 20'!$S$2:$S$269,$A229)</f>
        <v>#DIV/0!</v>
      </c>
      <c r="L229" t="e">
        <f>AVERAGEIFS('Region 20'!$W$2:$W$269,'Region 20'!$A$2:$A$269,L$1,'Region 20'!$X$2:$X$269,$D229,'Region 20'!$S$2:$S$269,$A229)</f>
        <v>#DIV/0!</v>
      </c>
      <c r="M229" t="e">
        <f>AVERAGEIFS('Region 20'!$W$2:$W$269,'Region 20'!$A$2:$A$269,M$1,'Region 20'!$X$2:$X$269,$D229,'Region 20'!$S$2:$S$269,$A229)</f>
        <v>#DIV/0!</v>
      </c>
      <c r="N229" t="e">
        <f>AVERAGEIFS('Region 20'!$W$2:$W$269,'Region 20'!$A$2:$A$269,N$1,'Region 20'!$X$2:$X$269,$D229,'Region 20'!$S$2:$S$269,$A229)</f>
        <v>#DIV/0!</v>
      </c>
      <c r="Q229" t="str">
        <f t="shared" si="153"/>
        <v>Wood</v>
      </c>
      <c r="R229" t="str">
        <f t="shared" si="154"/>
        <v>Detached</v>
      </c>
      <c r="S229">
        <f t="shared" si="155"/>
        <v>20</v>
      </c>
      <c r="T229" t="str">
        <f t="shared" si="136"/>
        <v>-</v>
      </c>
      <c r="U229">
        <f t="shared" si="137"/>
        <v>37.9</v>
      </c>
      <c r="V229" t="str">
        <f t="shared" si="138"/>
        <v>-</v>
      </c>
      <c r="W229" t="str">
        <f t="shared" si="139"/>
        <v>-</v>
      </c>
      <c r="X229">
        <f t="shared" si="140"/>
        <v>27.172781189314016</v>
      </c>
      <c r="Y229" t="str">
        <f t="shared" si="141"/>
        <v>-</v>
      </c>
      <c r="Z229" t="str">
        <f t="shared" si="142"/>
        <v>-</v>
      </c>
      <c r="AA229" t="str">
        <f t="shared" si="143"/>
        <v>-</v>
      </c>
      <c r="AB229" t="str">
        <f t="shared" si="144"/>
        <v>-</v>
      </c>
      <c r="AC229" t="str">
        <f t="shared" si="145"/>
        <v>-</v>
      </c>
    </row>
    <row r="230" spans="1:29" x14ac:dyDescent="0.3">
      <c r="A230" t="s">
        <v>67</v>
      </c>
      <c r="B230" t="str">
        <f t="shared" ref="B230:D230" si="181">B126</f>
        <v>Detached</v>
      </c>
      <c r="C230">
        <f t="shared" si="181"/>
        <v>21</v>
      </c>
      <c r="D230">
        <f t="shared" si="181"/>
        <v>1</v>
      </c>
      <c r="E230" t="e">
        <f>AVERAGEIFS('Region 21'!$W$2:$W$497,'Region 21'!$A$2:$A$497,E$1,'Region 21'!$X$2:$X$497,$D230,'Region 21'!$S$2:$S$497,$A230)</f>
        <v>#DIV/0!</v>
      </c>
      <c r="F230" t="e">
        <f>AVERAGEIFS('Region 21'!$W$2:$W$497,'Region 21'!$A$2:$A$497,F$1,'Region 21'!$X$2:$X$497,$D230,'Region 21'!$S$2:$S$497,$A230)</f>
        <v>#DIV/0!</v>
      </c>
      <c r="G230" t="e">
        <f>AVERAGEIFS('Region 21'!$W$2:$W$497,'Region 21'!$A$2:$A$497,G$1,'Region 21'!$X$2:$X$497,$D230,'Region 21'!$S$2:$S$497,$A230)</f>
        <v>#DIV/0!</v>
      </c>
      <c r="H230" t="e">
        <f>AVERAGEIFS('Region 21'!$W$2:$W$497,'Region 21'!$A$2:$A$497,H$1,'Region 21'!$X$2:$X$497,$D230,'Region 21'!$S$2:$S$497,$A230)</f>
        <v>#DIV/0!</v>
      </c>
      <c r="I230" t="e">
        <f>AVERAGEIFS('Region 21'!$W$2:$W$497,'Region 21'!$A$2:$A$497,I$1,'Region 21'!$X$2:$X$497,$D230,'Region 21'!$S$2:$S$497,$A230)</f>
        <v>#DIV/0!</v>
      </c>
      <c r="J230" t="e">
        <f>AVERAGEIFS('Region 21'!$W$2:$W$497,'Region 21'!$A$2:$A$497,J$1,'Region 21'!$X$2:$X$497,$D230,'Region 21'!$S$2:$S$497,$A230)</f>
        <v>#DIV/0!</v>
      </c>
      <c r="K230" t="e">
        <f>AVERAGEIFS('Region 21'!$W$2:$W$497,'Region 21'!$A$2:$A$497,K$1,'Region 21'!$X$2:$X$497,$D230,'Region 21'!$S$2:$S$497,$A230)</f>
        <v>#DIV/0!</v>
      </c>
      <c r="L230" t="e">
        <f>AVERAGEIFS('Region 21'!$W$2:$W$497,'Region 21'!$A$2:$A$497,L$1,'Region 21'!$X$2:$X$497,$D230,'Region 21'!$S$2:$S$497,$A230)</f>
        <v>#DIV/0!</v>
      </c>
      <c r="M230" t="e">
        <f>AVERAGEIFS('Region 21'!$W$2:$W$497,'Region 21'!$A$2:$A$497,M$1,'Region 21'!$X$2:$X$497,$D230,'Region 21'!$S$2:$S$497,$A230)</f>
        <v>#DIV/0!</v>
      </c>
      <c r="N230" t="e">
        <f>AVERAGEIFS('Region 21'!$W$2:$W$497,'Region 21'!$A$2:$A$497,N$1,'Region 21'!$X$2:$X$497,$D230,'Region 21'!$S$2:$S$497,$A230)</f>
        <v>#DIV/0!</v>
      </c>
      <c r="Q230" t="str">
        <f t="shared" si="153"/>
        <v>Wood</v>
      </c>
      <c r="R230" t="str">
        <f t="shared" si="154"/>
        <v>Detached</v>
      </c>
      <c r="S230">
        <f t="shared" si="155"/>
        <v>21</v>
      </c>
      <c r="T230" t="str">
        <f t="shared" si="136"/>
        <v>-</v>
      </c>
      <c r="U230" t="str">
        <f t="shared" si="137"/>
        <v>-</v>
      </c>
      <c r="V230" t="str">
        <f t="shared" si="138"/>
        <v>-</v>
      </c>
      <c r="W230" t="str">
        <f t="shared" si="139"/>
        <v>-</v>
      </c>
      <c r="X230" t="str">
        <f t="shared" si="140"/>
        <v>-</v>
      </c>
      <c r="Y230" t="str">
        <f t="shared" si="141"/>
        <v>-</v>
      </c>
      <c r="Z230" t="str">
        <f t="shared" si="142"/>
        <v>-</v>
      </c>
      <c r="AA230" t="str">
        <f t="shared" si="143"/>
        <v>-</v>
      </c>
      <c r="AB230" t="str">
        <f t="shared" si="144"/>
        <v>-</v>
      </c>
      <c r="AC230" t="str">
        <f t="shared" si="145"/>
        <v>-</v>
      </c>
    </row>
    <row r="231" spans="1:29" x14ac:dyDescent="0.3">
      <c r="A231" t="s">
        <v>67</v>
      </c>
      <c r="B231" t="str">
        <f t="shared" ref="B231:D231" si="182">B127</f>
        <v>Detached</v>
      </c>
      <c r="C231">
        <f t="shared" si="182"/>
        <v>22</v>
      </c>
      <c r="D231">
        <f t="shared" si="182"/>
        <v>1</v>
      </c>
      <c r="E231" t="e">
        <f>AVERAGEIFS('Region 22'!$W$2:$W$510,'Region 22'!$A$2:$A$510,E$1,'Region 22'!$X$2:$X$510,$D231,'Region 22'!$S$2:$S$510,$A231)</f>
        <v>#DIV/0!</v>
      </c>
      <c r="F231">
        <f>AVERAGEIFS('Region 22'!$W$2:$W$510,'Region 22'!$A$2:$A$510,F$1,'Region 22'!$X$2:$X$510,$D231,'Region 22'!$S$2:$S$510,$A231)</f>
        <v>31.548275862068966</v>
      </c>
      <c r="G231">
        <f>AVERAGEIFS('Region 22'!$W$2:$W$510,'Region 22'!$A$2:$A$510,G$1,'Region 22'!$X$2:$X$510,$D231,'Region 22'!$S$2:$S$510,$A231)</f>
        <v>126.05000000000001</v>
      </c>
      <c r="H231" t="e">
        <f>AVERAGEIFS('Region 22'!$W$2:$W$510,'Region 22'!$A$2:$A$510,H$1,'Region 22'!$X$2:$X$510,$D231,'Region 22'!$S$2:$S$510,$A231)</f>
        <v>#DIV/0!</v>
      </c>
      <c r="I231" t="e">
        <f>AVERAGEIFS('Region 22'!$W$2:$W$510,'Region 22'!$A$2:$A$510,I$1,'Region 22'!$X$2:$X$510,$D231,'Region 22'!$S$2:$S$510,$A231)</f>
        <v>#DIV/0!</v>
      </c>
      <c r="J231" t="e">
        <f>AVERAGEIFS('Region 22'!$W$2:$W$510,'Region 22'!$A$2:$A$510,J$1,'Region 22'!$X$2:$X$510,$D231,'Region 22'!$S$2:$S$510,$A231)</f>
        <v>#DIV/0!</v>
      </c>
      <c r="K231" t="e">
        <f>AVERAGEIFS('Region 22'!$W$2:$W$510,'Region 22'!$A$2:$A$510,K$1,'Region 22'!$X$2:$X$510,$D231,'Region 22'!$S$2:$S$510,$A231)</f>
        <v>#DIV/0!</v>
      </c>
      <c r="L231" t="e">
        <f>AVERAGEIFS('Region 22'!$W$2:$W$510,'Region 22'!$A$2:$A$510,L$1,'Region 22'!$X$2:$X$510,$D231,'Region 22'!$S$2:$S$510,$A231)</f>
        <v>#DIV/0!</v>
      </c>
      <c r="M231" t="e">
        <f>AVERAGEIFS('Region 22'!$W$2:$W$510,'Region 22'!$A$2:$A$510,M$1,'Region 22'!$X$2:$X$510,$D231,'Region 22'!$S$2:$S$510,$A231)</f>
        <v>#DIV/0!</v>
      </c>
      <c r="N231" t="e">
        <f>AVERAGEIFS('Region 22'!$W$2:$W$510,'Region 22'!$A$2:$A$510,N$1,'Region 22'!$X$2:$X$510,$D231,'Region 22'!$S$2:$S$510,$A231)</f>
        <v>#DIV/0!</v>
      </c>
      <c r="Q231" t="str">
        <f t="shared" si="153"/>
        <v>Wood</v>
      </c>
      <c r="R231" t="str">
        <f t="shared" si="154"/>
        <v>Detached</v>
      </c>
      <c r="S231">
        <f t="shared" si="155"/>
        <v>22</v>
      </c>
      <c r="T231" t="str">
        <f t="shared" si="136"/>
        <v>-</v>
      </c>
      <c r="U231">
        <f t="shared" si="137"/>
        <v>31.548275862068966</v>
      </c>
      <c r="V231">
        <f t="shared" si="138"/>
        <v>126.05000000000001</v>
      </c>
      <c r="W231" t="str">
        <f t="shared" si="139"/>
        <v>-</v>
      </c>
      <c r="X231" t="str">
        <f t="shared" si="140"/>
        <v>-</v>
      </c>
      <c r="Y231" t="str">
        <f t="shared" si="141"/>
        <v>-</v>
      </c>
      <c r="Z231" t="str">
        <f t="shared" si="142"/>
        <v>-</v>
      </c>
      <c r="AA231" t="str">
        <f t="shared" si="143"/>
        <v>-</v>
      </c>
      <c r="AB231" t="str">
        <f t="shared" si="144"/>
        <v>-</v>
      </c>
      <c r="AC231" t="str">
        <f t="shared" si="145"/>
        <v>-</v>
      </c>
    </row>
    <row r="232" spans="1:29" x14ac:dyDescent="0.3">
      <c r="A232" t="s">
        <v>67</v>
      </c>
      <c r="B232" t="str">
        <f t="shared" ref="B232:D232" si="183">B128</f>
        <v>Detached</v>
      </c>
      <c r="C232">
        <f t="shared" si="183"/>
        <v>23</v>
      </c>
      <c r="D232">
        <f t="shared" si="183"/>
        <v>1</v>
      </c>
      <c r="E232" t="e">
        <f>AVERAGEIFS('Region 23'!$W$2:$W$468,'Region 23'!$A$2:$A$468,E$1,'Region 23'!$X$2:$X$468,$D232,'Region 23'!$S$2:$S$468,$A232)</f>
        <v>#DIV/0!</v>
      </c>
      <c r="F232">
        <f>AVERAGEIFS('Region 23'!$W$2:$W$468,'Region 23'!$A$2:$A$468,F$1,'Region 23'!$X$2:$X$468,$D232,'Region 23'!$S$2:$S$468,$A232)</f>
        <v>70</v>
      </c>
      <c r="G232" t="e">
        <f>AVERAGEIFS('Region 23'!$W$2:$W$468,'Region 23'!$A$2:$A$468,G$1,'Region 23'!$X$2:$X$468,$D232,'Region 23'!$S$2:$S$468,$A232)</f>
        <v>#DIV/0!</v>
      </c>
      <c r="H232">
        <f>AVERAGEIFS('Region 23'!$W$2:$W$468,'Region 23'!$A$2:$A$468,H$1,'Region 23'!$X$2:$X$468,$D232,'Region 23'!$S$2:$S$468,$A232)</f>
        <v>88</v>
      </c>
      <c r="I232" t="e">
        <f>AVERAGEIFS('Region 23'!$W$2:$W$468,'Region 23'!$A$2:$A$468,I$1,'Region 23'!$X$2:$X$468,$D232,'Region 23'!$S$2:$S$468,$A232)</f>
        <v>#DIV/0!</v>
      </c>
      <c r="J232" t="e">
        <f>AVERAGEIFS('Region 23'!$W$2:$W$468,'Region 23'!$A$2:$A$468,J$1,'Region 23'!$X$2:$X$468,$D232,'Region 23'!$S$2:$S$468,$A232)</f>
        <v>#DIV/0!</v>
      </c>
      <c r="K232" t="e">
        <f>AVERAGEIFS('Region 23'!$W$2:$W$468,'Region 23'!$A$2:$A$468,K$1,'Region 23'!$X$2:$X$468,$D232,'Region 23'!$S$2:$S$468,$A232)</f>
        <v>#DIV/0!</v>
      </c>
      <c r="L232" t="e">
        <f>AVERAGEIFS('Region 23'!$W$2:$W$468,'Region 23'!$A$2:$A$468,L$1,'Region 23'!$X$2:$X$468,$D232,'Region 23'!$S$2:$S$468,$A232)</f>
        <v>#DIV/0!</v>
      </c>
      <c r="M232" t="e">
        <f>AVERAGEIFS('Region 23'!$W$2:$W$468,'Region 23'!$A$2:$A$468,M$1,'Region 23'!$X$2:$X$468,$D232,'Region 23'!$S$2:$S$468,$A232)</f>
        <v>#DIV/0!</v>
      </c>
      <c r="N232" t="e">
        <f>AVERAGEIFS('Region 23'!$W$2:$W$468,'Region 23'!$A$2:$A$468,N$1,'Region 23'!$X$2:$X$468,$D232,'Region 23'!$S$2:$S$468,$A232)</f>
        <v>#DIV/0!</v>
      </c>
      <c r="Q232" t="str">
        <f t="shared" si="153"/>
        <v>Wood</v>
      </c>
      <c r="R232" t="str">
        <f t="shared" si="154"/>
        <v>Detached</v>
      </c>
      <c r="S232">
        <f t="shared" si="155"/>
        <v>23</v>
      </c>
      <c r="T232" t="str">
        <f t="shared" si="136"/>
        <v>-</v>
      </c>
      <c r="U232">
        <f t="shared" si="137"/>
        <v>70</v>
      </c>
      <c r="V232" t="str">
        <f t="shared" si="138"/>
        <v>-</v>
      </c>
      <c r="W232">
        <f t="shared" si="139"/>
        <v>88</v>
      </c>
      <c r="X232" t="str">
        <f t="shared" si="140"/>
        <v>-</v>
      </c>
      <c r="Y232" t="str">
        <f t="shared" si="141"/>
        <v>-</v>
      </c>
      <c r="Z232" t="str">
        <f t="shared" si="142"/>
        <v>-</v>
      </c>
      <c r="AA232" t="str">
        <f t="shared" si="143"/>
        <v>-</v>
      </c>
      <c r="AB232" t="str">
        <f t="shared" si="144"/>
        <v>-</v>
      </c>
      <c r="AC232" t="str">
        <f t="shared" si="145"/>
        <v>-</v>
      </c>
    </row>
    <row r="233" spans="1:29" x14ac:dyDescent="0.3">
      <c r="A233" t="s">
        <v>67</v>
      </c>
      <c r="B233" t="str">
        <f t="shared" ref="B233:D233" si="184">B129</f>
        <v>Detached</v>
      </c>
      <c r="C233">
        <f t="shared" si="184"/>
        <v>24</v>
      </c>
      <c r="D233">
        <f t="shared" si="184"/>
        <v>1</v>
      </c>
      <c r="E233">
        <f>AVERAGEIFS('Region 24'!$W$2:$W$454,'Region 24'!$A$2:$A$454,E$1,'Region 24'!$X$2:$X$454,$D233,'Region 24'!$S$2:$S$454,$A233)</f>
        <v>29.054861111111112</v>
      </c>
      <c r="F233">
        <f>AVERAGEIFS('Region 24'!$W$2:$W$454,'Region 24'!$A$2:$A$454,F$1,'Region 24'!$X$2:$X$454,$D233,'Region 24'!$S$2:$S$454,$A233)</f>
        <v>34.27737727428768</v>
      </c>
      <c r="G233">
        <f>AVERAGEIFS('Region 24'!$W$2:$W$454,'Region 24'!$A$2:$A$454,G$1,'Region 24'!$X$2:$X$454,$D233,'Region 24'!$S$2:$S$454,$A233)</f>
        <v>145.88293650793651</v>
      </c>
      <c r="H233">
        <f>AVERAGEIFS('Region 24'!$W$2:$W$454,'Region 24'!$A$2:$A$454,H$1,'Region 24'!$X$2:$X$454,$D233,'Region 24'!$S$2:$S$454,$A233)</f>
        <v>74.709364908503758</v>
      </c>
      <c r="I233" t="e">
        <f>AVERAGEIFS('Region 24'!$W$2:$W$454,'Region 24'!$A$2:$A$454,I$1,'Region 24'!$X$2:$X$454,$D233,'Region 24'!$S$2:$S$454,$A233)</f>
        <v>#DIV/0!</v>
      </c>
      <c r="J233">
        <f>AVERAGEIFS('Region 24'!$W$2:$W$454,'Region 24'!$A$2:$A$454,J$1,'Region 24'!$X$2:$X$454,$D233,'Region 24'!$S$2:$S$454,$A233)</f>
        <v>75.5859375</v>
      </c>
      <c r="K233" t="e">
        <f>AVERAGEIFS('Region 24'!$W$2:$W$454,'Region 24'!$A$2:$A$454,K$1,'Region 24'!$X$2:$X$454,$D233,'Region 24'!$S$2:$S$454,$A233)</f>
        <v>#DIV/0!</v>
      </c>
      <c r="L233" t="e">
        <f>AVERAGEIFS('Region 24'!$W$2:$W$454,'Region 24'!$A$2:$A$454,L$1,'Region 24'!$X$2:$X$454,$D233,'Region 24'!$S$2:$S$454,$A233)</f>
        <v>#DIV/0!</v>
      </c>
      <c r="M233" t="e">
        <f>AVERAGEIFS('Region 24'!$W$2:$W$454,'Region 24'!$A$2:$A$454,M$1,'Region 24'!$X$2:$X$454,$D233,'Region 24'!$S$2:$S$454,$A233)</f>
        <v>#DIV/0!</v>
      </c>
      <c r="N233" t="e">
        <f>AVERAGEIFS('Region 24'!$W$2:$W$454,'Region 24'!$A$2:$A$454,N$1,'Region 24'!$X$2:$X$454,$D233,'Region 24'!$S$2:$S$454,$A233)</f>
        <v>#DIV/0!</v>
      </c>
      <c r="Q233" t="str">
        <f t="shared" si="153"/>
        <v>Wood</v>
      </c>
      <c r="R233" t="str">
        <f t="shared" si="154"/>
        <v>Detached</v>
      </c>
      <c r="S233">
        <f t="shared" si="155"/>
        <v>24</v>
      </c>
      <c r="T233">
        <f t="shared" si="136"/>
        <v>29.054861111111112</v>
      </c>
      <c r="U233">
        <f t="shared" si="137"/>
        <v>34.27737727428768</v>
      </c>
      <c r="V233">
        <f t="shared" si="138"/>
        <v>145.88293650793651</v>
      </c>
      <c r="W233">
        <f t="shared" si="139"/>
        <v>74.709364908503758</v>
      </c>
      <c r="X233" t="str">
        <f t="shared" si="140"/>
        <v>-</v>
      </c>
      <c r="Y233">
        <f t="shared" si="141"/>
        <v>75.5859375</v>
      </c>
      <c r="Z233" t="str">
        <f t="shared" si="142"/>
        <v>-</v>
      </c>
      <c r="AA233" t="str">
        <f t="shared" si="143"/>
        <v>-</v>
      </c>
      <c r="AB233" t="str">
        <f t="shared" si="144"/>
        <v>-</v>
      </c>
      <c r="AC233" t="str">
        <f t="shared" si="145"/>
        <v>-</v>
      </c>
    </row>
    <row r="234" spans="1:29" x14ac:dyDescent="0.3">
      <c r="A234" t="s">
        <v>67</v>
      </c>
      <c r="B234" t="str">
        <f t="shared" ref="B234:D234" si="185">B130</f>
        <v>Detached</v>
      </c>
      <c r="C234">
        <f t="shared" si="185"/>
        <v>25</v>
      </c>
      <c r="D234">
        <f t="shared" si="185"/>
        <v>1</v>
      </c>
      <c r="E234">
        <f>AVERAGEIFS('Region 25'!$W$2:$W$499,'Region 25'!$A$2:$A$499,E$1,'Region 25'!$X$2:$X$499,$D234,'Region 25'!$S$2:$S$499,$A234)</f>
        <v>34.04</v>
      </c>
      <c r="F234" t="e">
        <f>AVERAGEIFS('Region 25'!$W$2:$W$499,'Region 25'!$A$2:$A$499,F$1,'Region 25'!$X$2:$X$499,$D234,'Region 25'!$S$2:$S$499,$A234)</f>
        <v>#DIV/0!</v>
      </c>
      <c r="G234" t="e">
        <f>AVERAGEIFS('Region 25'!$W$2:$W$499,'Region 25'!$A$2:$A$499,G$1,'Region 25'!$X$2:$X$499,$D234,'Region 25'!$S$2:$S$499,$A234)</f>
        <v>#DIV/0!</v>
      </c>
      <c r="H234" t="e">
        <f>AVERAGEIFS('Region 25'!$W$2:$W$499,'Region 25'!$A$2:$A$499,H$1,'Region 25'!$X$2:$X$499,$D234,'Region 25'!$S$2:$S$499,$A234)</f>
        <v>#DIV/0!</v>
      </c>
      <c r="I234" t="e">
        <f>AVERAGEIFS('Region 25'!$W$2:$W$499,'Region 25'!$A$2:$A$499,I$1,'Region 25'!$X$2:$X$499,$D234,'Region 25'!$S$2:$S$499,$A234)</f>
        <v>#DIV/0!</v>
      </c>
      <c r="J234" t="e">
        <f>AVERAGEIFS('Region 25'!$W$2:$W$499,'Region 25'!$A$2:$A$499,J$1,'Region 25'!$X$2:$X$499,$D234,'Region 25'!$S$2:$S$499,$A234)</f>
        <v>#DIV/0!</v>
      </c>
      <c r="K234" t="e">
        <f>AVERAGEIFS('Region 25'!$W$2:$W$499,'Region 25'!$A$2:$A$499,K$1,'Region 25'!$X$2:$X$499,$D234,'Region 25'!$S$2:$S$499,$A234)</f>
        <v>#DIV/0!</v>
      </c>
      <c r="L234" t="e">
        <f>AVERAGEIFS('Region 25'!$W$2:$W$499,'Region 25'!$A$2:$A$499,L$1,'Region 25'!$X$2:$X$499,$D234,'Region 25'!$S$2:$S$499,$A234)</f>
        <v>#DIV/0!</v>
      </c>
      <c r="M234" t="e">
        <f>AVERAGEIFS('Region 25'!$W$2:$W$499,'Region 25'!$A$2:$A$499,M$1,'Region 25'!$X$2:$X$499,$D234,'Region 25'!$S$2:$S$499,$A234)</f>
        <v>#DIV/0!</v>
      </c>
      <c r="N234" t="e">
        <f>AVERAGEIFS('Region 25'!$W$2:$W$499,'Region 25'!$A$2:$A$499,N$1,'Region 25'!$X$2:$X$499,$D234,'Region 25'!$S$2:$S$499,$A234)</f>
        <v>#DIV/0!</v>
      </c>
      <c r="Q234" t="str">
        <f t="shared" si="153"/>
        <v>Wood</v>
      </c>
      <c r="R234" t="str">
        <f t="shared" si="154"/>
        <v>Detached</v>
      </c>
      <c r="S234">
        <f t="shared" si="155"/>
        <v>25</v>
      </c>
      <c r="T234">
        <f t="shared" si="136"/>
        <v>34.04</v>
      </c>
      <c r="U234" t="str">
        <f t="shared" si="137"/>
        <v>-</v>
      </c>
      <c r="V234" t="str">
        <f t="shared" si="138"/>
        <v>-</v>
      </c>
      <c r="W234" t="str">
        <f t="shared" si="139"/>
        <v>-</v>
      </c>
      <c r="X234" t="str">
        <f t="shared" si="140"/>
        <v>-</v>
      </c>
      <c r="Y234" t="str">
        <f t="shared" si="141"/>
        <v>-</v>
      </c>
      <c r="Z234" t="str">
        <f t="shared" si="142"/>
        <v>-</v>
      </c>
      <c r="AA234" t="str">
        <f t="shared" si="143"/>
        <v>-</v>
      </c>
      <c r="AB234" t="str">
        <f t="shared" si="144"/>
        <v>-</v>
      </c>
      <c r="AC234" t="str">
        <f t="shared" si="145"/>
        <v>-</v>
      </c>
    </row>
    <row r="235" spans="1:29" x14ac:dyDescent="0.3">
      <c r="A235" t="s">
        <v>67</v>
      </c>
      <c r="B235" t="str">
        <f t="shared" ref="B235:D235" si="186">B131</f>
        <v>Detached</v>
      </c>
      <c r="C235">
        <f t="shared" si="186"/>
        <v>26</v>
      </c>
      <c r="D235">
        <f t="shared" si="186"/>
        <v>1</v>
      </c>
      <c r="E235" t="e">
        <f ca="1">AVERAGEIFS('Region 26'!$W$2:$W$500,'Region 26'!$A$2:$A$500,E$1,'Region 26'!$X$2:$X$500,$D235,'Region 26'!$S$2:$S$500,$A235)</f>
        <v>#DIV/0!</v>
      </c>
      <c r="F235" t="e">
        <f ca="1">AVERAGEIFS('Region 26'!$W$2:$W$500,'Region 26'!$A$2:$A$500,F$1,'Region 26'!$X$2:$X$500,$D235,'Region 26'!$S$2:$S$500,$A235)</f>
        <v>#DIV/0!</v>
      </c>
      <c r="G235" t="e">
        <f ca="1">AVERAGEIFS('Region 26'!$W$2:$W$500,'Region 26'!$A$2:$A$500,G$1,'Region 26'!$X$2:$X$500,$D235,'Region 26'!$S$2:$S$500,$A235)</f>
        <v>#DIV/0!</v>
      </c>
      <c r="H235" t="e">
        <f ca="1">AVERAGEIFS('Region 26'!$W$2:$W$500,'Region 26'!$A$2:$A$500,H$1,'Region 26'!$X$2:$X$500,$D235,'Region 26'!$S$2:$S$500,$A235)</f>
        <v>#DIV/0!</v>
      </c>
      <c r="I235" t="e">
        <f ca="1">AVERAGEIFS('Region 26'!$W$2:$W$500,'Region 26'!$A$2:$A$500,I$1,'Region 26'!$X$2:$X$500,$D235,'Region 26'!$S$2:$S$500,$A235)</f>
        <v>#DIV/0!</v>
      </c>
      <c r="J235" t="e">
        <f ca="1">AVERAGEIFS('Region 26'!$W$2:$W$500,'Region 26'!$A$2:$A$500,J$1,'Region 26'!$X$2:$X$500,$D235,'Region 26'!$S$2:$S$500,$A235)</f>
        <v>#DIV/0!</v>
      </c>
      <c r="K235" t="e">
        <f ca="1">AVERAGEIFS('Region 26'!$W$2:$W$500,'Region 26'!$A$2:$A$500,K$1,'Region 26'!$X$2:$X$500,$D235,'Region 26'!$S$2:$S$500,$A235)</f>
        <v>#DIV/0!</v>
      </c>
      <c r="L235" t="e">
        <f ca="1">AVERAGEIFS('Region 26'!$W$2:$W$500,'Region 26'!$A$2:$A$500,L$1,'Region 26'!$X$2:$X$500,$D235,'Region 26'!$S$2:$S$500,$A235)</f>
        <v>#DIV/0!</v>
      </c>
      <c r="M235" t="e">
        <f ca="1">AVERAGEIFS('Region 26'!$W$2:$W$500,'Region 26'!$A$2:$A$500,M$1,'Region 26'!$X$2:$X$500,$D235,'Region 26'!$S$2:$S$500,$A235)</f>
        <v>#DIV/0!</v>
      </c>
      <c r="N235" t="e">
        <f ca="1">AVERAGEIFS('Region 26'!$W$2:$W$500,'Region 26'!$A$2:$A$500,N$1,'Region 26'!$X$2:$X$500,$D235,'Region 26'!$S$2:$S$500,$A235)</f>
        <v>#DIV/0!</v>
      </c>
      <c r="Q235" t="str">
        <f t="shared" si="153"/>
        <v>Wood</v>
      </c>
      <c r="R235" t="str">
        <f t="shared" si="154"/>
        <v>Detached</v>
      </c>
      <c r="S235">
        <f t="shared" si="155"/>
        <v>26</v>
      </c>
      <c r="T235" t="str">
        <f t="shared" ca="1" si="136"/>
        <v>-</v>
      </c>
      <c r="U235" t="str">
        <f t="shared" ca="1" si="137"/>
        <v>-</v>
      </c>
      <c r="V235" t="str">
        <f t="shared" ca="1" si="138"/>
        <v>-</v>
      </c>
      <c r="W235" t="str">
        <f t="shared" ca="1" si="139"/>
        <v>-</v>
      </c>
      <c r="X235" t="str">
        <f t="shared" ca="1" si="140"/>
        <v>-</v>
      </c>
      <c r="Y235" t="str">
        <f t="shared" ca="1" si="141"/>
        <v>-</v>
      </c>
      <c r="Z235" t="str">
        <f t="shared" ca="1" si="142"/>
        <v>-</v>
      </c>
      <c r="AA235" t="str">
        <f t="shared" ca="1" si="143"/>
        <v>-</v>
      </c>
      <c r="AB235" t="str">
        <f t="shared" ca="1" si="144"/>
        <v>-</v>
      </c>
      <c r="AC235" t="str">
        <f t="shared" ca="1" si="145"/>
        <v>-</v>
      </c>
    </row>
    <row r="236" spans="1:29" x14ac:dyDescent="0.3">
      <c r="A236" t="s">
        <v>67</v>
      </c>
      <c r="B236" t="str">
        <f t="shared" ref="B236:D236" si="187">B132</f>
        <v>Semi-detached</v>
      </c>
      <c r="C236">
        <f t="shared" si="187"/>
        <v>1</v>
      </c>
      <c r="D236">
        <f t="shared" si="187"/>
        <v>2</v>
      </c>
      <c r="E236" t="e">
        <f>AVERAGEIFS('Region 1'!$W$2:$W$498,'Region 1'!$A$2:$A$498,E$1,'Region 1'!$X$2:$X$498,$D236,'Region 1'!$S$2:$S$498,$A236)</f>
        <v>#DIV/0!</v>
      </c>
      <c r="F236" t="e">
        <f>AVERAGEIFS('Region 1'!$W$2:$W$498,'Region 1'!$A$2:$A$498,F$1,'Region 1'!$X$2:$X$498,$D236,'Region 1'!$S$2:$S$498,$A236)</f>
        <v>#DIV/0!</v>
      </c>
      <c r="G236" t="e">
        <f>AVERAGEIFS('Region 1'!$W$2:$W$498,'Region 1'!$A$2:$A$498,G$1,'Region 1'!$X$2:$X$498,$D236,'Region 1'!$S$2:$S$498,$A236)</f>
        <v>#DIV/0!</v>
      </c>
      <c r="H236" t="e">
        <f>AVERAGEIFS('Region 1'!$W$2:$W$498,'Region 1'!$A$2:$A$498,H$1,'Region 1'!$X$2:$X$498,$D236,'Region 1'!$S$2:$S$498,$A236)</f>
        <v>#DIV/0!</v>
      </c>
      <c r="I236" t="e">
        <f>AVERAGEIFS('Region 1'!$W$2:$W$498,'Region 1'!$A$2:$A$498,I$1,'Region 1'!$X$2:$X$498,$D236,'Region 1'!$S$2:$S$498,$A236)</f>
        <v>#DIV/0!</v>
      </c>
      <c r="J236" t="e">
        <f>AVERAGEIFS('Region 1'!$W$2:$W$498,'Region 1'!$A$2:$A$498,J$1,'Region 1'!$X$2:$X$498,$D236,'Region 1'!$S$2:$S$498,$A236)</f>
        <v>#DIV/0!</v>
      </c>
      <c r="K236" t="e">
        <f>AVERAGEIFS('Region 1'!$W$2:$W$498,'Region 1'!$A$2:$A$498,K$1,'Region 1'!$X$2:$X$498,$D236,'Region 1'!$S$2:$S$498,$A236)</f>
        <v>#DIV/0!</v>
      </c>
      <c r="L236" t="e">
        <f>AVERAGEIFS('Region 1'!$W$2:$W$498,'Region 1'!$A$2:$A$498,L$1,'Region 1'!$X$2:$X$498,$D236,'Region 1'!$S$2:$S$498,$A236)</f>
        <v>#DIV/0!</v>
      </c>
      <c r="M236" t="e">
        <f>AVERAGEIFS('Region 1'!$W$2:$W$498,'Region 1'!$A$2:$A$498,M$1,'Region 1'!$X$2:$X$498,$D236,'Region 1'!$S$2:$S$498,$A236)</f>
        <v>#DIV/0!</v>
      </c>
      <c r="N236" t="e">
        <f>AVERAGEIFS('Region 1'!$W$2:$W$498,'Region 1'!$A$2:$A$498,N$1,'Region 1'!$X$2:$X$498,$D236,'Region 1'!$S$2:$S$498,$A236)</f>
        <v>#DIV/0!</v>
      </c>
      <c r="Q236" t="str">
        <f t="shared" si="153"/>
        <v>Wood</v>
      </c>
      <c r="R236" t="str">
        <f t="shared" si="154"/>
        <v>Semi-detached</v>
      </c>
      <c r="S236">
        <f t="shared" si="155"/>
        <v>1</v>
      </c>
      <c r="T236" t="str">
        <f t="shared" si="136"/>
        <v>-</v>
      </c>
      <c r="U236" t="str">
        <f t="shared" si="137"/>
        <v>-</v>
      </c>
      <c r="V236" t="str">
        <f t="shared" si="138"/>
        <v>-</v>
      </c>
      <c r="W236" t="str">
        <f t="shared" si="139"/>
        <v>-</v>
      </c>
      <c r="X236" t="str">
        <f t="shared" si="140"/>
        <v>-</v>
      </c>
      <c r="Y236" t="str">
        <f t="shared" si="141"/>
        <v>-</v>
      </c>
      <c r="Z236" t="str">
        <f t="shared" si="142"/>
        <v>-</v>
      </c>
      <c r="AA236" t="str">
        <f t="shared" si="143"/>
        <v>-</v>
      </c>
      <c r="AB236" t="str">
        <f t="shared" si="144"/>
        <v>-</v>
      </c>
      <c r="AC236" t="str">
        <f t="shared" si="145"/>
        <v>-</v>
      </c>
    </row>
    <row r="237" spans="1:29" x14ac:dyDescent="0.3">
      <c r="A237" t="s">
        <v>67</v>
      </c>
      <c r="B237" t="str">
        <f t="shared" ref="B237:D237" si="188">B133</f>
        <v>Semi-detached</v>
      </c>
      <c r="C237">
        <f t="shared" si="188"/>
        <v>2</v>
      </c>
      <c r="D237">
        <f t="shared" si="188"/>
        <v>2</v>
      </c>
      <c r="E237" t="e">
        <f>AVERAGEIFS('Region 2'!$W$2:$W$498,'Region 2'!$A$2:$A$498,E$1,'Region 2'!$X$2:$X$498,$D237,'Region 2'!$S$2:$S$498,$A237)</f>
        <v>#DIV/0!</v>
      </c>
      <c r="F237" t="e">
        <f>AVERAGEIFS('Region 2'!$W$2:$W$498,'Region 2'!$A$2:$A$498,F$1,'Region 2'!$X$2:$X$498,$D237,'Region 2'!$S$2:$S$498,$A237)</f>
        <v>#DIV/0!</v>
      </c>
      <c r="G237" t="e">
        <f>AVERAGEIFS('Region 2'!$W$2:$W$498,'Region 2'!$A$2:$A$498,G$1,'Region 2'!$X$2:$X$498,$D237,'Region 2'!$S$2:$S$498,$A237)</f>
        <v>#DIV/0!</v>
      </c>
      <c r="H237" t="e">
        <f>AVERAGEIFS('Region 2'!$W$2:$W$498,'Region 2'!$A$2:$A$498,H$1,'Region 2'!$X$2:$X$498,$D237,'Region 2'!$S$2:$S$498,$A237)</f>
        <v>#DIV/0!</v>
      </c>
      <c r="I237" t="e">
        <f>AVERAGEIFS('Region 2'!$W$2:$W$498,'Region 2'!$A$2:$A$498,I$1,'Region 2'!$X$2:$X$498,$D237,'Region 2'!$S$2:$S$498,$A237)</f>
        <v>#DIV/0!</v>
      </c>
      <c r="J237" t="e">
        <f>AVERAGEIFS('Region 2'!$W$2:$W$498,'Region 2'!$A$2:$A$498,J$1,'Region 2'!$X$2:$X$498,$D237,'Region 2'!$S$2:$S$498,$A237)</f>
        <v>#DIV/0!</v>
      </c>
      <c r="K237" t="e">
        <f>AVERAGEIFS('Region 2'!$W$2:$W$498,'Region 2'!$A$2:$A$498,K$1,'Region 2'!$X$2:$X$498,$D237,'Region 2'!$S$2:$S$498,$A237)</f>
        <v>#DIV/0!</v>
      </c>
      <c r="L237" t="e">
        <f>AVERAGEIFS('Region 2'!$W$2:$W$498,'Region 2'!$A$2:$A$498,L$1,'Region 2'!$X$2:$X$498,$D237,'Region 2'!$S$2:$S$498,$A237)</f>
        <v>#DIV/0!</v>
      </c>
      <c r="M237" t="e">
        <f>AVERAGEIFS('Region 2'!$W$2:$W$498,'Region 2'!$A$2:$A$498,M$1,'Region 2'!$X$2:$X$498,$D237,'Region 2'!$S$2:$S$498,$A237)</f>
        <v>#DIV/0!</v>
      </c>
      <c r="N237" t="e">
        <f>AVERAGEIFS('Region 2'!$W$2:$W$498,'Region 2'!$A$2:$A$498,N$1,'Region 2'!$X$2:$X$498,$D237,'Region 2'!$S$2:$S$498,$A237)</f>
        <v>#DIV/0!</v>
      </c>
      <c r="Q237" t="str">
        <f t="shared" si="153"/>
        <v>Wood</v>
      </c>
      <c r="R237" t="str">
        <f t="shared" si="154"/>
        <v>Semi-detached</v>
      </c>
      <c r="S237">
        <f t="shared" si="155"/>
        <v>2</v>
      </c>
      <c r="T237" t="str">
        <f t="shared" si="136"/>
        <v>-</v>
      </c>
      <c r="U237" t="str">
        <f t="shared" si="137"/>
        <v>-</v>
      </c>
      <c r="V237" t="str">
        <f t="shared" si="138"/>
        <v>-</v>
      </c>
      <c r="W237" t="str">
        <f t="shared" si="139"/>
        <v>-</v>
      </c>
      <c r="X237" t="str">
        <f t="shared" si="140"/>
        <v>-</v>
      </c>
      <c r="Y237" t="str">
        <f t="shared" si="141"/>
        <v>-</v>
      </c>
      <c r="Z237" t="str">
        <f t="shared" si="142"/>
        <v>-</v>
      </c>
      <c r="AA237" t="str">
        <f t="shared" si="143"/>
        <v>-</v>
      </c>
      <c r="AB237" t="str">
        <f t="shared" si="144"/>
        <v>-</v>
      </c>
      <c r="AC237" t="str">
        <f t="shared" si="145"/>
        <v>-</v>
      </c>
    </row>
    <row r="238" spans="1:29" x14ac:dyDescent="0.3">
      <c r="A238" t="s">
        <v>67</v>
      </c>
      <c r="B238" t="str">
        <f t="shared" ref="B238:D238" si="189">B134</f>
        <v>Semi-detached</v>
      </c>
      <c r="C238">
        <f t="shared" si="189"/>
        <v>3</v>
      </c>
      <c r="D238">
        <f t="shared" si="189"/>
        <v>2</v>
      </c>
      <c r="E238" t="e">
        <f ca="1">AVERAGEIFS('Region 3'!$W$2:$W$500,'Region 3'!$A$2:$A$500,E$1,'Region 3'!$X$2:$X$500,$D238,'Region 3'!$S$2:$S$500,$A238)</f>
        <v>#DIV/0!</v>
      </c>
      <c r="F238" t="e">
        <f ca="1">AVERAGEIFS('Region 3'!$W$2:$W$500,'Region 3'!$A$2:$A$500,F$1,'Region 3'!$X$2:$X$500,$D238,'Region 3'!$S$2:$S$500,$A238)</f>
        <v>#DIV/0!</v>
      </c>
      <c r="G238" t="e">
        <f ca="1">AVERAGEIFS('Region 3'!$W$2:$W$500,'Region 3'!$A$2:$A$500,G$1,'Region 3'!$X$2:$X$500,$D238,'Region 3'!$S$2:$S$500,$A238)</f>
        <v>#DIV/0!</v>
      </c>
      <c r="H238" t="e">
        <f ca="1">AVERAGEIFS('Region 3'!$W$2:$W$500,'Region 3'!$A$2:$A$500,H$1,'Region 3'!$X$2:$X$500,$D238,'Region 3'!$S$2:$S$500,$A238)</f>
        <v>#DIV/0!</v>
      </c>
      <c r="I238" t="e">
        <f ca="1">AVERAGEIFS('Region 3'!$W$2:$W$500,'Region 3'!$A$2:$A$500,I$1,'Region 3'!$X$2:$X$500,$D238,'Region 3'!$S$2:$S$500,$A238)</f>
        <v>#DIV/0!</v>
      </c>
      <c r="J238" t="e">
        <f ca="1">AVERAGEIFS('Region 3'!$W$2:$W$500,'Region 3'!$A$2:$A$500,J$1,'Region 3'!$X$2:$X$500,$D238,'Region 3'!$S$2:$S$500,$A238)</f>
        <v>#DIV/0!</v>
      </c>
      <c r="K238" t="e">
        <f ca="1">AVERAGEIFS('Region 3'!$W$2:$W$500,'Region 3'!$A$2:$A$500,K$1,'Region 3'!$X$2:$X$500,$D238,'Region 3'!$S$2:$S$500,$A238)</f>
        <v>#DIV/0!</v>
      </c>
      <c r="L238" t="e">
        <f ca="1">AVERAGEIFS('Region 3'!$W$2:$W$500,'Region 3'!$A$2:$A$500,L$1,'Region 3'!$X$2:$X$500,$D238,'Region 3'!$S$2:$S$500,$A238)</f>
        <v>#DIV/0!</v>
      </c>
      <c r="M238" t="e">
        <f ca="1">AVERAGEIFS('Region 3'!$W$2:$W$500,'Region 3'!$A$2:$A$500,M$1,'Region 3'!$X$2:$X$500,$D238,'Region 3'!$S$2:$S$500,$A238)</f>
        <v>#DIV/0!</v>
      </c>
      <c r="N238" t="e">
        <f ca="1">AVERAGEIFS('Region 3'!$W$2:$W$500,'Region 3'!$A$2:$A$500,N$1,'Region 3'!$X$2:$X$500,$D238,'Region 3'!$S$2:$S$500,$A238)</f>
        <v>#DIV/0!</v>
      </c>
      <c r="Q238" t="str">
        <f t="shared" si="153"/>
        <v>Wood</v>
      </c>
      <c r="R238" t="str">
        <f t="shared" si="154"/>
        <v>Semi-detached</v>
      </c>
      <c r="S238">
        <f t="shared" si="155"/>
        <v>3</v>
      </c>
      <c r="T238" t="str">
        <f t="shared" ca="1" si="136"/>
        <v>-</v>
      </c>
      <c r="U238" t="str">
        <f t="shared" ca="1" si="137"/>
        <v>-</v>
      </c>
      <c r="V238" t="str">
        <f t="shared" ca="1" si="138"/>
        <v>-</v>
      </c>
      <c r="W238" t="str">
        <f t="shared" ca="1" si="139"/>
        <v>-</v>
      </c>
      <c r="X238" t="str">
        <f t="shared" ca="1" si="140"/>
        <v>-</v>
      </c>
      <c r="Y238" t="str">
        <f t="shared" ca="1" si="141"/>
        <v>-</v>
      </c>
      <c r="Z238" t="str">
        <f t="shared" ca="1" si="142"/>
        <v>-</v>
      </c>
      <c r="AA238" t="str">
        <f t="shared" ca="1" si="143"/>
        <v>-</v>
      </c>
      <c r="AB238" t="str">
        <f t="shared" ca="1" si="144"/>
        <v>-</v>
      </c>
      <c r="AC238" t="str">
        <f t="shared" ca="1" si="145"/>
        <v>-</v>
      </c>
    </row>
    <row r="239" spans="1:29" x14ac:dyDescent="0.3">
      <c r="A239" t="s">
        <v>67</v>
      </c>
      <c r="B239" t="str">
        <f t="shared" ref="B239:D239" si="190">B135</f>
        <v>Semi-detached</v>
      </c>
      <c r="C239">
        <f t="shared" si="190"/>
        <v>4</v>
      </c>
      <c r="D239">
        <f t="shared" si="190"/>
        <v>2</v>
      </c>
      <c r="E239">
        <f>AVERAGEIFS('Region 4'!$W$2:$W$10,'Region 4'!$A$2:$A$10,E$1,'Region 4'!$X$2:$X$10,$D239,'Region 4'!$S$2:$S$10,$A239)</f>
        <v>40</v>
      </c>
      <c r="F239" t="e">
        <f>AVERAGEIFS('Region 4'!$W$2:$W$10,'Region 4'!$A$2:$A$10,F$1,'Region 4'!$X$2:$X$10,$D239,'Region 4'!$S$2:$S$10,$A239)</f>
        <v>#DIV/0!</v>
      </c>
      <c r="G239" t="e">
        <f>AVERAGEIFS('Region 4'!$W$2:$W$10,'Region 4'!$A$2:$A$10,G$1,'Region 4'!$X$2:$X$10,$D239,'Region 4'!$S$2:$S$10,$A239)</f>
        <v>#DIV/0!</v>
      </c>
      <c r="H239" t="e">
        <f>AVERAGEIFS('Region 4'!$W$2:$W$10,'Region 4'!$A$2:$A$10,H$1,'Region 4'!$X$2:$X$10,$D239,'Region 4'!$S$2:$S$10,$A239)</f>
        <v>#DIV/0!</v>
      </c>
      <c r="I239" t="e">
        <f>AVERAGEIFS('Region 4'!$W$2:$W$10,'Region 4'!$A$2:$A$10,I$1,'Region 4'!$X$2:$X$10,$D239,'Region 4'!$S$2:$S$10,$A239)</f>
        <v>#DIV/0!</v>
      </c>
      <c r="J239" t="e">
        <f>AVERAGEIFS('Region 4'!$W$2:$W$10,'Region 4'!$A$2:$A$10,J$1,'Region 4'!$X$2:$X$10,$D239,'Region 4'!$S$2:$S$10,$A239)</f>
        <v>#DIV/0!</v>
      </c>
      <c r="K239" t="e">
        <f>AVERAGEIFS('Region 4'!$W$2:$W$10,'Region 4'!$A$2:$A$10,K$1,'Region 4'!$X$2:$X$10,$D239,'Region 4'!$S$2:$S$10,$A239)</f>
        <v>#DIV/0!</v>
      </c>
      <c r="L239" t="e">
        <f>AVERAGEIFS('Region 4'!$W$2:$W$10,'Region 4'!$A$2:$A$10,L$1,'Region 4'!$X$2:$X$10,$D239,'Region 4'!$S$2:$S$10,$A239)</f>
        <v>#DIV/0!</v>
      </c>
      <c r="M239" t="e">
        <f>AVERAGEIFS('Region 4'!$W$2:$W$10,'Region 4'!$A$2:$A$10,M$1,'Region 4'!$X$2:$X$10,$D239,'Region 4'!$S$2:$S$10,$A239)</f>
        <v>#DIV/0!</v>
      </c>
      <c r="N239" t="e">
        <f>AVERAGEIFS('Region 4'!$W$2:$W$10,'Region 4'!$A$2:$A$10,N$1,'Region 4'!$X$2:$X$10,$D239,'Region 4'!$S$2:$S$10,$A239)</f>
        <v>#DIV/0!</v>
      </c>
      <c r="Q239" t="str">
        <f t="shared" si="153"/>
        <v>Wood</v>
      </c>
      <c r="R239" t="str">
        <f t="shared" si="154"/>
        <v>Semi-detached</v>
      </c>
      <c r="S239">
        <f t="shared" si="155"/>
        <v>4</v>
      </c>
      <c r="T239">
        <f t="shared" si="136"/>
        <v>40</v>
      </c>
      <c r="U239" t="str">
        <f t="shared" si="137"/>
        <v>-</v>
      </c>
      <c r="V239" t="str">
        <f t="shared" si="138"/>
        <v>-</v>
      </c>
      <c r="W239" t="str">
        <f t="shared" si="139"/>
        <v>-</v>
      </c>
      <c r="X239" t="str">
        <f t="shared" si="140"/>
        <v>-</v>
      </c>
      <c r="Y239" t="str">
        <f t="shared" si="141"/>
        <v>-</v>
      </c>
      <c r="Z239" t="str">
        <f t="shared" si="142"/>
        <v>-</v>
      </c>
      <c r="AA239" t="str">
        <f t="shared" si="143"/>
        <v>-</v>
      </c>
      <c r="AB239" t="str">
        <f t="shared" si="144"/>
        <v>-</v>
      </c>
      <c r="AC239" t="str">
        <f t="shared" si="145"/>
        <v>-</v>
      </c>
    </row>
    <row r="240" spans="1:29" x14ac:dyDescent="0.3">
      <c r="A240" t="s">
        <v>67</v>
      </c>
      <c r="B240" t="str">
        <f t="shared" ref="B240:D240" si="191">B136</f>
        <v>Semi-detached</v>
      </c>
      <c r="C240">
        <f t="shared" si="191"/>
        <v>5</v>
      </c>
      <c r="D240">
        <f t="shared" si="191"/>
        <v>2</v>
      </c>
      <c r="E240" t="e">
        <f>AVERAGEIFS('Region 5'!$W$2:$W$496,'Region 5'!$A$2:$A$496,E$1,'Region 5'!$X$2:$X$496,$D240,'Region 5'!$S$2:$S$496,$A240)</f>
        <v>#DIV/0!</v>
      </c>
      <c r="F240" t="e">
        <f>AVERAGEIFS('Region 5'!$W$2:$W$496,'Region 5'!$A$2:$A$496,F$1,'Region 5'!$X$2:$X$496,$D240,'Region 5'!$S$2:$S$496,$A240)</f>
        <v>#DIV/0!</v>
      </c>
      <c r="G240" t="e">
        <f>AVERAGEIFS('Region 5'!$W$2:$W$496,'Region 5'!$A$2:$A$496,G$1,'Region 5'!$X$2:$X$496,$D240,'Region 5'!$S$2:$S$496,$A240)</f>
        <v>#DIV/0!</v>
      </c>
      <c r="H240" t="e">
        <f>AVERAGEIFS('Region 5'!$W$2:$W$496,'Region 5'!$A$2:$A$496,H$1,'Region 5'!$X$2:$X$496,$D240,'Region 5'!$S$2:$S$496,$A240)</f>
        <v>#DIV/0!</v>
      </c>
      <c r="I240" t="e">
        <f>AVERAGEIFS('Region 5'!$W$2:$W$496,'Region 5'!$A$2:$A$496,I$1,'Region 5'!$X$2:$X$496,$D240,'Region 5'!$S$2:$S$496,$A240)</f>
        <v>#DIV/0!</v>
      </c>
      <c r="J240" t="e">
        <f>AVERAGEIFS('Region 5'!$W$2:$W$496,'Region 5'!$A$2:$A$496,J$1,'Region 5'!$X$2:$X$496,$D240,'Region 5'!$S$2:$S$496,$A240)</f>
        <v>#DIV/0!</v>
      </c>
      <c r="K240" t="e">
        <f>AVERAGEIFS('Region 5'!$W$2:$W$496,'Region 5'!$A$2:$A$496,K$1,'Region 5'!$X$2:$X$496,$D240,'Region 5'!$S$2:$S$496,$A240)</f>
        <v>#DIV/0!</v>
      </c>
      <c r="L240" t="e">
        <f>AVERAGEIFS('Region 5'!$W$2:$W$496,'Region 5'!$A$2:$A$496,L$1,'Region 5'!$X$2:$X$496,$D240,'Region 5'!$S$2:$S$496,$A240)</f>
        <v>#DIV/0!</v>
      </c>
      <c r="M240" t="e">
        <f>AVERAGEIFS('Region 5'!$W$2:$W$496,'Region 5'!$A$2:$A$496,M$1,'Region 5'!$X$2:$X$496,$D240,'Region 5'!$S$2:$S$496,$A240)</f>
        <v>#DIV/0!</v>
      </c>
      <c r="N240" t="e">
        <f>AVERAGEIFS('Region 5'!$W$2:$W$496,'Region 5'!$A$2:$A$496,N$1,'Region 5'!$X$2:$X$496,$D240,'Region 5'!$S$2:$S$496,$A240)</f>
        <v>#DIV/0!</v>
      </c>
      <c r="Q240" t="str">
        <f t="shared" si="153"/>
        <v>Wood</v>
      </c>
      <c r="R240" t="str">
        <f t="shared" si="154"/>
        <v>Semi-detached</v>
      </c>
      <c r="S240">
        <f t="shared" si="155"/>
        <v>5</v>
      </c>
      <c r="T240" t="str">
        <f t="shared" si="136"/>
        <v>-</v>
      </c>
      <c r="U240" t="str">
        <f t="shared" si="137"/>
        <v>-</v>
      </c>
      <c r="V240" t="str">
        <f t="shared" si="138"/>
        <v>-</v>
      </c>
      <c r="W240" t="str">
        <f t="shared" si="139"/>
        <v>-</v>
      </c>
      <c r="X240" t="str">
        <f t="shared" si="140"/>
        <v>-</v>
      </c>
      <c r="Y240" t="str">
        <f t="shared" si="141"/>
        <v>-</v>
      </c>
      <c r="Z240" t="str">
        <f t="shared" si="142"/>
        <v>-</v>
      </c>
      <c r="AA240" t="str">
        <f t="shared" si="143"/>
        <v>-</v>
      </c>
      <c r="AB240" t="str">
        <f t="shared" si="144"/>
        <v>-</v>
      </c>
      <c r="AC240" t="str">
        <f t="shared" si="145"/>
        <v>-</v>
      </c>
    </row>
    <row r="241" spans="1:29" x14ac:dyDescent="0.3">
      <c r="A241" t="s">
        <v>67</v>
      </c>
      <c r="B241" t="str">
        <f t="shared" ref="B241:D241" si="192">B137</f>
        <v>Semi-detached</v>
      </c>
      <c r="C241">
        <f t="shared" si="192"/>
        <v>6</v>
      </c>
      <c r="D241">
        <f t="shared" si="192"/>
        <v>2</v>
      </c>
      <c r="E241" t="e">
        <f>AVERAGEIFS('Region 6'!$W$2:$W$496,'Region 6'!$A$2:$A$496,E$1,'Region 6'!$X$2:$X$496,$D241,'Region 6'!$S$2:$S$496,$A241)</f>
        <v>#DIV/0!</v>
      </c>
      <c r="F241" t="e">
        <f>AVERAGEIFS('Region 6'!$W$2:$W$496,'Region 6'!$A$2:$A$496,F$1,'Region 6'!$X$2:$X$496,$D241,'Region 6'!$S$2:$S$496,$A241)</f>
        <v>#DIV/0!</v>
      </c>
      <c r="G241">
        <f>AVERAGEIFS('Region 6'!$W$2:$W$496,'Region 6'!$A$2:$A$496,G$1,'Region 6'!$X$2:$X$496,$D241,'Region 6'!$S$2:$S$496,$A241)</f>
        <v>17.678571428571427</v>
      </c>
      <c r="H241" t="e">
        <f>AVERAGEIFS('Region 6'!$W$2:$W$496,'Region 6'!$A$2:$A$496,H$1,'Region 6'!$X$2:$X$496,$D241,'Region 6'!$S$2:$S$496,$A241)</f>
        <v>#DIV/0!</v>
      </c>
      <c r="I241" t="e">
        <f>AVERAGEIFS('Region 6'!$W$2:$W$496,'Region 6'!$A$2:$A$496,I$1,'Region 6'!$X$2:$X$496,$D241,'Region 6'!$S$2:$S$496,$A241)</f>
        <v>#DIV/0!</v>
      </c>
      <c r="J241" t="e">
        <f>AVERAGEIFS('Region 6'!$W$2:$W$496,'Region 6'!$A$2:$A$496,J$1,'Region 6'!$X$2:$X$496,$D241,'Region 6'!$S$2:$S$496,$A241)</f>
        <v>#DIV/0!</v>
      </c>
      <c r="K241" t="e">
        <f>AVERAGEIFS('Region 6'!$W$2:$W$496,'Region 6'!$A$2:$A$496,K$1,'Region 6'!$X$2:$X$496,$D241,'Region 6'!$S$2:$S$496,$A241)</f>
        <v>#DIV/0!</v>
      </c>
      <c r="L241" t="e">
        <f>AVERAGEIFS('Region 6'!$W$2:$W$496,'Region 6'!$A$2:$A$496,L$1,'Region 6'!$X$2:$X$496,$D241,'Region 6'!$S$2:$S$496,$A241)</f>
        <v>#DIV/0!</v>
      </c>
      <c r="M241" t="e">
        <f>AVERAGEIFS('Region 6'!$W$2:$W$496,'Region 6'!$A$2:$A$496,M$1,'Region 6'!$X$2:$X$496,$D241,'Region 6'!$S$2:$S$496,$A241)</f>
        <v>#DIV/0!</v>
      </c>
      <c r="N241" t="e">
        <f>AVERAGEIFS('Region 6'!$W$2:$W$496,'Region 6'!$A$2:$A$496,N$1,'Region 6'!$X$2:$X$496,$D241,'Region 6'!$S$2:$S$496,$A241)</f>
        <v>#DIV/0!</v>
      </c>
      <c r="Q241" t="str">
        <f t="shared" si="153"/>
        <v>Wood</v>
      </c>
      <c r="R241" t="str">
        <f t="shared" si="154"/>
        <v>Semi-detached</v>
      </c>
      <c r="S241">
        <f t="shared" si="155"/>
        <v>6</v>
      </c>
      <c r="T241" t="str">
        <f t="shared" si="136"/>
        <v>-</v>
      </c>
      <c r="U241" t="str">
        <f t="shared" si="137"/>
        <v>-</v>
      </c>
      <c r="V241">
        <f t="shared" si="138"/>
        <v>17.678571428571427</v>
      </c>
      <c r="W241" t="str">
        <f t="shared" si="139"/>
        <v>-</v>
      </c>
      <c r="X241" t="str">
        <f t="shared" si="140"/>
        <v>-</v>
      </c>
      <c r="Y241" t="str">
        <f t="shared" si="141"/>
        <v>-</v>
      </c>
      <c r="Z241" t="str">
        <f t="shared" si="142"/>
        <v>-</v>
      </c>
      <c r="AA241" t="str">
        <f t="shared" si="143"/>
        <v>-</v>
      </c>
      <c r="AB241" t="str">
        <f t="shared" si="144"/>
        <v>-</v>
      </c>
      <c r="AC241" t="str">
        <f t="shared" si="145"/>
        <v>-</v>
      </c>
    </row>
    <row r="242" spans="1:29" x14ac:dyDescent="0.3">
      <c r="A242" t="s">
        <v>67</v>
      </c>
      <c r="B242" t="str">
        <f t="shared" ref="B242:D242" si="193">B138</f>
        <v>Semi-detached</v>
      </c>
      <c r="C242">
        <f t="shared" si="193"/>
        <v>7</v>
      </c>
      <c r="D242">
        <f t="shared" si="193"/>
        <v>2</v>
      </c>
      <c r="E242" t="e">
        <f ca="1">AVERAGEIFS('Region 7'!$W$2:$W$500,'Region 7'!$A$2:$A$500,E$1,'Region 7'!$X$2:$X$500,$D242,'Region 7'!$S$2:$S$500,$A242)</f>
        <v>#DIV/0!</v>
      </c>
      <c r="F242" t="e">
        <f ca="1">AVERAGEIFS('Region 7'!$W$2:$W$500,'Region 7'!$A$2:$A$500,F$1,'Region 7'!$X$2:$X$500,$D242,'Region 7'!$S$2:$S$500,$A242)</f>
        <v>#DIV/0!</v>
      </c>
      <c r="G242" t="e">
        <f ca="1">AVERAGEIFS('Region 7'!$W$2:$W$500,'Region 7'!$A$2:$A$500,G$1,'Region 7'!$X$2:$X$500,$D242,'Region 7'!$S$2:$S$500,$A242)</f>
        <v>#DIV/0!</v>
      </c>
      <c r="H242" t="e">
        <f ca="1">AVERAGEIFS('Region 7'!$W$2:$W$500,'Region 7'!$A$2:$A$500,H$1,'Region 7'!$X$2:$X$500,$D242,'Region 7'!$S$2:$S$500,$A242)</f>
        <v>#DIV/0!</v>
      </c>
      <c r="I242" t="e">
        <f ca="1">AVERAGEIFS('Region 7'!$W$2:$W$500,'Region 7'!$A$2:$A$500,I$1,'Region 7'!$X$2:$X$500,$D242,'Region 7'!$S$2:$S$500,$A242)</f>
        <v>#DIV/0!</v>
      </c>
      <c r="J242" t="e">
        <f ca="1">AVERAGEIFS('Region 7'!$W$2:$W$500,'Region 7'!$A$2:$A$500,J$1,'Region 7'!$X$2:$X$500,$D242,'Region 7'!$S$2:$S$500,$A242)</f>
        <v>#DIV/0!</v>
      </c>
      <c r="K242" t="e">
        <f ca="1">AVERAGEIFS('Region 7'!$W$2:$W$500,'Region 7'!$A$2:$A$500,K$1,'Region 7'!$X$2:$X$500,$D242,'Region 7'!$S$2:$S$500,$A242)</f>
        <v>#DIV/0!</v>
      </c>
      <c r="L242" t="e">
        <f ca="1">AVERAGEIFS('Region 7'!$W$2:$W$500,'Region 7'!$A$2:$A$500,L$1,'Region 7'!$X$2:$X$500,$D242,'Region 7'!$S$2:$S$500,$A242)</f>
        <v>#DIV/0!</v>
      </c>
      <c r="M242" t="e">
        <f ca="1">AVERAGEIFS('Region 7'!$W$2:$W$500,'Region 7'!$A$2:$A$500,M$1,'Region 7'!$X$2:$X$500,$D242,'Region 7'!$S$2:$S$500,$A242)</f>
        <v>#DIV/0!</v>
      </c>
      <c r="N242" t="e">
        <f ca="1">AVERAGEIFS('Region 7'!$W$2:$W$500,'Region 7'!$A$2:$A$500,N$1,'Region 7'!$X$2:$X$500,$D242,'Region 7'!$S$2:$S$500,$A242)</f>
        <v>#DIV/0!</v>
      </c>
      <c r="Q242" t="str">
        <f t="shared" si="153"/>
        <v>Wood</v>
      </c>
      <c r="R242" t="str">
        <f t="shared" si="154"/>
        <v>Semi-detached</v>
      </c>
      <c r="S242">
        <f t="shared" si="155"/>
        <v>7</v>
      </c>
      <c r="T242" t="str">
        <f t="shared" ca="1" si="136"/>
        <v>-</v>
      </c>
      <c r="U242" t="str">
        <f t="shared" ca="1" si="137"/>
        <v>-</v>
      </c>
      <c r="V242" t="str">
        <f t="shared" ca="1" si="138"/>
        <v>-</v>
      </c>
      <c r="W242" t="str">
        <f t="shared" ca="1" si="139"/>
        <v>-</v>
      </c>
      <c r="X242" t="str">
        <f t="shared" ca="1" si="140"/>
        <v>-</v>
      </c>
      <c r="Y242" t="str">
        <f t="shared" ca="1" si="141"/>
        <v>-</v>
      </c>
      <c r="Z242" t="str">
        <f t="shared" ca="1" si="142"/>
        <v>-</v>
      </c>
      <c r="AA242" t="str">
        <f t="shared" ca="1" si="143"/>
        <v>-</v>
      </c>
      <c r="AB242" t="str">
        <f t="shared" ca="1" si="144"/>
        <v>-</v>
      </c>
      <c r="AC242" t="str">
        <f t="shared" ca="1" si="145"/>
        <v>-</v>
      </c>
    </row>
    <row r="243" spans="1:29" x14ac:dyDescent="0.3">
      <c r="A243" t="s">
        <v>67</v>
      </c>
      <c r="B243" t="str">
        <f t="shared" ref="B243:D243" si="194">B139</f>
        <v>Semi-detached</v>
      </c>
      <c r="C243">
        <f t="shared" si="194"/>
        <v>8</v>
      </c>
      <c r="D243">
        <f t="shared" si="194"/>
        <v>2</v>
      </c>
      <c r="E243" t="e">
        <f>AVERAGEIFS('Region 8'!$W$2:$W$497,'Region 8'!$A$2:$A$497,E$1,'Region 8'!$X$2:$X$497,$D243,'Region 8'!$S$2:$S$497,$A243)</f>
        <v>#DIV/0!</v>
      </c>
      <c r="F243" t="e">
        <f>AVERAGEIFS('Region 8'!$W$2:$W$497,'Region 8'!$A$2:$A$497,F$1,'Region 8'!$X$2:$X$497,$D243,'Region 8'!$S$2:$S$497,$A243)</f>
        <v>#DIV/0!</v>
      </c>
      <c r="G243" t="e">
        <f>AVERAGEIFS('Region 8'!$W$2:$W$497,'Region 8'!$A$2:$A$497,G$1,'Region 8'!$X$2:$X$497,$D243,'Region 8'!$S$2:$S$497,$A243)</f>
        <v>#DIV/0!</v>
      </c>
      <c r="H243" t="e">
        <f>AVERAGEIFS('Region 8'!$W$2:$W$497,'Region 8'!$A$2:$A$497,H$1,'Region 8'!$X$2:$X$497,$D243,'Region 8'!$S$2:$S$497,$A243)</f>
        <v>#DIV/0!</v>
      </c>
      <c r="I243" t="e">
        <f>AVERAGEIFS('Region 8'!$W$2:$W$497,'Region 8'!$A$2:$A$497,I$1,'Region 8'!$X$2:$X$497,$D243,'Region 8'!$S$2:$S$497,$A243)</f>
        <v>#DIV/0!</v>
      </c>
      <c r="J243" t="e">
        <f>AVERAGEIFS('Region 8'!$W$2:$W$497,'Region 8'!$A$2:$A$497,J$1,'Region 8'!$X$2:$X$497,$D243,'Region 8'!$S$2:$S$497,$A243)</f>
        <v>#DIV/0!</v>
      </c>
      <c r="K243" t="e">
        <f>AVERAGEIFS('Region 8'!$W$2:$W$497,'Region 8'!$A$2:$A$497,K$1,'Region 8'!$X$2:$X$497,$D243,'Region 8'!$S$2:$S$497,$A243)</f>
        <v>#DIV/0!</v>
      </c>
      <c r="L243" t="e">
        <f>AVERAGEIFS('Region 8'!$W$2:$W$497,'Region 8'!$A$2:$A$497,L$1,'Region 8'!$X$2:$X$497,$D243,'Region 8'!$S$2:$S$497,$A243)</f>
        <v>#DIV/0!</v>
      </c>
      <c r="M243" t="e">
        <f>AVERAGEIFS('Region 8'!$W$2:$W$497,'Region 8'!$A$2:$A$497,M$1,'Region 8'!$X$2:$X$497,$D243,'Region 8'!$S$2:$S$497,$A243)</f>
        <v>#DIV/0!</v>
      </c>
      <c r="N243" t="e">
        <f>AVERAGEIFS('Region 8'!$W$2:$W$497,'Region 8'!$A$2:$A$497,N$1,'Region 8'!$X$2:$X$497,$D243,'Region 8'!$S$2:$S$497,$A243)</f>
        <v>#DIV/0!</v>
      </c>
      <c r="Q243" t="str">
        <f t="shared" si="153"/>
        <v>Wood</v>
      </c>
      <c r="R243" t="str">
        <f t="shared" si="154"/>
        <v>Semi-detached</v>
      </c>
      <c r="S243">
        <f t="shared" si="155"/>
        <v>8</v>
      </c>
      <c r="T243" t="str">
        <f t="shared" si="136"/>
        <v>-</v>
      </c>
      <c r="U243" t="str">
        <f t="shared" si="137"/>
        <v>-</v>
      </c>
      <c r="V243" t="str">
        <f t="shared" si="138"/>
        <v>-</v>
      </c>
      <c r="W243" t="str">
        <f t="shared" si="139"/>
        <v>-</v>
      </c>
      <c r="X243" t="str">
        <f t="shared" si="140"/>
        <v>-</v>
      </c>
      <c r="Y243" t="str">
        <f t="shared" si="141"/>
        <v>-</v>
      </c>
      <c r="Z243" t="str">
        <f t="shared" si="142"/>
        <v>-</v>
      </c>
      <c r="AA243" t="str">
        <f t="shared" si="143"/>
        <v>-</v>
      </c>
      <c r="AB243" t="str">
        <f t="shared" si="144"/>
        <v>-</v>
      </c>
      <c r="AC243" t="str">
        <f t="shared" si="145"/>
        <v>-</v>
      </c>
    </row>
    <row r="244" spans="1:29" x14ac:dyDescent="0.3">
      <c r="A244" t="s">
        <v>67</v>
      </c>
      <c r="B244" t="str">
        <f t="shared" ref="B244:D244" si="195">B140</f>
        <v>Semi-detached</v>
      </c>
      <c r="C244">
        <f t="shared" si="195"/>
        <v>9</v>
      </c>
      <c r="D244">
        <f t="shared" si="195"/>
        <v>2</v>
      </c>
      <c r="E244" t="e">
        <f ca="1">AVERAGEIFS('Region 9'!$W$2:$W$500,'Region 9'!$A$2:$A$500,E$1,'Region 9'!$X$2:$X$500,$D244,'Region 9'!$S$2:$S$500,$A244)</f>
        <v>#DIV/0!</v>
      </c>
      <c r="F244" t="e">
        <f ca="1">AVERAGEIFS('Region 9'!$W$2:$W$500,'Region 9'!$A$2:$A$500,F$1,'Region 9'!$X$2:$X$500,$D244,'Region 9'!$S$2:$S$500,$A244)</f>
        <v>#DIV/0!</v>
      </c>
      <c r="G244" t="e">
        <f ca="1">AVERAGEIFS('Region 9'!$W$2:$W$500,'Region 9'!$A$2:$A$500,G$1,'Region 9'!$X$2:$X$500,$D244,'Region 9'!$S$2:$S$500,$A244)</f>
        <v>#DIV/0!</v>
      </c>
      <c r="H244" t="e">
        <f ca="1">AVERAGEIFS('Region 9'!$W$2:$W$500,'Region 9'!$A$2:$A$500,H$1,'Region 9'!$X$2:$X$500,$D244,'Region 9'!$S$2:$S$500,$A244)</f>
        <v>#DIV/0!</v>
      </c>
      <c r="I244" t="e">
        <f ca="1">AVERAGEIFS('Region 9'!$W$2:$W$500,'Region 9'!$A$2:$A$500,I$1,'Region 9'!$X$2:$X$500,$D244,'Region 9'!$S$2:$S$500,$A244)</f>
        <v>#DIV/0!</v>
      </c>
      <c r="J244" t="e">
        <f ca="1">AVERAGEIFS('Region 9'!$W$2:$W$500,'Region 9'!$A$2:$A$500,J$1,'Region 9'!$X$2:$X$500,$D244,'Region 9'!$S$2:$S$500,$A244)</f>
        <v>#DIV/0!</v>
      </c>
      <c r="K244" t="e">
        <f ca="1">AVERAGEIFS('Region 9'!$W$2:$W$500,'Region 9'!$A$2:$A$500,K$1,'Region 9'!$X$2:$X$500,$D244,'Region 9'!$S$2:$S$500,$A244)</f>
        <v>#DIV/0!</v>
      </c>
      <c r="L244" t="e">
        <f ca="1">AVERAGEIFS('Region 9'!$W$2:$W$500,'Region 9'!$A$2:$A$500,L$1,'Region 9'!$X$2:$X$500,$D244,'Region 9'!$S$2:$S$500,$A244)</f>
        <v>#DIV/0!</v>
      </c>
      <c r="M244" t="e">
        <f ca="1">AVERAGEIFS('Region 9'!$W$2:$W$500,'Region 9'!$A$2:$A$500,M$1,'Region 9'!$X$2:$X$500,$D244,'Region 9'!$S$2:$S$500,$A244)</f>
        <v>#DIV/0!</v>
      </c>
      <c r="N244" t="e">
        <f ca="1">AVERAGEIFS('Region 9'!$W$2:$W$500,'Region 9'!$A$2:$A$500,N$1,'Region 9'!$X$2:$X$500,$D244,'Region 9'!$S$2:$S$500,$A244)</f>
        <v>#DIV/0!</v>
      </c>
      <c r="Q244" t="str">
        <f t="shared" si="153"/>
        <v>Wood</v>
      </c>
      <c r="R244" t="str">
        <f t="shared" si="154"/>
        <v>Semi-detached</v>
      </c>
      <c r="S244">
        <f t="shared" si="155"/>
        <v>9</v>
      </c>
      <c r="T244" t="str">
        <f t="shared" ca="1" si="136"/>
        <v>-</v>
      </c>
      <c r="U244" t="str">
        <f t="shared" ca="1" si="137"/>
        <v>-</v>
      </c>
      <c r="V244" t="str">
        <f t="shared" ca="1" si="138"/>
        <v>-</v>
      </c>
      <c r="W244" t="str">
        <f t="shared" ca="1" si="139"/>
        <v>-</v>
      </c>
      <c r="X244" t="str">
        <f t="shared" ca="1" si="140"/>
        <v>-</v>
      </c>
      <c r="Y244" t="str">
        <f t="shared" ca="1" si="141"/>
        <v>-</v>
      </c>
      <c r="Z244" t="str">
        <f t="shared" ca="1" si="142"/>
        <v>-</v>
      </c>
      <c r="AA244" t="str">
        <f t="shared" ca="1" si="143"/>
        <v>-</v>
      </c>
      <c r="AB244" t="str">
        <f t="shared" ca="1" si="144"/>
        <v>-</v>
      </c>
      <c r="AC244" t="str">
        <f t="shared" ca="1" si="145"/>
        <v>-</v>
      </c>
    </row>
    <row r="245" spans="1:29" x14ac:dyDescent="0.3">
      <c r="A245" t="s">
        <v>67</v>
      </c>
      <c r="B245" t="str">
        <f t="shared" ref="B245:D245" si="196">B141</f>
        <v>Semi-detached</v>
      </c>
      <c r="C245">
        <f t="shared" si="196"/>
        <v>10</v>
      </c>
      <c r="D245">
        <f t="shared" si="196"/>
        <v>2</v>
      </c>
      <c r="E245" t="e">
        <f>AVERAGEIFS('Region 10'!$W$2:$W$500,'Region 10'!$A$2:$A$500,E$1,'Region 10'!$X$2:$X$500,$D245,'Region 10'!$S$2:$S$500,$A245)</f>
        <v>#DIV/0!</v>
      </c>
      <c r="F245" t="e">
        <f>AVERAGEIFS('Region 10'!$W$2:$W$500,'Region 10'!$A$2:$A$500,F$1,'Region 10'!$X$2:$X$500,$D245,'Region 10'!$S$2:$S$500,$A245)</f>
        <v>#DIV/0!</v>
      </c>
      <c r="G245" t="e">
        <f>AVERAGEIFS('Region 10'!$W$2:$W$500,'Region 10'!$A$2:$A$500,G$1,'Region 10'!$X$2:$X$500,$D245,'Region 10'!$S$2:$S$500,$A245)</f>
        <v>#DIV/0!</v>
      </c>
      <c r="H245" t="e">
        <f>AVERAGEIFS('Region 10'!$W$2:$W$500,'Region 10'!$A$2:$A$500,H$1,'Region 10'!$X$2:$X$500,$D245,'Region 10'!$S$2:$S$500,$A245)</f>
        <v>#DIV/0!</v>
      </c>
      <c r="I245" t="e">
        <f>AVERAGEIFS('Region 10'!$W$2:$W$500,'Region 10'!$A$2:$A$500,I$1,'Region 10'!$X$2:$X$500,$D245,'Region 10'!$S$2:$S$500,$A245)</f>
        <v>#DIV/0!</v>
      </c>
      <c r="J245" t="e">
        <f>AVERAGEIFS('Region 10'!$W$2:$W$500,'Region 10'!$A$2:$A$500,J$1,'Region 10'!$X$2:$X$500,$D245,'Region 10'!$S$2:$S$500,$A245)</f>
        <v>#DIV/0!</v>
      </c>
      <c r="K245" t="e">
        <f>AVERAGEIFS('Region 10'!$W$2:$W$500,'Region 10'!$A$2:$A$500,K$1,'Region 10'!$X$2:$X$500,$D245,'Region 10'!$S$2:$S$500,$A245)</f>
        <v>#DIV/0!</v>
      </c>
      <c r="L245" t="e">
        <f>AVERAGEIFS('Region 10'!$W$2:$W$500,'Region 10'!$A$2:$A$500,L$1,'Region 10'!$X$2:$X$500,$D245,'Region 10'!$S$2:$S$500,$A245)</f>
        <v>#DIV/0!</v>
      </c>
      <c r="M245" t="e">
        <f>AVERAGEIFS('Region 10'!$W$2:$W$500,'Region 10'!$A$2:$A$500,M$1,'Region 10'!$X$2:$X$500,$D245,'Region 10'!$S$2:$S$500,$A245)</f>
        <v>#DIV/0!</v>
      </c>
      <c r="N245" t="e">
        <f>AVERAGEIFS('Region 10'!$W$2:$W$500,'Region 10'!$A$2:$A$500,N$1,'Region 10'!$X$2:$X$500,$D245,'Region 10'!$S$2:$S$500,$A245)</f>
        <v>#DIV/0!</v>
      </c>
      <c r="Q245" t="str">
        <f t="shared" si="153"/>
        <v>Wood</v>
      </c>
      <c r="R245" t="str">
        <f t="shared" si="154"/>
        <v>Semi-detached</v>
      </c>
      <c r="S245">
        <f t="shared" si="155"/>
        <v>10</v>
      </c>
      <c r="T245" t="str">
        <f t="shared" si="136"/>
        <v>-</v>
      </c>
      <c r="U245" t="str">
        <f t="shared" si="137"/>
        <v>-</v>
      </c>
      <c r="V245" t="str">
        <f t="shared" si="138"/>
        <v>-</v>
      </c>
      <c r="W245" t="str">
        <f t="shared" si="139"/>
        <v>-</v>
      </c>
      <c r="X245" t="str">
        <f t="shared" si="140"/>
        <v>-</v>
      </c>
      <c r="Y245" t="str">
        <f t="shared" si="141"/>
        <v>-</v>
      </c>
      <c r="Z245" t="str">
        <f t="shared" si="142"/>
        <v>-</v>
      </c>
      <c r="AA245" t="str">
        <f t="shared" si="143"/>
        <v>-</v>
      </c>
      <c r="AB245" t="str">
        <f t="shared" si="144"/>
        <v>-</v>
      </c>
      <c r="AC245" t="str">
        <f t="shared" si="145"/>
        <v>-</v>
      </c>
    </row>
    <row r="246" spans="1:29" x14ac:dyDescent="0.3">
      <c r="A246" t="s">
        <v>67</v>
      </c>
      <c r="B246" t="str">
        <f t="shared" ref="B246:D246" si="197">B142</f>
        <v>Semi-detached</v>
      </c>
      <c r="C246">
        <f t="shared" si="197"/>
        <v>11</v>
      </c>
      <c r="D246">
        <f t="shared" si="197"/>
        <v>2</v>
      </c>
      <c r="E246" t="e">
        <f>AVERAGEIFS('Region 11'!$W$2:$W$391,'Region 11'!$A$2:$A$391,E$1,'Region 11'!$X$2:$X$391,$D246,'Region 11'!$S$2:$S$391,$A246)</f>
        <v>#DIV/0!</v>
      </c>
      <c r="F246">
        <f>AVERAGEIFS('Region 11'!$W$2:$W$391,'Region 11'!$A$2:$A$391,F$1,'Region 11'!$X$2:$X$391,$D246,'Region 11'!$S$2:$S$391,$A246)</f>
        <v>53.00925925925926</v>
      </c>
      <c r="G246" t="e">
        <f>AVERAGEIFS('Region 11'!$W$2:$W$391,'Region 11'!$A$2:$A$391,G$1,'Region 11'!$X$2:$X$391,$D246,'Region 11'!$S$2:$S$391,$A246)</f>
        <v>#DIV/0!</v>
      </c>
      <c r="H246">
        <f>AVERAGEIFS('Region 11'!$W$2:$W$391,'Region 11'!$A$2:$A$391,H$1,'Region 11'!$X$2:$X$391,$D246,'Region 11'!$S$2:$S$391,$A246)</f>
        <v>40.144444444444446</v>
      </c>
      <c r="I246" t="e">
        <f>AVERAGEIFS('Region 11'!$W$2:$W$391,'Region 11'!$A$2:$A$391,I$1,'Region 11'!$X$2:$X$391,$D246,'Region 11'!$S$2:$S$391,$A246)</f>
        <v>#DIV/0!</v>
      </c>
      <c r="J246">
        <f>AVERAGEIFS('Region 11'!$W$2:$W$391,'Region 11'!$A$2:$A$391,J$1,'Region 11'!$X$2:$X$391,$D246,'Region 11'!$S$2:$S$391,$A246)</f>
        <v>9.7948717948717956</v>
      </c>
      <c r="K246" t="e">
        <f>AVERAGEIFS('Region 11'!$W$2:$W$391,'Region 11'!$A$2:$A$391,K$1,'Region 11'!$X$2:$X$391,$D246,'Region 11'!$S$2:$S$391,$A246)</f>
        <v>#DIV/0!</v>
      </c>
      <c r="L246" t="e">
        <f>AVERAGEIFS('Region 11'!$W$2:$W$391,'Region 11'!$A$2:$A$391,L$1,'Region 11'!$X$2:$X$391,$D246,'Region 11'!$S$2:$S$391,$A246)</f>
        <v>#DIV/0!</v>
      </c>
      <c r="M246" t="e">
        <f>AVERAGEIFS('Region 11'!$W$2:$W$391,'Region 11'!$A$2:$A$391,M$1,'Region 11'!$X$2:$X$391,$D246,'Region 11'!$S$2:$S$391,$A246)</f>
        <v>#DIV/0!</v>
      </c>
      <c r="N246" t="e">
        <f>AVERAGEIFS('Region 11'!$W$2:$W$391,'Region 11'!$A$2:$A$391,N$1,'Region 11'!$X$2:$X$391,$D246,'Region 11'!$S$2:$S$391,$A246)</f>
        <v>#DIV/0!</v>
      </c>
      <c r="Q246" t="str">
        <f t="shared" si="153"/>
        <v>Wood</v>
      </c>
      <c r="R246" t="str">
        <f t="shared" si="154"/>
        <v>Semi-detached</v>
      </c>
      <c r="S246">
        <f t="shared" si="155"/>
        <v>11</v>
      </c>
      <c r="T246" t="str">
        <f t="shared" si="136"/>
        <v>-</v>
      </c>
      <c r="U246">
        <f t="shared" si="137"/>
        <v>53.00925925925926</v>
      </c>
      <c r="V246" t="str">
        <f t="shared" si="138"/>
        <v>-</v>
      </c>
      <c r="W246">
        <f t="shared" si="139"/>
        <v>40.144444444444446</v>
      </c>
      <c r="X246" t="str">
        <f t="shared" si="140"/>
        <v>-</v>
      </c>
      <c r="Y246">
        <f t="shared" si="141"/>
        <v>9.7948717948717956</v>
      </c>
      <c r="Z246" t="str">
        <f t="shared" si="142"/>
        <v>-</v>
      </c>
      <c r="AA246" t="str">
        <f t="shared" si="143"/>
        <v>-</v>
      </c>
      <c r="AB246" t="str">
        <f t="shared" si="144"/>
        <v>-</v>
      </c>
      <c r="AC246" t="str">
        <f t="shared" si="145"/>
        <v>-</v>
      </c>
    </row>
    <row r="247" spans="1:29" x14ac:dyDescent="0.3">
      <c r="A247" t="s">
        <v>67</v>
      </c>
      <c r="B247" t="str">
        <f t="shared" ref="B247:D247" si="198">B143</f>
        <v>Semi-detached</v>
      </c>
      <c r="C247">
        <f t="shared" si="198"/>
        <v>12</v>
      </c>
      <c r="D247">
        <f t="shared" si="198"/>
        <v>2</v>
      </c>
      <c r="E247" t="e">
        <f>AVERAGEIFS('Region 12'!$W$2:$W$459,'Region 12'!$A$2:$A$459,E$1,'Region 12'!$X$2:$X$459,$D247,'Region 12'!$S$2:$S$459,$A247)</f>
        <v>#DIV/0!</v>
      </c>
      <c r="F247" t="e">
        <f>AVERAGEIFS('Region 12'!$W$2:$W$459,'Region 12'!$A$2:$A$459,F$1,'Region 12'!$X$2:$X$459,$D247,'Region 12'!$S$2:$S$459,$A247)</f>
        <v>#DIV/0!</v>
      </c>
      <c r="G247" t="e">
        <f>AVERAGEIFS('Region 12'!$W$2:$W$459,'Region 12'!$A$2:$A$459,G$1,'Region 12'!$X$2:$X$459,$D247,'Region 12'!$S$2:$S$459,$A247)</f>
        <v>#DIV/0!</v>
      </c>
      <c r="H247" t="e">
        <f>AVERAGEIFS('Region 12'!$W$2:$W$459,'Region 12'!$A$2:$A$459,H$1,'Region 12'!$X$2:$X$459,$D247,'Region 12'!$S$2:$S$459,$A247)</f>
        <v>#DIV/0!</v>
      </c>
      <c r="I247" t="e">
        <f>AVERAGEIFS('Region 12'!$W$2:$W$459,'Region 12'!$A$2:$A$459,I$1,'Region 12'!$X$2:$X$459,$D247,'Region 12'!$S$2:$S$459,$A247)</f>
        <v>#DIV/0!</v>
      </c>
      <c r="J247" t="e">
        <f>AVERAGEIFS('Region 12'!$W$2:$W$459,'Region 12'!$A$2:$A$459,J$1,'Region 12'!$X$2:$X$459,$D247,'Region 12'!$S$2:$S$459,$A247)</f>
        <v>#DIV/0!</v>
      </c>
      <c r="K247" t="e">
        <f>AVERAGEIFS('Region 12'!$W$2:$W$459,'Region 12'!$A$2:$A$459,K$1,'Region 12'!$X$2:$X$459,$D247,'Region 12'!$S$2:$S$459,$A247)</f>
        <v>#DIV/0!</v>
      </c>
      <c r="L247" t="e">
        <f>AVERAGEIFS('Region 12'!$W$2:$W$459,'Region 12'!$A$2:$A$459,L$1,'Region 12'!$X$2:$X$459,$D247,'Region 12'!$S$2:$S$459,$A247)</f>
        <v>#DIV/0!</v>
      </c>
      <c r="M247" t="e">
        <f>AVERAGEIFS('Region 12'!$W$2:$W$459,'Region 12'!$A$2:$A$459,M$1,'Region 12'!$X$2:$X$459,$D247,'Region 12'!$S$2:$S$459,$A247)</f>
        <v>#DIV/0!</v>
      </c>
      <c r="N247" t="e">
        <f>AVERAGEIFS('Region 12'!$W$2:$W$459,'Region 12'!$A$2:$A$459,N$1,'Region 12'!$X$2:$X$459,$D247,'Region 12'!$S$2:$S$459,$A247)</f>
        <v>#DIV/0!</v>
      </c>
      <c r="Q247" t="str">
        <f t="shared" si="153"/>
        <v>Wood</v>
      </c>
      <c r="R247" t="str">
        <f t="shared" si="154"/>
        <v>Semi-detached</v>
      </c>
      <c r="S247">
        <f t="shared" si="155"/>
        <v>12</v>
      </c>
      <c r="T247" t="str">
        <f t="shared" si="136"/>
        <v>-</v>
      </c>
      <c r="U247" t="str">
        <f t="shared" si="137"/>
        <v>-</v>
      </c>
      <c r="V247" t="str">
        <f t="shared" si="138"/>
        <v>-</v>
      </c>
      <c r="W247" t="str">
        <f t="shared" si="139"/>
        <v>-</v>
      </c>
      <c r="X247" t="str">
        <f t="shared" si="140"/>
        <v>-</v>
      </c>
      <c r="Y247" t="str">
        <f t="shared" si="141"/>
        <v>-</v>
      </c>
      <c r="Z247" t="str">
        <f t="shared" si="142"/>
        <v>-</v>
      </c>
      <c r="AA247" t="str">
        <f t="shared" si="143"/>
        <v>-</v>
      </c>
      <c r="AB247" t="str">
        <f t="shared" si="144"/>
        <v>-</v>
      </c>
      <c r="AC247" t="str">
        <f t="shared" si="145"/>
        <v>-</v>
      </c>
    </row>
    <row r="248" spans="1:29" x14ac:dyDescent="0.3">
      <c r="A248" t="s">
        <v>67</v>
      </c>
      <c r="B248" t="str">
        <f t="shared" ref="B248:D248" si="199">B144</f>
        <v>Semi-detached</v>
      </c>
      <c r="C248">
        <f t="shared" si="199"/>
        <v>13</v>
      </c>
      <c r="D248">
        <f t="shared" si="199"/>
        <v>2</v>
      </c>
      <c r="E248" t="e">
        <f>AVERAGEIFS('Region 13'!$W$2:$W$500,'Region 13'!$A$2:$A$500,E$1,'Region 13'!$X$2:$X$500,$D248,'Region 13'!$S$2:$S$500,$A248)</f>
        <v>#DIV/0!</v>
      </c>
      <c r="F248" t="e">
        <f>AVERAGEIFS('Region 13'!$W$2:$W$500,'Region 13'!$A$2:$A$500,F$1,'Region 13'!$X$2:$X$500,$D248,'Region 13'!$S$2:$S$500,$A248)</f>
        <v>#DIV/0!</v>
      </c>
      <c r="G248" t="e">
        <f>AVERAGEIFS('Region 13'!$W$2:$W$500,'Region 13'!$A$2:$A$500,G$1,'Region 13'!$X$2:$X$500,$D248,'Region 13'!$S$2:$S$500,$A248)</f>
        <v>#DIV/0!</v>
      </c>
      <c r="H248" t="e">
        <f>AVERAGEIFS('Region 13'!$W$2:$W$500,'Region 13'!$A$2:$A$500,H$1,'Region 13'!$X$2:$X$500,$D248,'Region 13'!$S$2:$S$500,$A248)</f>
        <v>#DIV/0!</v>
      </c>
      <c r="I248" t="e">
        <f>AVERAGEIFS('Region 13'!$W$2:$W$500,'Region 13'!$A$2:$A$500,I$1,'Region 13'!$X$2:$X$500,$D248,'Region 13'!$S$2:$S$500,$A248)</f>
        <v>#DIV/0!</v>
      </c>
      <c r="J248" t="e">
        <f>AVERAGEIFS('Region 13'!$W$2:$W$500,'Region 13'!$A$2:$A$500,J$1,'Region 13'!$X$2:$X$500,$D248,'Region 13'!$S$2:$S$500,$A248)</f>
        <v>#DIV/0!</v>
      </c>
      <c r="K248" t="e">
        <f>AVERAGEIFS('Region 13'!$W$2:$W$500,'Region 13'!$A$2:$A$500,K$1,'Region 13'!$X$2:$X$500,$D248,'Region 13'!$S$2:$S$500,$A248)</f>
        <v>#DIV/0!</v>
      </c>
      <c r="L248" t="e">
        <f>AVERAGEIFS('Region 13'!$W$2:$W$500,'Region 13'!$A$2:$A$500,L$1,'Region 13'!$X$2:$X$500,$D248,'Region 13'!$S$2:$S$500,$A248)</f>
        <v>#DIV/0!</v>
      </c>
      <c r="M248" t="e">
        <f>AVERAGEIFS('Region 13'!$W$2:$W$500,'Region 13'!$A$2:$A$500,M$1,'Region 13'!$X$2:$X$500,$D248,'Region 13'!$S$2:$S$500,$A248)</f>
        <v>#DIV/0!</v>
      </c>
      <c r="N248" t="e">
        <f>AVERAGEIFS('Region 13'!$W$2:$W$500,'Region 13'!$A$2:$A$500,N$1,'Region 13'!$X$2:$X$500,$D248,'Region 13'!$S$2:$S$500,$A248)</f>
        <v>#DIV/0!</v>
      </c>
      <c r="Q248" t="str">
        <f t="shared" si="153"/>
        <v>Wood</v>
      </c>
      <c r="R248" t="str">
        <f t="shared" si="154"/>
        <v>Semi-detached</v>
      </c>
      <c r="S248">
        <f t="shared" si="155"/>
        <v>13</v>
      </c>
      <c r="T248" t="str">
        <f t="shared" si="136"/>
        <v>-</v>
      </c>
      <c r="U248" t="str">
        <f t="shared" si="137"/>
        <v>-</v>
      </c>
      <c r="V248" t="str">
        <f t="shared" si="138"/>
        <v>-</v>
      </c>
      <c r="W248" t="str">
        <f t="shared" si="139"/>
        <v>-</v>
      </c>
      <c r="X248" t="str">
        <f t="shared" si="140"/>
        <v>-</v>
      </c>
      <c r="Y248" t="str">
        <f t="shared" si="141"/>
        <v>-</v>
      </c>
      <c r="Z248" t="str">
        <f t="shared" si="142"/>
        <v>-</v>
      </c>
      <c r="AA248" t="str">
        <f t="shared" si="143"/>
        <v>-</v>
      </c>
      <c r="AB248" t="str">
        <f t="shared" si="144"/>
        <v>-</v>
      </c>
      <c r="AC248" t="str">
        <f t="shared" si="145"/>
        <v>-</v>
      </c>
    </row>
    <row r="249" spans="1:29" x14ac:dyDescent="0.3">
      <c r="A249" t="s">
        <v>67</v>
      </c>
      <c r="B249" t="str">
        <f t="shared" ref="B249:D249" si="200">B145</f>
        <v>Semi-detached</v>
      </c>
      <c r="C249">
        <f t="shared" si="200"/>
        <v>14</v>
      </c>
      <c r="D249">
        <f t="shared" si="200"/>
        <v>2</v>
      </c>
      <c r="E249" t="e">
        <f ca="1">AVERAGEIFS('Region 14'!$W$2:$W$500,'Region 14'!$A$2:$A$500,E$1,'Region 14'!$X$2:$X$500,$D249,'Region 14'!$S$2:$S$500,$A249)</f>
        <v>#DIV/0!</v>
      </c>
      <c r="F249" t="e">
        <f ca="1">AVERAGEIFS('Region 14'!$W$2:$W$500,'Region 14'!$A$2:$A$500,F$1,'Region 14'!$X$2:$X$500,$D249,'Region 14'!$S$2:$S$500,$A249)</f>
        <v>#DIV/0!</v>
      </c>
      <c r="G249" t="e">
        <f ca="1">AVERAGEIFS('Region 14'!$W$2:$W$500,'Region 14'!$A$2:$A$500,G$1,'Region 14'!$X$2:$X$500,$D249,'Region 14'!$S$2:$S$500,$A249)</f>
        <v>#DIV/0!</v>
      </c>
      <c r="H249" t="e">
        <f ca="1">AVERAGEIFS('Region 14'!$W$2:$W$500,'Region 14'!$A$2:$A$500,H$1,'Region 14'!$X$2:$X$500,$D249,'Region 14'!$S$2:$S$500,$A249)</f>
        <v>#DIV/0!</v>
      </c>
      <c r="I249" t="e">
        <f ca="1">AVERAGEIFS('Region 14'!$W$2:$W$500,'Region 14'!$A$2:$A$500,I$1,'Region 14'!$X$2:$X$500,$D249,'Region 14'!$S$2:$S$500,$A249)</f>
        <v>#DIV/0!</v>
      </c>
      <c r="J249" t="e">
        <f ca="1">AVERAGEIFS('Region 14'!$W$2:$W$500,'Region 14'!$A$2:$A$500,J$1,'Region 14'!$X$2:$X$500,$D249,'Region 14'!$S$2:$S$500,$A249)</f>
        <v>#DIV/0!</v>
      </c>
      <c r="K249" t="e">
        <f ca="1">AVERAGEIFS('Region 14'!$W$2:$W$500,'Region 14'!$A$2:$A$500,K$1,'Region 14'!$X$2:$X$500,$D249,'Region 14'!$S$2:$S$500,$A249)</f>
        <v>#DIV/0!</v>
      </c>
      <c r="L249" t="e">
        <f ca="1">AVERAGEIFS('Region 14'!$W$2:$W$500,'Region 14'!$A$2:$A$500,L$1,'Region 14'!$X$2:$X$500,$D249,'Region 14'!$S$2:$S$500,$A249)</f>
        <v>#DIV/0!</v>
      </c>
      <c r="M249" t="e">
        <f ca="1">AVERAGEIFS('Region 14'!$W$2:$W$500,'Region 14'!$A$2:$A$500,M$1,'Region 14'!$X$2:$X$500,$D249,'Region 14'!$S$2:$S$500,$A249)</f>
        <v>#DIV/0!</v>
      </c>
      <c r="N249" t="e">
        <f ca="1">AVERAGEIFS('Region 14'!$W$2:$W$500,'Region 14'!$A$2:$A$500,N$1,'Region 14'!$X$2:$X$500,$D249,'Region 14'!$S$2:$S$500,$A249)</f>
        <v>#DIV/0!</v>
      </c>
      <c r="Q249" t="str">
        <f t="shared" si="153"/>
        <v>Wood</v>
      </c>
      <c r="R249" t="str">
        <f t="shared" si="154"/>
        <v>Semi-detached</v>
      </c>
      <c r="S249">
        <f t="shared" si="155"/>
        <v>14</v>
      </c>
      <c r="T249" t="str">
        <f t="shared" ca="1" si="136"/>
        <v>-</v>
      </c>
      <c r="U249" t="str">
        <f t="shared" ca="1" si="137"/>
        <v>-</v>
      </c>
      <c r="V249" t="str">
        <f t="shared" ca="1" si="138"/>
        <v>-</v>
      </c>
      <c r="W249" t="str">
        <f t="shared" ca="1" si="139"/>
        <v>-</v>
      </c>
      <c r="X249" t="str">
        <f t="shared" ca="1" si="140"/>
        <v>-</v>
      </c>
      <c r="Y249" t="str">
        <f t="shared" ca="1" si="141"/>
        <v>-</v>
      </c>
      <c r="Z249" t="str">
        <f t="shared" ca="1" si="142"/>
        <v>-</v>
      </c>
      <c r="AA249" t="str">
        <f t="shared" ca="1" si="143"/>
        <v>-</v>
      </c>
      <c r="AB249" t="str">
        <f t="shared" ca="1" si="144"/>
        <v>-</v>
      </c>
      <c r="AC249" t="str">
        <f t="shared" ca="1" si="145"/>
        <v>-</v>
      </c>
    </row>
    <row r="250" spans="1:29" x14ac:dyDescent="0.3">
      <c r="A250" t="s">
        <v>67</v>
      </c>
      <c r="B250" t="str">
        <f t="shared" ref="B250:D250" si="201">B146</f>
        <v>Semi-detached</v>
      </c>
      <c r="C250">
        <f t="shared" si="201"/>
        <v>15</v>
      </c>
      <c r="D250">
        <f t="shared" si="201"/>
        <v>2</v>
      </c>
      <c r="E250" t="e">
        <f ca="1">AVERAGEIFS('Region 15'!$W$2:$W$500,'Region 15'!$A$2:$A$500,E$1,'Region 15'!$X$2:$X$500,$D250,'Region 15'!$S$2:$S$500,$A250)</f>
        <v>#DIV/0!</v>
      </c>
      <c r="F250" t="e">
        <f ca="1">AVERAGEIFS('Region 15'!$W$2:$W$500,'Region 15'!$A$2:$A$500,F$1,'Region 15'!$X$2:$X$500,$D250,'Region 15'!$S$2:$S$500,$A250)</f>
        <v>#DIV/0!</v>
      </c>
      <c r="G250" t="e">
        <f ca="1">AVERAGEIFS('Region 15'!$W$2:$W$500,'Region 15'!$A$2:$A$500,G$1,'Region 15'!$X$2:$X$500,$D250,'Region 15'!$S$2:$S$500,$A250)</f>
        <v>#DIV/0!</v>
      </c>
      <c r="H250" t="e">
        <f ca="1">AVERAGEIFS('Region 15'!$W$2:$W$500,'Region 15'!$A$2:$A$500,H$1,'Region 15'!$X$2:$X$500,$D250,'Region 15'!$S$2:$S$500,$A250)</f>
        <v>#DIV/0!</v>
      </c>
      <c r="I250" t="e">
        <f ca="1">AVERAGEIFS('Region 15'!$W$2:$W$500,'Region 15'!$A$2:$A$500,I$1,'Region 15'!$X$2:$X$500,$D250,'Region 15'!$S$2:$S$500,$A250)</f>
        <v>#DIV/0!</v>
      </c>
      <c r="J250" t="e">
        <f ca="1">AVERAGEIFS('Region 15'!$W$2:$W$500,'Region 15'!$A$2:$A$500,J$1,'Region 15'!$X$2:$X$500,$D250,'Region 15'!$S$2:$S$500,$A250)</f>
        <v>#DIV/0!</v>
      </c>
      <c r="K250" t="e">
        <f ca="1">AVERAGEIFS('Region 15'!$W$2:$W$500,'Region 15'!$A$2:$A$500,K$1,'Region 15'!$X$2:$X$500,$D250,'Region 15'!$S$2:$S$500,$A250)</f>
        <v>#DIV/0!</v>
      </c>
      <c r="L250" t="e">
        <f ca="1">AVERAGEIFS('Region 15'!$W$2:$W$500,'Region 15'!$A$2:$A$500,L$1,'Region 15'!$X$2:$X$500,$D250,'Region 15'!$S$2:$S$500,$A250)</f>
        <v>#DIV/0!</v>
      </c>
      <c r="M250" t="e">
        <f ca="1">AVERAGEIFS('Region 15'!$W$2:$W$500,'Region 15'!$A$2:$A$500,M$1,'Region 15'!$X$2:$X$500,$D250,'Region 15'!$S$2:$S$500,$A250)</f>
        <v>#DIV/0!</v>
      </c>
      <c r="N250" t="e">
        <f ca="1">AVERAGEIFS('Region 15'!$W$2:$W$500,'Region 15'!$A$2:$A$500,N$1,'Region 15'!$X$2:$X$500,$D250,'Region 15'!$S$2:$S$500,$A250)</f>
        <v>#DIV/0!</v>
      </c>
      <c r="Q250" t="str">
        <f t="shared" si="153"/>
        <v>Wood</v>
      </c>
      <c r="R250" t="str">
        <f t="shared" si="154"/>
        <v>Semi-detached</v>
      </c>
      <c r="S250">
        <f t="shared" si="155"/>
        <v>15</v>
      </c>
      <c r="T250" t="str">
        <f t="shared" ca="1" si="136"/>
        <v>-</v>
      </c>
      <c r="U250" t="str">
        <f t="shared" ca="1" si="137"/>
        <v>-</v>
      </c>
      <c r="V250" t="str">
        <f t="shared" ca="1" si="138"/>
        <v>-</v>
      </c>
      <c r="W250" t="str">
        <f t="shared" ca="1" si="139"/>
        <v>-</v>
      </c>
      <c r="X250" t="str">
        <f t="shared" ca="1" si="140"/>
        <v>-</v>
      </c>
      <c r="Y250" t="str">
        <f t="shared" ca="1" si="141"/>
        <v>-</v>
      </c>
      <c r="Z250" t="str">
        <f t="shared" ca="1" si="142"/>
        <v>-</v>
      </c>
      <c r="AA250" t="str">
        <f t="shared" ca="1" si="143"/>
        <v>-</v>
      </c>
      <c r="AB250" t="str">
        <f t="shared" ca="1" si="144"/>
        <v>-</v>
      </c>
      <c r="AC250" t="str">
        <f t="shared" ca="1" si="145"/>
        <v>-</v>
      </c>
    </row>
    <row r="251" spans="1:29" x14ac:dyDescent="0.3">
      <c r="A251" t="s">
        <v>67</v>
      </c>
      <c r="B251" t="str">
        <f t="shared" ref="B251:D251" si="202">B147</f>
        <v>Semi-detached</v>
      </c>
      <c r="C251">
        <f t="shared" si="202"/>
        <v>16</v>
      </c>
      <c r="D251">
        <f t="shared" si="202"/>
        <v>2</v>
      </c>
      <c r="E251" t="e">
        <f ca="1">AVERAGEIFS('Region 16'!$W$2:$W$500,'Region 16'!$A$2:$A$500,E$1,'Region 16'!$X$2:$X$500,$D251,'Region 16'!$S$2:$S$500,$A251)</f>
        <v>#DIV/0!</v>
      </c>
      <c r="F251" t="e">
        <f ca="1">AVERAGEIFS('Region 16'!$W$2:$W$500,'Region 16'!$A$2:$A$500,F$1,'Region 16'!$X$2:$X$500,$D251,'Region 16'!$S$2:$S$500,$A251)</f>
        <v>#DIV/0!</v>
      </c>
      <c r="G251" t="e">
        <f ca="1">AVERAGEIFS('Region 16'!$W$2:$W$500,'Region 16'!$A$2:$A$500,G$1,'Region 16'!$X$2:$X$500,$D251,'Region 16'!$S$2:$S$500,$A251)</f>
        <v>#DIV/0!</v>
      </c>
      <c r="H251" t="e">
        <f ca="1">AVERAGEIFS('Region 16'!$W$2:$W$500,'Region 16'!$A$2:$A$500,H$1,'Region 16'!$X$2:$X$500,$D251,'Region 16'!$S$2:$S$500,$A251)</f>
        <v>#DIV/0!</v>
      </c>
      <c r="I251" t="e">
        <f ca="1">AVERAGEIFS('Region 16'!$W$2:$W$500,'Region 16'!$A$2:$A$500,I$1,'Region 16'!$X$2:$X$500,$D251,'Region 16'!$S$2:$S$500,$A251)</f>
        <v>#DIV/0!</v>
      </c>
      <c r="J251" t="e">
        <f ca="1">AVERAGEIFS('Region 16'!$W$2:$W$500,'Region 16'!$A$2:$A$500,J$1,'Region 16'!$X$2:$X$500,$D251,'Region 16'!$S$2:$S$500,$A251)</f>
        <v>#DIV/0!</v>
      </c>
      <c r="K251" t="e">
        <f ca="1">AVERAGEIFS('Region 16'!$W$2:$W$500,'Region 16'!$A$2:$A$500,K$1,'Region 16'!$X$2:$X$500,$D251,'Region 16'!$S$2:$S$500,$A251)</f>
        <v>#DIV/0!</v>
      </c>
      <c r="L251" t="e">
        <f ca="1">AVERAGEIFS('Region 16'!$W$2:$W$500,'Region 16'!$A$2:$A$500,L$1,'Region 16'!$X$2:$X$500,$D251,'Region 16'!$S$2:$S$500,$A251)</f>
        <v>#DIV/0!</v>
      </c>
      <c r="M251" t="e">
        <f ca="1">AVERAGEIFS('Region 16'!$W$2:$W$500,'Region 16'!$A$2:$A$500,M$1,'Region 16'!$X$2:$X$500,$D251,'Region 16'!$S$2:$S$500,$A251)</f>
        <v>#DIV/0!</v>
      </c>
      <c r="N251" t="e">
        <f ca="1">AVERAGEIFS('Region 16'!$W$2:$W$500,'Region 16'!$A$2:$A$500,N$1,'Region 16'!$X$2:$X$500,$D251,'Region 16'!$S$2:$S$500,$A251)</f>
        <v>#DIV/0!</v>
      </c>
      <c r="Q251" t="str">
        <f t="shared" si="153"/>
        <v>Wood</v>
      </c>
      <c r="R251" t="str">
        <f t="shared" si="154"/>
        <v>Semi-detached</v>
      </c>
      <c r="S251">
        <f t="shared" si="155"/>
        <v>16</v>
      </c>
      <c r="T251" t="str">
        <f t="shared" ca="1" si="136"/>
        <v>-</v>
      </c>
      <c r="U251" t="str">
        <f t="shared" ca="1" si="137"/>
        <v>-</v>
      </c>
      <c r="V251" t="str">
        <f t="shared" ca="1" si="138"/>
        <v>-</v>
      </c>
      <c r="W251" t="str">
        <f t="shared" ca="1" si="139"/>
        <v>-</v>
      </c>
      <c r="X251" t="str">
        <f t="shared" ca="1" si="140"/>
        <v>-</v>
      </c>
      <c r="Y251" t="str">
        <f t="shared" ca="1" si="141"/>
        <v>-</v>
      </c>
      <c r="Z251" t="str">
        <f t="shared" ca="1" si="142"/>
        <v>-</v>
      </c>
      <c r="AA251" t="str">
        <f t="shared" ca="1" si="143"/>
        <v>-</v>
      </c>
      <c r="AB251" t="str">
        <f t="shared" ca="1" si="144"/>
        <v>-</v>
      </c>
      <c r="AC251" t="str">
        <f t="shared" ca="1" si="145"/>
        <v>-</v>
      </c>
    </row>
    <row r="252" spans="1:29" x14ac:dyDescent="0.3">
      <c r="A252" t="s">
        <v>67</v>
      </c>
      <c r="B252" t="str">
        <f t="shared" ref="B252:D252" si="203">B148</f>
        <v>Semi-detached</v>
      </c>
      <c r="C252">
        <f t="shared" si="203"/>
        <v>17</v>
      </c>
      <c r="D252">
        <f t="shared" si="203"/>
        <v>2</v>
      </c>
      <c r="E252" t="e">
        <f>AVERAGEIFS('Region 17'!$W$2:$W$498,'Region 17'!$A$2:$A$498,E$1,'Region 17'!$X$2:$X$498,$D252,'Region 17'!$S$2:$S$498,$A252)</f>
        <v>#DIV/0!</v>
      </c>
      <c r="F252" t="e">
        <f>AVERAGEIFS('Region 17'!$W$2:$W$498,'Region 17'!$A$2:$A$498,F$1,'Region 17'!$X$2:$X$498,$D252,'Region 17'!$S$2:$S$498,$A252)</f>
        <v>#DIV/0!</v>
      </c>
      <c r="G252" t="e">
        <f>AVERAGEIFS('Region 17'!$W$2:$W$498,'Region 17'!$A$2:$A$498,G$1,'Region 17'!$X$2:$X$498,$D252,'Region 17'!$S$2:$S$498,$A252)</f>
        <v>#DIV/0!</v>
      </c>
      <c r="H252" t="e">
        <f>AVERAGEIFS('Region 17'!$W$2:$W$498,'Region 17'!$A$2:$A$498,H$1,'Region 17'!$X$2:$X$498,$D252,'Region 17'!$S$2:$S$498,$A252)</f>
        <v>#DIV/0!</v>
      </c>
      <c r="I252" t="e">
        <f>AVERAGEIFS('Region 17'!$W$2:$W$498,'Region 17'!$A$2:$A$498,I$1,'Region 17'!$X$2:$X$498,$D252,'Region 17'!$S$2:$S$498,$A252)</f>
        <v>#DIV/0!</v>
      </c>
      <c r="J252" t="e">
        <f>AVERAGEIFS('Region 17'!$W$2:$W$498,'Region 17'!$A$2:$A$498,J$1,'Region 17'!$X$2:$X$498,$D252,'Region 17'!$S$2:$S$498,$A252)</f>
        <v>#DIV/0!</v>
      </c>
      <c r="K252" t="e">
        <f>AVERAGEIFS('Region 17'!$W$2:$W$498,'Region 17'!$A$2:$A$498,K$1,'Region 17'!$X$2:$X$498,$D252,'Region 17'!$S$2:$S$498,$A252)</f>
        <v>#DIV/0!</v>
      </c>
      <c r="L252" t="e">
        <f>AVERAGEIFS('Region 17'!$W$2:$W$498,'Region 17'!$A$2:$A$498,L$1,'Region 17'!$X$2:$X$498,$D252,'Region 17'!$S$2:$S$498,$A252)</f>
        <v>#DIV/0!</v>
      </c>
      <c r="M252" t="e">
        <f>AVERAGEIFS('Region 17'!$W$2:$W$498,'Region 17'!$A$2:$A$498,M$1,'Region 17'!$X$2:$X$498,$D252,'Region 17'!$S$2:$S$498,$A252)</f>
        <v>#DIV/0!</v>
      </c>
      <c r="N252" t="e">
        <f>AVERAGEIFS('Region 17'!$W$2:$W$498,'Region 17'!$A$2:$A$498,N$1,'Region 17'!$X$2:$X$498,$D252,'Region 17'!$S$2:$S$498,$A252)</f>
        <v>#DIV/0!</v>
      </c>
      <c r="Q252" t="str">
        <f t="shared" si="153"/>
        <v>Wood</v>
      </c>
      <c r="R252" t="str">
        <f t="shared" si="154"/>
        <v>Semi-detached</v>
      </c>
      <c r="S252">
        <f t="shared" si="155"/>
        <v>17</v>
      </c>
      <c r="T252" t="str">
        <f t="shared" si="136"/>
        <v>-</v>
      </c>
      <c r="U252" t="str">
        <f t="shared" si="137"/>
        <v>-</v>
      </c>
      <c r="V252" t="str">
        <f t="shared" si="138"/>
        <v>-</v>
      </c>
      <c r="W252" t="str">
        <f t="shared" si="139"/>
        <v>-</v>
      </c>
      <c r="X252" t="str">
        <f t="shared" si="140"/>
        <v>-</v>
      </c>
      <c r="Y252" t="str">
        <f t="shared" si="141"/>
        <v>-</v>
      </c>
      <c r="Z252" t="str">
        <f t="shared" si="142"/>
        <v>-</v>
      </c>
      <c r="AA252" t="str">
        <f t="shared" si="143"/>
        <v>-</v>
      </c>
      <c r="AB252" t="str">
        <f t="shared" si="144"/>
        <v>-</v>
      </c>
      <c r="AC252" t="str">
        <f t="shared" si="145"/>
        <v>-</v>
      </c>
    </row>
    <row r="253" spans="1:29" x14ac:dyDescent="0.3">
      <c r="A253" t="s">
        <v>67</v>
      </c>
      <c r="B253" t="str">
        <f t="shared" ref="B253:D253" si="204">B149</f>
        <v>Semi-detached</v>
      </c>
      <c r="C253">
        <f t="shared" si="204"/>
        <v>18</v>
      </c>
      <c r="D253">
        <f t="shared" si="204"/>
        <v>2</v>
      </c>
      <c r="E253" t="e">
        <f>AVERAGEIFS('Region 18'!$W$2:$W$468,'Region 18'!$A$2:$A$468,E$1,'Region 18'!$X$2:$X$468,$D253,'Region 18'!$S$2:$S$468,$A253)</f>
        <v>#DIV/0!</v>
      </c>
      <c r="F253" t="e">
        <f>AVERAGEIFS('Region 18'!$W$2:$W$468,'Region 18'!$A$2:$A$468,F$1,'Region 18'!$X$2:$X$468,$D253,'Region 18'!$S$2:$S$468,$A253)</f>
        <v>#DIV/0!</v>
      </c>
      <c r="G253" t="e">
        <f>AVERAGEIFS('Region 18'!$W$2:$W$468,'Region 18'!$A$2:$A$468,G$1,'Region 18'!$X$2:$X$468,$D253,'Region 18'!$S$2:$S$468,$A253)</f>
        <v>#DIV/0!</v>
      </c>
      <c r="H253" t="e">
        <f>AVERAGEIFS('Region 18'!$W$2:$W$468,'Region 18'!$A$2:$A$468,H$1,'Region 18'!$X$2:$X$468,$D253,'Region 18'!$S$2:$S$468,$A253)</f>
        <v>#DIV/0!</v>
      </c>
      <c r="I253" t="e">
        <f>AVERAGEIFS('Region 18'!$W$2:$W$468,'Region 18'!$A$2:$A$468,I$1,'Region 18'!$X$2:$X$468,$D253,'Region 18'!$S$2:$S$468,$A253)</f>
        <v>#DIV/0!</v>
      </c>
      <c r="J253" t="e">
        <f>AVERAGEIFS('Region 18'!$W$2:$W$468,'Region 18'!$A$2:$A$468,J$1,'Region 18'!$X$2:$X$468,$D253,'Region 18'!$S$2:$S$468,$A253)</f>
        <v>#DIV/0!</v>
      </c>
      <c r="K253" t="e">
        <f>AVERAGEIFS('Region 18'!$W$2:$W$468,'Region 18'!$A$2:$A$468,K$1,'Region 18'!$X$2:$X$468,$D253,'Region 18'!$S$2:$S$468,$A253)</f>
        <v>#DIV/0!</v>
      </c>
      <c r="L253" t="e">
        <f>AVERAGEIFS('Region 18'!$W$2:$W$468,'Region 18'!$A$2:$A$468,L$1,'Region 18'!$X$2:$X$468,$D253,'Region 18'!$S$2:$S$468,$A253)</f>
        <v>#DIV/0!</v>
      </c>
      <c r="M253" t="e">
        <f>AVERAGEIFS('Region 18'!$W$2:$W$468,'Region 18'!$A$2:$A$468,M$1,'Region 18'!$X$2:$X$468,$D253,'Region 18'!$S$2:$S$468,$A253)</f>
        <v>#DIV/0!</v>
      </c>
      <c r="N253" t="e">
        <f>AVERAGEIFS('Region 18'!$W$2:$W$468,'Region 18'!$A$2:$A$468,N$1,'Region 18'!$X$2:$X$468,$D253,'Region 18'!$S$2:$S$468,$A253)</f>
        <v>#DIV/0!</v>
      </c>
      <c r="Q253" t="str">
        <f t="shared" si="153"/>
        <v>Wood</v>
      </c>
      <c r="R253" t="str">
        <f t="shared" si="154"/>
        <v>Semi-detached</v>
      </c>
      <c r="S253">
        <f t="shared" si="155"/>
        <v>18</v>
      </c>
      <c r="T253" t="str">
        <f t="shared" si="136"/>
        <v>-</v>
      </c>
      <c r="U253" t="str">
        <f t="shared" si="137"/>
        <v>-</v>
      </c>
      <c r="V253" t="str">
        <f t="shared" si="138"/>
        <v>-</v>
      </c>
      <c r="W253" t="str">
        <f t="shared" si="139"/>
        <v>-</v>
      </c>
      <c r="X253" t="str">
        <f t="shared" si="140"/>
        <v>-</v>
      </c>
      <c r="Y253" t="str">
        <f t="shared" si="141"/>
        <v>-</v>
      </c>
      <c r="Z253" t="str">
        <f t="shared" si="142"/>
        <v>-</v>
      </c>
      <c r="AA253" t="str">
        <f t="shared" si="143"/>
        <v>-</v>
      </c>
      <c r="AB253" t="str">
        <f t="shared" si="144"/>
        <v>-</v>
      </c>
      <c r="AC253" t="str">
        <f t="shared" si="145"/>
        <v>-</v>
      </c>
    </row>
    <row r="254" spans="1:29" x14ac:dyDescent="0.3">
      <c r="A254" t="s">
        <v>67</v>
      </c>
      <c r="B254" t="str">
        <f t="shared" ref="B254:D254" si="205">B150</f>
        <v>Semi-detached</v>
      </c>
      <c r="C254">
        <f t="shared" si="205"/>
        <v>19</v>
      </c>
      <c r="D254">
        <f t="shared" si="205"/>
        <v>2</v>
      </c>
      <c r="E254" t="e">
        <f>AVERAGEIFS('Region 19'!$W$2:$W$494,'Region 19'!$A$2:$A$494,E$1,'Region 19'!$X$2:$X$494,$D254,'Region 19'!$S$2:$S$494,$A254)</f>
        <v>#DIV/0!</v>
      </c>
      <c r="F254" t="e">
        <f>AVERAGEIFS('Region 19'!$W$2:$W$494,'Region 19'!$A$2:$A$494,F$1,'Region 19'!$X$2:$X$494,$D254,'Region 19'!$S$2:$S$494,$A254)</f>
        <v>#DIV/0!</v>
      </c>
      <c r="G254" t="e">
        <f>AVERAGEIFS('Region 19'!$W$2:$W$494,'Region 19'!$A$2:$A$494,G$1,'Region 19'!$X$2:$X$494,$D254,'Region 19'!$S$2:$S$494,$A254)</f>
        <v>#DIV/0!</v>
      </c>
      <c r="H254" t="e">
        <f>AVERAGEIFS('Region 19'!$W$2:$W$494,'Region 19'!$A$2:$A$494,H$1,'Region 19'!$X$2:$X$494,$D254,'Region 19'!$S$2:$S$494,$A254)</f>
        <v>#DIV/0!</v>
      </c>
      <c r="I254" t="e">
        <f>AVERAGEIFS('Region 19'!$W$2:$W$494,'Region 19'!$A$2:$A$494,I$1,'Region 19'!$X$2:$X$494,$D254,'Region 19'!$S$2:$S$494,$A254)</f>
        <v>#DIV/0!</v>
      </c>
      <c r="J254" t="e">
        <f>AVERAGEIFS('Region 19'!$W$2:$W$494,'Region 19'!$A$2:$A$494,J$1,'Region 19'!$X$2:$X$494,$D254,'Region 19'!$S$2:$S$494,$A254)</f>
        <v>#DIV/0!</v>
      </c>
      <c r="K254" t="e">
        <f>AVERAGEIFS('Region 19'!$W$2:$W$494,'Region 19'!$A$2:$A$494,K$1,'Region 19'!$X$2:$X$494,$D254,'Region 19'!$S$2:$S$494,$A254)</f>
        <v>#DIV/0!</v>
      </c>
      <c r="L254" t="e">
        <f>AVERAGEIFS('Region 19'!$W$2:$W$494,'Region 19'!$A$2:$A$494,L$1,'Region 19'!$X$2:$X$494,$D254,'Region 19'!$S$2:$S$494,$A254)</f>
        <v>#DIV/0!</v>
      </c>
      <c r="M254" t="e">
        <f>AVERAGEIFS('Region 19'!$W$2:$W$494,'Region 19'!$A$2:$A$494,M$1,'Region 19'!$X$2:$X$494,$D254,'Region 19'!$S$2:$S$494,$A254)</f>
        <v>#DIV/0!</v>
      </c>
      <c r="N254" t="e">
        <f>AVERAGEIFS('Region 19'!$W$2:$W$494,'Region 19'!$A$2:$A$494,N$1,'Region 19'!$X$2:$X$494,$D254,'Region 19'!$S$2:$S$494,$A254)</f>
        <v>#DIV/0!</v>
      </c>
      <c r="Q254" t="str">
        <f t="shared" si="153"/>
        <v>Wood</v>
      </c>
      <c r="R254" t="str">
        <f t="shared" si="154"/>
        <v>Semi-detached</v>
      </c>
      <c r="S254">
        <f t="shared" si="155"/>
        <v>19</v>
      </c>
      <c r="T254" t="str">
        <f t="shared" si="136"/>
        <v>-</v>
      </c>
      <c r="U254" t="str">
        <f t="shared" si="137"/>
        <v>-</v>
      </c>
      <c r="V254" t="str">
        <f t="shared" si="138"/>
        <v>-</v>
      </c>
      <c r="W254" t="str">
        <f t="shared" si="139"/>
        <v>-</v>
      </c>
      <c r="X254" t="str">
        <f t="shared" si="140"/>
        <v>-</v>
      </c>
      <c r="Y254" t="str">
        <f t="shared" si="141"/>
        <v>-</v>
      </c>
      <c r="Z254" t="str">
        <f t="shared" si="142"/>
        <v>-</v>
      </c>
      <c r="AA254" t="str">
        <f t="shared" si="143"/>
        <v>-</v>
      </c>
      <c r="AB254" t="str">
        <f t="shared" si="144"/>
        <v>-</v>
      </c>
      <c r="AC254" t="str">
        <f t="shared" si="145"/>
        <v>-</v>
      </c>
    </row>
    <row r="255" spans="1:29" x14ac:dyDescent="0.3">
      <c r="A255" t="s">
        <v>67</v>
      </c>
      <c r="B255" t="str">
        <f t="shared" ref="B255:D255" si="206">B151</f>
        <v>Semi-detached</v>
      </c>
      <c r="C255">
        <f t="shared" si="206"/>
        <v>20</v>
      </c>
      <c r="D255">
        <f t="shared" si="206"/>
        <v>2</v>
      </c>
      <c r="E255" t="e">
        <f>AVERAGEIFS('Region 20'!$W$2:$W$269,'Region 20'!$A$2:$A$269,E$1,'Region 20'!$X$2:$X$269,$D255,'Region 20'!$S$2:$S$269,$A255)</f>
        <v>#DIV/0!</v>
      </c>
      <c r="F255" t="e">
        <f>AVERAGEIFS('Region 20'!$W$2:$W$269,'Region 20'!$A$2:$A$269,F$1,'Region 20'!$X$2:$X$269,$D255,'Region 20'!$S$2:$S$269,$A255)</f>
        <v>#DIV/0!</v>
      </c>
      <c r="G255" t="e">
        <f>AVERAGEIFS('Region 20'!$W$2:$W$269,'Region 20'!$A$2:$A$269,G$1,'Region 20'!$X$2:$X$269,$D255,'Region 20'!$S$2:$S$269,$A255)</f>
        <v>#DIV/0!</v>
      </c>
      <c r="H255" t="e">
        <f>AVERAGEIFS('Region 20'!$W$2:$W$269,'Region 20'!$A$2:$A$269,H$1,'Region 20'!$X$2:$X$269,$D255,'Region 20'!$S$2:$S$269,$A255)</f>
        <v>#DIV/0!</v>
      </c>
      <c r="I255" t="e">
        <f>AVERAGEIFS('Region 20'!$W$2:$W$269,'Region 20'!$A$2:$A$269,I$1,'Region 20'!$X$2:$X$269,$D255,'Region 20'!$S$2:$S$269,$A255)</f>
        <v>#DIV/0!</v>
      </c>
      <c r="J255" t="e">
        <f>AVERAGEIFS('Region 20'!$W$2:$W$269,'Region 20'!$A$2:$A$269,J$1,'Region 20'!$X$2:$X$269,$D255,'Region 20'!$S$2:$S$269,$A255)</f>
        <v>#DIV/0!</v>
      </c>
      <c r="K255" t="e">
        <f>AVERAGEIFS('Region 20'!$W$2:$W$269,'Region 20'!$A$2:$A$269,K$1,'Region 20'!$X$2:$X$269,$D255,'Region 20'!$S$2:$S$269,$A255)</f>
        <v>#DIV/0!</v>
      </c>
      <c r="L255" t="e">
        <f>AVERAGEIFS('Region 20'!$W$2:$W$269,'Region 20'!$A$2:$A$269,L$1,'Region 20'!$X$2:$X$269,$D255,'Region 20'!$S$2:$S$269,$A255)</f>
        <v>#DIV/0!</v>
      </c>
      <c r="M255" t="e">
        <f>AVERAGEIFS('Region 20'!$W$2:$W$269,'Region 20'!$A$2:$A$269,M$1,'Region 20'!$X$2:$X$269,$D255,'Region 20'!$S$2:$S$269,$A255)</f>
        <v>#DIV/0!</v>
      </c>
      <c r="N255" t="e">
        <f>AVERAGEIFS('Region 20'!$W$2:$W$269,'Region 20'!$A$2:$A$269,N$1,'Region 20'!$X$2:$X$269,$D255,'Region 20'!$S$2:$S$269,$A255)</f>
        <v>#DIV/0!</v>
      </c>
      <c r="Q255" t="str">
        <f t="shared" si="153"/>
        <v>Wood</v>
      </c>
      <c r="R255" t="str">
        <f t="shared" si="154"/>
        <v>Semi-detached</v>
      </c>
      <c r="S255">
        <f t="shared" si="155"/>
        <v>20</v>
      </c>
      <c r="T255" t="str">
        <f t="shared" si="136"/>
        <v>-</v>
      </c>
      <c r="U255" t="str">
        <f t="shared" si="137"/>
        <v>-</v>
      </c>
      <c r="V255" t="str">
        <f t="shared" si="138"/>
        <v>-</v>
      </c>
      <c r="W255" t="str">
        <f t="shared" si="139"/>
        <v>-</v>
      </c>
      <c r="X255" t="str">
        <f t="shared" si="140"/>
        <v>-</v>
      </c>
      <c r="Y255" t="str">
        <f t="shared" si="141"/>
        <v>-</v>
      </c>
      <c r="Z255" t="str">
        <f t="shared" si="142"/>
        <v>-</v>
      </c>
      <c r="AA255" t="str">
        <f t="shared" si="143"/>
        <v>-</v>
      </c>
      <c r="AB255" t="str">
        <f t="shared" si="144"/>
        <v>-</v>
      </c>
      <c r="AC255" t="str">
        <f t="shared" si="145"/>
        <v>-</v>
      </c>
    </row>
    <row r="256" spans="1:29" x14ac:dyDescent="0.3">
      <c r="A256" t="s">
        <v>67</v>
      </c>
      <c r="B256" t="str">
        <f t="shared" ref="B256:D256" si="207">B152</f>
        <v>Semi-detached</v>
      </c>
      <c r="C256">
        <f t="shared" si="207"/>
        <v>21</v>
      </c>
      <c r="D256">
        <f t="shared" si="207"/>
        <v>2</v>
      </c>
      <c r="E256" t="e">
        <f>AVERAGEIFS('Region 21'!$W$2:$W$497,'Region 21'!$A$2:$A$497,E$1,'Region 21'!$X$2:$X$497,$D256,'Region 21'!$S$2:$S$497,$A256)</f>
        <v>#DIV/0!</v>
      </c>
      <c r="F256">
        <f>AVERAGEIFS('Region 21'!$W$2:$W$497,'Region 21'!$A$2:$A$497,F$1,'Region 21'!$X$2:$X$497,$D256,'Region 21'!$S$2:$S$497,$A256)</f>
        <v>54.654471544715449</v>
      </c>
      <c r="G256" t="e">
        <f>AVERAGEIFS('Region 21'!$W$2:$W$497,'Region 21'!$A$2:$A$497,G$1,'Region 21'!$X$2:$X$497,$D256,'Region 21'!$S$2:$S$497,$A256)</f>
        <v>#DIV/0!</v>
      </c>
      <c r="H256" t="e">
        <f>AVERAGEIFS('Region 21'!$W$2:$W$497,'Region 21'!$A$2:$A$497,H$1,'Region 21'!$X$2:$X$497,$D256,'Region 21'!$S$2:$S$497,$A256)</f>
        <v>#DIV/0!</v>
      </c>
      <c r="I256" t="e">
        <f>AVERAGEIFS('Region 21'!$W$2:$W$497,'Region 21'!$A$2:$A$497,I$1,'Region 21'!$X$2:$X$497,$D256,'Region 21'!$S$2:$S$497,$A256)</f>
        <v>#DIV/0!</v>
      </c>
      <c r="J256" t="e">
        <f>AVERAGEIFS('Region 21'!$W$2:$W$497,'Region 21'!$A$2:$A$497,J$1,'Region 21'!$X$2:$X$497,$D256,'Region 21'!$S$2:$S$497,$A256)</f>
        <v>#DIV/0!</v>
      </c>
      <c r="K256" t="e">
        <f>AVERAGEIFS('Region 21'!$W$2:$W$497,'Region 21'!$A$2:$A$497,K$1,'Region 21'!$X$2:$X$497,$D256,'Region 21'!$S$2:$S$497,$A256)</f>
        <v>#DIV/0!</v>
      </c>
      <c r="L256" t="e">
        <f>AVERAGEIFS('Region 21'!$W$2:$W$497,'Region 21'!$A$2:$A$497,L$1,'Region 21'!$X$2:$X$497,$D256,'Region 21'!$S$2:$S$497,$A256)</f>
        <v>#DIV/0!</v>
      </c>
      <c r="M256" t="e">
        <f>AVERAGEIFS('Region 21'!$W$2:$W$497,'Region 21'!$A$2:$A$497,M$1,'Region 21'!$X$2:$X$497,$D256,'Region 21'!$S$2:$S$497,$A256)</f>
        <v>#DIV/0!</v>
      </c>
      <c r="N256" t="e">
        <f>AVERAGEIFS('Region 21'!$W$2:$W$497,'Region 21'!$A$2:$A$497,N$1,'Region 21'!$X$2:$X$497,$D256,'Region 21'!$S$2:$S$497,$A256)</f>
        <v>#DIV/0!</v>
      </c>
      <c r="Q256" t="str">
        <f t="shared" si="153"/>
        <v>Wood</v>
      </c>
      <c r="R256" t="str">
        <f t="shared" si="154"/>
        <v>Semi-detached</v>
      </c>
      <c r="S256">
        <f t="shared" si="155"/>
        <v>21</v>
      </c>
      <c r="T256" t="str">
        <f t="shared" si="136"/>
        <v>-</v>
      </c>
      <c r="U256">
        <f t="shared" si="137"/>
        <v>54.654471544715449</v>
      </c>
      <c r="V256" t="str">
        <f t="shared" si="138"/>
        <v>-</v>
      </c>
      <c r="W256" t="str">
        <f t="shared" si="139"/>
        <v>-</v>
      </c>
      <c r="X256" t="str">
        <f t="shared" si="140"/>
        <v>-</v>
      </c>
      <c r="Y256" t="str">
        <f t="shared" si="141"/>
        <v>-</v>
      </c>
      <c r="Z256" t="str">
        <f t="shared" si="142"/>
        <v>-</v>
      </c>
      <c r="AA256" t="str">
        <f t="shared" si="143"/>
        <v>-</v>
      </c>
      <c r="AB256" t="str">
        <f t="shared" si="144"/>
        <v>-</v>
      </c>
      <c r="AC256" t="str">
        <f t="shared" si="145"/>
        <v>-</v>
      </c>
    </row>
    <row r="257" spans="1:29" x14ac:dyDescent="0.3">
      <c r="A257" t="s">
        <v>67</v>
      </c>
      <c r="B257" t="str">
        <f t="shared" ref="B257:D257" si="208">B153</f>
        <v>Semi-detached</v>
      </c>
      <c r="C257">
        <f t="shared" si="208"/>
        <v>22</v>
      </c>
      <c r="D257">
        <f t="shared" si="208"/>
        <v>2</v>
      </c>
      <c r="E257" t="e">
        <f>AVERAGEIFS('Region 22'!$W$2:$W$510,'Region 22'!$A$2:$A$510,E$1,'Region 22'!$X$2:$X$510,$D257,'Region 22'!$S$2:$S$510,$A257)</f>
        <v>#DIV/0!</v>
      </c>
      <c r="F257" t="e">
        <f>AVERAGEIFS('Region 22'!$W$2:$W$510,'Region 22'!$A$2:$A$510,F$1,'Region 22'!$X$2:$X$510,$D257,'Region 22'!$S$2:$S$510,$A257)</f>
        <v>#DIV/0!</v>
      </c>
      <c r="G257" t="e">
        <f>AVERAGEIFS('Region 22'!$W$2:$W$510,'Region 22'!$A$2:$A$510,G$1,'Region 22'!$X$2:$X$510,$D257,'Region 22'!$S$2:$S$510,$A257)</f>
        <v>#DIV/0!</v>
      </c>
      <c r="H257" t="e">
        <f>AVERAGEIFS('Region 22'!$W$2:$W$510,'Region 22'!$A$2:$A$510,H$1,'Region 22'!$X$2:$X$510,$D257,'Region 22'!$S$2:$S$510,$A257)</f>
        <v>#DIV/0!</v>
      </c>
      <c r="I257" t="e">
        <f>AVERAGEIFS('Region 22'!$W$2:$W$510,'Region 22'!$A$2:$A$510,I$1,'Region 22'!$X$2:$X$510,$D257,'Region 22'!$S$2:$S$510,$A257)</f>
        <v>#DIV/0!</v>
      </c>
      <c r="J257" t="e">
        <f>AVERAGEIFS('Region 22'!$W$2:$W$510,'Region 22'!$A$2:$A$510,J$1,'Region 22'!$X$2:$X$510,$D257,'Region 22'!$S$2:$S$510,$A257)</f>
        <v>#DIV/0!</v>
      </c>
      <c r="K257" t="e">
        <f>AVERAGEIFS('Region 22'!$W$2:$W$510,'Region 22'!$A$2:$A$510,K$1,'Region 22'!$X$2:$X$510,$D257,'Region 22'!$S$2:$S$510,$A257)</f>
        <v>#DIV/0!</v>
      </c>
      <c r="L257" t="e">
        <f>AVERAGEIFS('Region 22'!$W$2:$W$510,'Region 22'!$A$2:$A$510,L$1,'Region 22'!$X$2:$X$510,$D257,'Region 22'!$S$2:$S$510,$A257)</f>
        <v>#DIV/0!</v>
      </c>
      <c r="M257" t="e">
        <f>AVERAGEIFS('Region 22'!$W$2:$W$510,'Region 22'!$A$2:$A$510,M$1,'Region 22'!$X$2:$X$510,$D257,'Region 22'!$S$2:$S$510,$A257)</f>
        <v>#DIV/0!</v>
      </c>
      <c r="N257" t="e">
        <f>AVERAGEIFS('Region 22'!$W$2:$W$510,'Region 22'!$A$2:$A$510,N$1,'Region 22'!$X$2:$X$510,$D257,'Region 22'!$S$2:$S$510,$A257)</f>
        <v>#DIV/0!</v>
      </c>
      <c r="Q257" t="str">
        <f t="shared" si="153"/>
        <v>Wood</v>
      </c>
      <c r="R257" t="str">
        <f t="shared" si="154"/>
        <v>Semi-detached</v>
      </c>
      <c r="S257">
        <f t="shared" si="155"/>
        <v>22</v>
      </c>
      <c r="T257" t="str">
        <f t="shared" si="136"/>
        <v>-</v>
      </c>
      <c r="U257" t="str">
        <f t="shared" si="137"/>
        <v>-</v>
      </c>
      <c r="V257" t="str">
        <f t="shared" si="138"/>
        <v>-</v>
      </c>
      <c r="W257" t="str">
        <f t="shared" si="139"/>
        <v>-</v>
      </c>
      <c r="X257" t="str">
        <f t="shared" si="140"/>
        <v>-</v>
      </c>
      <c r="Y257" t="str">
        <f t="shared" si="141"/>
        <v>-</v>
      </c>
      <c r="Z257" t="str">
        <f t="shared" si="142"/>
        <v>-</v>
      </c>
      <c r="AA257" t="str">
        <f t="shared" si="143"/>
        <v>-</v>
      </c>
      <c r="AB257" t="str">
        <f t="shared" si="144"/>
        <v>-</v>
      </c>
      <c r="AC257" t="str">
        <f t="shared" si="145"/>
        <v>-</v>
      </c>
    </row>
    <row r="258" spans="1:29" x14ac:dyDescent="0.3">
      <c r="A258" t="s">
        <v>67</v>
      </c>
      <c r="B258" t="str">
        <f t="shared" ref="B258:D258" si="209">B154</f>
        <v>Semi-detached</v>
      </c>
      <c r="C258">
        <f t="shared" si="209"/>
        <v>23</v>
      </c>
      <c r="D258">
        <f t="shared" si="209"/>
        <v>2</v>
      </c>
      <c r="E258" t="e">
        <f>AVERAGEIFS('Region 23'!$W$2:$W$468,'Region 23'!$A$2:$A$468,E$1,'Region 23'!$X$2:$X$468,$D258,'Region 23'!$S$2:$S$468,$A258)</f>
        <v>#DIV/0!</v>
      </c>
      <c r="F258" t="e">
        <f>AVERAGEIFS('Region 23'!$W$2:$W$468,'Region 23'!$A$2:$A$468,F$1,'Region 23'!$X$2:$X$468,$D258,'Region 23'!$S$2:$S$468,$A258)</f>
        <v>#DIV/0!</v>
      </c>
      <c r="G258" t="e">
        <f>AVERAGEIFS('Region 23'!$W$2:$W$468,'Region 23'!$A$2:$A$468,G$1,'Region 23'!$X$2:$X$468,$D258,'Region 23'!$S$2:$S$468,$A258)</f>
        <v>#DIV/0!</v>
      </c>
      <c r="H258" t="e">
        <f>AVERAGEIFS('Region 23'!$W$2:$W$468,'Region 23'!$A$2:$A$468,H$1,'Region 23'!$X$2:$X$468,$D258,'Region 23'!$S$2:$S$468,$A258)</f>
        <v>#DIV/0!</v>
      </c>
      <c r="I258" t="e">
        <f>AVERAGEIFS('Region 23'!$W$2:$W$468,'Region 23'!$A$2:$A$468,I$1,'Region 23'!$X$2:$X$468,$D258,'Region 23'!$S$2:$S$468,$A258)</f>
        <v>#DIV/0!</v>
      </c>
      <c r="J258" t="e">
        <f>AVERAGEIFS('Region 23'!$W$2:$W$468,'Region 23'!$A$2:$A$468,J$1,'Region 23'!$X$2:$X$468,$D258,'Region 23'!$S$2:$S$468,$A258)</f>
        <v>#DIV/0!</v>
      </c>
      <c r="K258" t="e">
        <f>AVERAGEIFS('Region 23'!$W$2:$W$468,'Region 23'!$A$2:$A$468,K$1,'Region 23'!$X$2:$X$468,$D258,'Region 23'!$S$2:$S$468,$A258)</f>
        <v>#DIV/0!</v>
      </c>
      <c r="L258" t="e">
        <f>AVERAGEIFS('Region 23'!$W$2:$W$468,'Region 23'!$A$2:$A$468,L$1,'Region 23'!$X$2:$X$468,$D258,'Region 23'!$S$2:$S$468,$A258)</f>
        <v>#DIV/0!</v>
      </c>
      <c r="M258" t="e">
        <f>AVERAGEIFS('Region 23'!$W$2:$W$468,'Region 23'!$A$2:$A$468,M$1,'Region 23'!$X$2:$X$468,$D258,'Region 23'!$S$2:$S$468,$A258)</f>
        <v>#DIV/0!</v>
      </c>
      <c r="N258" t="e">
        <f>AVERAGEIFS('Region 23'!$W$2:$W$468,'Region 23'!$A$2:$A$468,N$1,'Region 23'!$X$2:$X$468,$D258,'Region 23'!$S$2:$S$468,$A258)</f>
        <v>#DIV/0!</v>
      </c>
      <c r="Q258" t="str">
        <f t="shared" si="153"/>
        <v>Wood</v>
      </c>
      <c r="R258" t="str">
        <f t="shared" si="154"/>
        <v>Semi-detached</v>
      </c>
      <c r="S258">
        <f t="shared" si="155"/>
        <v>23</v>
      </c>
      <c r="T258" t="str">
        <f t="shared" si="136"/>
        <v>-</v>
      </c>
      <c r="U258" t="str">
        <f t="shared" si="137"/>
        <v>-</v>
      </c>
      <c r="V258" t="str">
        <f t="shared" si="138"/>
        <v>-</v>
      </c>
      <c r="W258" t="str">
        <f t="shared" si="139"/>
        <v>-</v>
      </c>
      <c r="X258" t="str">
        <f t="shared" si="140"/>
        <v>-</v>
      </c>
      <c r="Y258" t="str">
        <f t="shared" si="141"/>
        <v>-</v>
      </c>
      <c r="Z258" t="str">
        <f t="shared" si="142"/>
        <v>-</v>
      </c>
      <c r="AA258" t="str">
        <f t="shared" si="143"/>
        <v>-</v>
      </c>
      <c r="AB258" t="str">
        <f t="shared" si="144"/>
        <v>-</v>
      </c>
      <c r="AC258" t="str">
        <f t="shared" si="145"/>
        <v>-</v>
      </c>
    </row>
    <row r="259" spans="1:29" x14ac:dyDescent="0.3">
      <c r="A259" t="s">
        <v>67</v>
      </c>
      <c r="B259" t="str">
        <f t="shared" ref="B259:D259" si="210">B155</f>
        <v>Semi-detached</v>
      </c>
      <c r="C259">
        <f t="shared" si="210"/>
        <v>24</v>
      </c>
      <c r="D259">
        <f t="shared" si="210"/>
        <v>2</v>
      </c>
      <c r="E259">
        <f>AVERAGEIFS('Region 24'!$W$2:$W$454,'Region 24'!$A$2:$A$454,E$1,'Region 24'!$X$2:$X$454,$D259,'Region 24'!$S$2:$S$454,$A259)</f>
        <v>29.49404761904762</v>
      </c>
      <c r="F259" t="e">
        <f>AVERAGEIFS('Region 24'!$W$2:$W$454,'Region 24'!$A$2:$A$454,F$1,'Region 24'!$X$2:$X$454,$D259,'Region 24'!$S$2:$S$454,$A259)</f>
        <v>#DIV/0!</v>
      </c>
      <c r="G259" t="e">
        <f>AVERAGEIFS('Region 24'!$W$2:$W$454,'Region 24'!$A$2:$A$454,G$1,'Region 24'!$X$2:$X$454,$D259,'Region 24'!$S$2:$S$454,$A259)</f>
        <v>#DIV/0!</v>
      </c>
      <c r="H259" t="e">
        <f>AVERAGEIFS('Region 24'!$W$2:$W$454,'Region 24'!$A$2:$A$454,H$1,'Region 24'!$X$2:$X$454,$D259,'Region 24'!$S$2:$S$454,$A259)</f>
        <v>#DIV/0!</v>
      </c>
      <c r="I259" t="e">
        <f>AVERAGEIFS('Region 24'!$W$2:$W$454,'Region 24'!$A$2:$A$454,I$1,'Region 24'!$X$2:$X$454,$D259,'Region 24'!$S$2:$S$454,$A259)</f>
        <v>#DIV/0!</v>
      </c>
      <c r="J259" t="e">
        <f>AVERAGEIFS('Region 24'!$W$2:$W$454,'Region 24'!$A$2:$A$454,J$1,'Region 24'!$X$2:$X$454,$D259,'Region 24'!$S$2:$S$454,$A259)</f>
        <v>#DIV/0!</v>
      </c>
      <c r="K259" t="e">
        <f>AVERAGEIFS('Region 24'!$W$2:$W$454,'Region 24'!$A$2:$A$454,K$1,'Region 24'!$X$2:$X$454,$D259,'Region 24'!$S$2:$S$454,$A259)</f>
        <v>#DIV/0!</v>
      </c>
      <c r="L259" t="e">
        <f>AVERAGEIFS('Region 24'!$W$2:$W$454,'Region 24'!$A$2:$A$454,L$1,'Region 24'!$X$2:$X$454,$D259,'Region 24'!$S$2:$S$454,$A259)</f>
        <v>#DIV/0!</v>
      </c>
      <c r="M259" t="e">
        <f>AVERAGEIFS('Region 24'!$W$2:$W$454,'Region 24'!$A$2:$A$454,M$1,'Region 24'!$X$2:$X$454,$D259,'Region 24'!$S$2:$S$454,$A259)</f>
        <v>#DIV/0!</v>
      </c>
      <c r="N259" t="e">
        <f>AVERAGEIFS('Region 24'!$W$2:$W$454,'Region 24'!$A$2:$A$454,N$1,'Region 24'!$X$2:$X$454,$D259,'Region 24'!$S$2:$S$454,$A259)</f>
        <v>#DIV/0!</v>
      </c>
      <c r="Q259" t="str">
        <f t="shared" si="153"/>
        <v>Wood</v>
      </c>
      <c r="R259" t="str">
        <f t="shared" si="154"/>
        <v>Semi-detached</v>
      </c>
      <c r="S259">
        <f t="shared" si="155"/>
        <v>24</v>
      </c>
      <c r="T259">
        <f t="shared" ref="T259:T322" si="211">IF(ISNUMBER(E259),E259,"-")</f>
        <v>29.49404761904762</v>
      </c>
      <c r="U259" t="str">
        <f t="shared" ref="U259:U322" si="212">IF(ISNUMBER(F259),F259,"-")</f>
        <v>-</v>
      </c>
      <c r="V259" t="str">
        <f t="shared" ref="V259:V322" si="213">IF(ISNUMBER(G259),G259,"-")</f>
        <v>-</v>
      </c>
      <c r="W259" t="str">
        <f t="shared" ref="W259:W322" si="214">IF(ISNUMBER(H259),H259,"-")</f>
        <v>-</v>
      </c>
      <c r="X259" t="str">
        <f t="shared" ref="X259:X322" si="215">IF(ISNUMBER(I259),I259,"-")</f>
        <v>-</v>
      </c>
      <c r="Y259" t="str">
        <f t="shared" ref="Y259:Y322" si="216">IF(ISNUMBER(J259),J259,"-")</f>
        <v>-</v>
      </c>
      <c r="Z259" t="str">
        <f t="shared" ref="Z259:Z322" si="217">IF(ISNUMBER(K259),K259,"-")</f>
        <v>-</v>
      </c>
      <c r="AA259" t="str">
        <f t="shared" ref="AA259:AA322" si="218">IF(ISNUMBER(L259),L259,"-")</f>
        <v>-</v>
      </c>
      <c r="AB259" t="str">
        <f t="shared" ref="AB259:AB322" si="219">IF(ISNUMBER(M259),M259,"-")</f>
        <v>-</v>
      </c>
      <c r="AC259" t="str">
        <f t="shared" ref="AC259:AC322" si="220">IF(ISNUMBER(N259),N259,"-")</f>
        <v>-</v>
      </c>
    </row>
    <row r="260" spans="1:29" x14ac:dyDescent="0.3">
      <c r="A260" t="s">
        <v>67</v>
      </c>
      <c r="B260" t="str">
        <f t="shared" ref="B260:D260" si="221">B156</f>
        <v>Semi-detached</v>
      </c>
      <c r="C260">
        <f t="shared" si="221"/>
        <v>25</v>
      </c>
      <c r="D260">
        <f t="shared" si="221"/>
        <v>2</v>
      </c>
      <c r="E260" t="e">
        <f>AVERAGEIFS('Region 25'!$W$2:$W$499,'Region 25'!$A$2:$A$499,E$1,'Region 25'!$X$2:$X$499,$D260,'Region 25'!$S$2:$S$499,$A260)</f>
        <v>#DIV/0!</v>
      </c>
      <c r="F260" t="e">
        <f>AVERAGEIFS('Region 25'!$W$2:$W$499,'Region 25'!$A$2:$A$499,F$1,'Region 25'!$X$2:$X$499,$D260,'Region 25'!$S$2:$S$499,$A260)</f>
        <v>#DIV/0!</v>
      </c>
      <c r="G260" t="e">
        <f>AVERAGEIFS('Region 25'!$W$2:$W$499,'Region 25'!$A$2:$A$499,G$1,'Region 25'!$X$2:$X$499,$D260,'Region 25'!$S$2:$S$499,$A260)</f>
        <v>#DIV/0!</v>
      </c>
      <c r="H260" t="e">
        <f>AVERAGEIFS('Region 25'!$W$2:$W$499,'Region 25'!$A$2:$A$499,H$1,'Region 25'!$X$2:$X$499,$D260,'Region 25'!$S$2:$S$499,$A260)</f>
        <v>#DIV/0!</v>
      </c>
      <c r="I260" t="e">
        <f>AVERAGEIFS('Region 25'!$W$2:$W$499,'Region 25'!$A$2:$A$499,I$1,'Region 25'!$X$2:$X$499,$D260,'Region 25'!$S$2:$S$499,$A260)</f>
        <v>#DIV/0!</v>
      </c>
      <c r="J260" t="e">
        <f>AVERAGEIFS('Region 25'!$W$2:$W$499,'Region 25'!$A$2:$A$499,J$1,'Region 25'!$X$2:$X$499,$D260,'Region 25'!$S$2:$S$499,$A260)</f>
        <v>#DIV/0!</v>
      </c>
      <c r="K260" t="e">
        <f>AVERAGEIFS('Region 25'!$W$2:$W$499,'Region 25'!$A$2:$A$499,K$1,'Region 25'!$X$2:$X$499,$D260,'Region 25'!$S$2:$S$499,$A260)</f>
        <v>#DIV/0!</v>
      </c>
      <c r="L260" t="e">
        <f>AVERAGEIFS('Region 25'!$W$2:$W$499,'Region 25'!$A$2:$A$499,L$1,'Region 25'!$X$2:$X$499,$D260,'Region 25'!$S$2:$S$499,$A260)</f>
        <v>#DIV/0!</v>
      </c>
      <c r="M260" t="e">
        <f>AVERAGEIFS('Region 25'!$W$2:$W$499,'Region 25'!$A$2:$A$499,M$1,'Region 25'!$X$2:$X$499,$D260,'Region 25'!$S$2:$S$499,$A260)</f>
        <v>#DIV/0!</v>
      </c>
      <c r="N260" t="e">
        <f>AVERAGEIFS('Region 25'!$W$2:$W$499,'Region 25'!$A$2:$A$499,N$1,'Region 25'!$X$2:$X$499,$D260,'Region 25'!$S$2:$S$499,$A260)</f>
        <v>#DIV/0!</v>
      </c>
      <c r="Q260" t="str">
        <f t="shared" si="153"/>
        <v>Wood</v>
      </c>
      <c r="R260" t="str">
        <f t="shared" si="154"/>
        <v>Semi-detached</v>
      </c>
      <c r="S260">
        <f t="shared" si="155"/>
        <v>25</v>
      </c>
      <c r="T260" t="str">
        <f t="shared" si="211"/>
        <v>-</v>
      </c>
      <c r="U260" t="str">
        <f t="shared" si="212"/>
        <v>-</v>
      </c>
      <c r="V260" t="str">
        <f t="shared" si="213"/>
        <v>-</v>
      </c>
      <c r="W260" t="str">
        <f t="shared" si="214"/>
        <v>-</v>
      </c>
      <c r="X260" t="str">
        <f t="shared" si="215"/>
        <v>-</v>
      </c>
      <c r="Y260" t="str">
        <f t="shared" si="216"/>
        <v>-</v>
      </c>
      <c r="Z260" t="str">
        <f t="shared" si="217"/>
        <v>-</v>
      </c>
      <c r="AA260" t="str">
        <f t="shared" si="218"/>
        <v>-</v>
      </c>
      <c r="AB260" t="str">
        <f t="shared" si="219"/>
        <v>-</v>
      </c>
      <c r="AC260" t="str">
        <f t="shared" si="220"/>
        <v>-</v>
      </c>
    </row>
    <row r="261" spans="1:29" x14ac:dyDescent="0.3">
      <c r="A261" t="s">
        <v>67</v>
      </c>
      <c r="B261" t="str">
        <f t="shared" ref="B261:D261" si="222">B157</f>
        <v>Semi-detached</v>
      </c>
      <c r="C261">
        <f t="shared" si="222"/>
        <v>26</v>
      </c>
      <c r="D261">
        <f t="shared" si="222"/>
        <v>2</v>
      </c>
      <c r="E261" t="e">
        <f ca="1">AVERAGEIFS('Region 26'!$W$2:$W$500,'Region 26'!$A$2:$A$500,E$1,'Region 26'!$X$2:$X$500,$D261,'Region 26'!$S$2:$S$500,$A261)</f>
        <v>#DIV/0!</v>
      </c>
      <c r="F261" t="e">
        <f ca="1">AVERAGEIFS('Region 26'!$W$2:$W$500,'Region 26'!$A$2:$A$500,F$1,'Region 26'!$X$2:$X$500,$D261,'Region 26'!$S$2:$S$500,$A261)</f>
        <v>#DIV/0!</v>
      </c>
      <c r="G261" t="e">
        <f ca="1">AVERAGEIFS('Region 26'!$W$2:$W$500,'Region 26'!$A$2:$A$500,G$1,'Region 26'!$X$2:$X$500,$D261,'Region 26'!$S$2:$S$500,$A261)</f>
        <v>#DIV/0!</v>
      </c>
      <c r="H261" t="e">
        <f ca="1">AVERAGEIFS('Region 26'!$W$2:$W$500,'Region 26'!$A$2:$A$500,H$1,'Region 26'!$X$2:$X$500,$D261,'Region 26'!$S$2:$S$500,$A261)</f>
        <v>#DIV/0!</v>
      </c>
      <c r="I261" t="e">
        <f ca="1">AVERAGEIFS('Region 26'!$W$2:$W$500,'Region 26'!$A$2:$A$500,I$1,'Region 26'!$X$2:$X$500,$D261,'Region 26'!$S$2:$S$500,$A261)</f>
        <v>#DIV/0!</v>
      </c>
      <c r="J261" t="e">
        <f ca="1">AVERAGEIFS('Region 26'!$W$2:$W$500,'Region 26'!$A$2:$A$500,J$1,'Region 26'!$X$2:$X$500,$D261,'Region 26'!$S$2:$S$500,$A261)</f>
        <v>#DIV/0!</v>
      </c>
      <c r="K261" t="e">
        <f ca="1">AVERAGEIFS('Region 26'!$W$2:$W$500,'Region 26'!$A$2:$A$500,K$1,'Region 26'!$X$2:$X$500,$D261,'Region 26'!$S$2:$S$500,$A261)</f>
        <v>#DIV/0!</v>
      </c>
      <c r="L261" t="e">
        <f ca="1">AVERAGEIFS('Region 26'!$W$2:$W$500,'Region 26'!$A$2:$A$500,L$1,'Region 26'!$X$2:$X$500,$D261,'Region 26'!$S$2:$S$500,$A261)</f>
        <v>#DIV/0!</v>
      </c>
      <c r="M261" t="e">
        <f ca="1">AVERAGEIFS('Region 26'!$W$2:$W$500,'Region 26'!$A$2:$A$500,M$1,'Region 26'!$X$2:$X$500,$D261,'Region 26'!$S$2:$S$500,$A261)</f>
        <v>#DIV/0!</v>
      </c>
      <c r="N261" t="e">
        <f ca="1">AVERAGEIFS('Region 26'!$W$2:$W$500,'Region 26'!$A$2:$A$500,N$1,'Region 26'!$X$2:$X$500,$D261,'Region 26'!$S$2:$S$500,$A261)</f>
        <v>#DIV/0!</v>
      </c>
      <c r="Q261" t="str">
        <f t="shared" si="153"/>
        <v>Wood</v>
      </c>
      <c r="R261" t="str">
        <f t="shared" si="154"/>
        <v>Semi-detached</v>
      </c>
      <c r="S261">
        <f t="shared" si="155"/>
        <v>26</v>
      </c>
      <c r="T261" t="str">
        <f t="shared" ca="1" si="211"/>
        <v>-</v>
      </c>
      <c r="U261" t="str">
        <f t="shared" ca="1" si="212"/>
        <v>-</v>
      </c>
      <c r="V261" t="str">
        <f t="shared" ca="1" si="213"/>
        <v>-</v>
      </c>
      <c r="W261" t="str">
        <f t="shared" ca="1" si="214"/>
        <v>-</v>
      </c>
      <c r="X261" t="str">
        <f t="shared" ca="1" si="215"/>
        <v>-</v>
      </c>
      <c r="Y261" t="str">
        <f t="shared" ca="1" si="216"/>
        <v>-</v>
      </c>
      <c r="Z261" t="str">
        <f t="shared" ca="1" si="217"/>
        <v>-</v>
      </c>
      <c r="AA261" t="str">
        <f t="shared" ca="1" si="218"/>
        <v>-</v>
      </c>
      <c r="AB261" t="str">
        <f t="shared" ca="1" si="219"/>
        <v>-</v>
      </c>
      <c r="AC261" t="str">
        <f t="shared" ca="1" si="220"/>
        <v>-</v>
      </c>
    </row>
    <row r="262" spans="1:29" x14ac:dyDescent="0.3">
      <c r="A262" t="s">
        <v>67</v>
      </c>
      <c r="B262" t="str">
        <f t="shared" ref="B262:D262" si="223">B158</f>
        <v>Appartments</v>
      </c>
      <c r="C262">
        <f t="shared" si="223"/>
        <v>1</v>
      </c>
      <c r="D262">
        <f t="shared" si="223"/>
        <v>3</v>
      </c>
      <c r="E262" t="e">
        <f>AVERAGEIFS('Region 1'!$W$2:$W$498,'Region 1'!$A$2:$A$498,E$1,'Region 1'!$X$2:$X$498,$D262,'Region 1'!$S$2:$S$498,$A262)</f>
        <v>#DIV/0!</v>
      </c>
      <c r="F262" t="e">
        <f>AVERAGEIFS('Region 1'!$W$2:$W$498,'Region 1'!$A$2:$A$498,F$1,'Region 1'!$X$2:$X$498,$D262,'Region 1'!$S$2:$S$498,$A262)</f>
        <v>#DIV/0!</v>
      </c>
      <c r="G262" t="e">
        <f>AVERAGEIFS('Region 1'!$W$2:$W$498,'Region 1'!$A$2:$A$498,G$1,'Region 1'!$X$2:$X$498,$D262,'Region 1'!$S$2:$S$498,$A262)</f>
        <v>#DIV/0!</v>
      </c>
      <c r="H262" t="e">
        <f>AVERAGEIFS('Region 1'!$W$2:$W$498,'Region 1'!$A$2:$A$498,H$1,'Region 1'!$X$2:$X$498,$D262,'Region 1'!$S$2:$S$498,$A262)</f>
        <v>#DIV/0!</v>
      </c>
      <c r="I262" t="e">
        <f>AVERAGEIFS('Region 1'!$W$2:$W$498,'Region 1'!$A$2:$A$498,I$1,'Region 1'!$X$2:$X$498,$D262,'Region 1'!$S$2:$S$498,$A262)</f>
        <v>#DIV/0!</v>
      </c>
      <c r="J262" t="e">
        <f>AVERAGEIFS('Region 1'!$W$2:$W$498,'Region 1'!$A$2:$A$498,J$1,'Region 1'!$X$2:$X$498,$D262,'Region 1'!$S$2:$S$498,$A262)</f>
        <v>#DIV/0!</v>
      </c>
      <c r="K262" t="e">
        <f>AVERAGEIFS('Region 1'!$W$2:$W$498,'Region 1'!$A$2:$A$498,K$1,'Region 1'!$X$2:$X$498,$D262,'Region 1'!$S$2:$S$498,$A262)</f>
        <v>#DIV/0!</v>
      </c>
      <c r="L262" t="e">
        <f>AVERAGEIFS('Region 1'!$W$2:$W$498,'Region 1'!$A$2:$A$498,L$1,'Region 1'!$X$2:$X$498,$D262,'Region 1'!$S$2:$S$498,$A262)</f>
        <v>#DIV/0!</v>
      </c>
      <c r="M262" t="e">
        <f>AVERAGEIFS('Region 1'!$W$2:$W$498,'Region 1'!$A$2:$A$498,M$1,'Region 1'!$X$2:$X$498,$D262,'Region 1'!$S$2:$S$498,$A262)</f>
        <v>#DIV/0!</v>
      </c>
      <c r="N262" t="e">
        <f>AVERAGEIFS('Region 1'!$W$2:$W$498,'Region 1'!$A$2:$A$498,N$1,'Region 1'!$X$2:$X$498,$D262,'Region 1'!$S$2:$S$498,$A262)</f>
        <v>#DIV/0!</v>
      </c>
      <c r="Q262" t="str">
        <f t="shared" si="153"/>
        <v>Wood</v>
      </c>
      <c r="R262" t="str">
        <f t="shared" si="154"/>
        <v>Appartments</v>
      </c>
      <c r="S262">
        <f t="shared" si="155"/>
        <v>1</v>
      </c>
      <c r="T262" t="str">
        <f t="shared" si="211"/>
        <v>-</v>
      </c>
      <c r="U262" t="str">
        <f t="shared" si="212"/>
        <v>-</v>
      </c>
      <c r="V262" t="str">
        <f t="shared" si="213"/>
        <v>-</v>
      </c>
      <c r="W262" t="str">
        <f t="shared" si="214"/>
        <v>-</v>
      </c>
      <c r="X262" t="str">
        <f t="shared" si="215"/>
        <v>-</v>
      </c>
      <c r="Y262" t="str">
        <f t="shared" si="216"/>
        <v>-</v>
      </c>
      <c r="Z262" t="str">
        <f t="shared" si="217"/>
        <v>-</v>
      </c>
      <c r="AA262" t="str">
        <f t="shared" si="218"/>
        <v>-</v>
      </c>
      <c r="AB262" t="str">
        <f t="shared" si="219"/>
        <v>-</v>
      </c>
      <c r="AC262" t="str">
        <f t="shared" si="220"/>
        <v>-</v>
      </c>
    </row>
    <row r="263" spans="1:29" x14ac:dyDescent="0.3">
      <c r="A263" t="s">
        <v>67</v>
      </c>
      <c r="B263" t="str">
        <f t="shared" ref="B263:D263" si="224">B159</f>
        <v>Appartments</v>
      </c>
      <c r="C263">
        <f t="shared" si="224"/>
        <v>2</v>
      </c>
      <c r="D263">
        <f t="shared" si="224"/>
        <v>3</v>
      </c>
      <c r="E263" t="e">
        <f>AVERAGEIFS('Region 2'!$W$2:$W$498,'Region 2'!$A$2:$A$498,E$1,'Region 2'!$X$2:$X$498,$D263,'Region 2'!$S$2:$S$498,$A263)</f>
        <v>#DIV/0!</v>
      </c>
      <c r="F263" t="e">
        <f>AVERAGEIFS('Region 2'!$W$2:$W$498,'Region 2'!$A$2:$A$498,F$1,'Region 2'!$X$2:$X$498,$D263,'Region 2'!$S$2:$S$498,$A263)</f>
        <v>#DIV/0!</v>
      </c>
      <c r="G263" t="e">
        <f>AVERAGEIFS('Region 2'!$W$2:$W$498,'Region 2'!$A$2:$A$498,G$1,'Region 2'!$X$2:$X$498,$D263,'Region 2'!$S$2:$S$498,$A263)</f>
        <v>#DIV/0!</v>
      </c>
      <c r="H263" t="e">
        <f>AVERAGEIFS('Region 2'!$W$2:$W$498,'Region 2'!$A$2:$A$498,H$1,'Region 2'!$X$2:$X$498,$D263,'Region 2'!$S$2:$S$498,$A263)</f>
        <v>#DIV/0!</v>
      </c>
      <c r="I263" t="e">
        <f>AVERAGEIFS('Region 2'!$W$2:$W$498,'Region 2'!$A$2:$A$498,I$1,'Region 2'!$X$2:$X$498,$D263,'Region 2'!$S$2:$S$498,$A263)</f>
        <v>#DIV/0!</v>
      </c>
      <c r="J263" t="e">
        <f>AVERAGEIFS('Region 2'!$W$2:$W$498,'Region 2'!$A$2:$A$498,J$1,'Region 2'!$X$2:$X$498,$D263,'Region 2'!$S$2:$S$498,$A263)</f>
        <v>#DIV/0!</v>
      </c>
      <c r="K263" t="e">
        <f>AVERAGEIFS('Region 2'!$W$2:$W$498,'Region 2'!$A$2:$A$498,K$1,'Region 2'!$X$2:$X$498,$D263,'Region 2'!$S$2:$S$498,$A263)</f>
        <v>#DIV/0!</v>
      </c>
      <c r="L263" t="e">
        <f>AVERAGEIFS('Region 2'!$W$2:$W$498,'Region 2'!$A$2:$A$498,L$1,'Region 2'!$X$2:$X$498,$D263,'Region 2'!$S$2:$S$498,$A263)</f>
        <v>#DIV/0!</v>
      </c>
      <c r="M263" t="e">
        <f>AVERAGEIFS('Region 2'!$W$2:$W$498,'Region 2'!$A$2:$A$498,M$1,'Region 2'!$X$2:$X$498,$D263,'Region 2'!$S$2:$S$498,$A263)</f>
        <v>#DIV/0!</v>
      </c>
      <c r="N263" t="e">
        <f>AVERAGEIFS('Region 2'!$W$2:$W$498,'Region 2'!$A$2:$A$498,N$1,'Region 2'!$X$2:$X$498,$D263,'Region 2'!$S$2:$S$498,$A263)</f>
        <v>#DIV/0!</v>
      </c>
      <c r="Q263" t="str">
        <f t="shared" si="153"/>
        <v>Wood</v>
      </c>
      <c r="R263" t="str">
        <f t="shared" si="154"/>
        <v>Appartments</v>
      </c>
      <c r="S263">
        <f t="shared" si="155"/>
        <v>2</v>
      </c>
      <c r="T263" t="str">
        <f t="shared" si="211"/>
        <v>-</v>
      </c>
      <c r="U263" t="str">
        <f t="shared" si="212"/>
        <v>-</v>
      </c>
      <c r="V263" t="str">
        <f t="shared" si="213"/>
        <v>-</v>
      </c>
      <c r="W263" t="str">
        <f t="shared" si="214"/>
        <v>-</v>
      </c>
      <c r="X263" t="str">
        <f t="shared" si="215"/>
        <v>-</v>
      </c>
      <c r="Y263" t="str">
        <f t="shared" si="216"/>
        <v>-</v>
      </c>
      <c r="Z263" t="str">
        <f t="shared" si="217"/>
        <v>-</v>
      </c>
      <c r="AA263" t="str">
        <f t="shared" si="218"/>
        <v>-</v>
      </c>
      <c r="AB263" t="str">
        <f t="shared" si="219"/>
        <v>-</v>
      </c>
      <c r="AC263" t="str">
        <f t="shared" si="220"/>
        <v>-</v>
      </c>
    </row>
    <row r="264" spans="1:29" x14ac:dyDescent="0.3">
      <c r="A264" t="s">
        <v>67</v>
      </c>
      <c r="B264" t="str">
        <f t="shared" ref="B264:D264" si="225">B160</f>
        <v>Appartments</v>
      </c>
      <c r="C264">
        <f t="shared" si="225"/>
        <v>3</v>
      </c>
      <c r="D264">
        <f t="shared" si="225"/>
        <v>3</v>
      </c>
      <c r="E264" t="e">
        <f ca="1">AVERAGEIFS('Region 3'!$W$2:$W$500,'Region 3'!$A$2:$A$500,E$1,'Region 3'!$X$2:$X$500,$D264,'Region 3'!$S$2:$S$500,$A264)</f>
        <v>#DIV/0!</v>
      </c>
      <c r="F264" t="e">
        <f ca="1">AVERAGEIFS('Region 3'!$W$2:$W$500,'Region 3'!$A$2:$A$500,F$1,'Region 3'!$X$2:$X$500,$D264,'Region 3'!$S$2:$S$500,$A264)</f>
        <v>#DIV/0!</v>
      </c>
      <c r="G264" t="e">
        <f ca="1">AVERAGEIFS('Region 3'!$W$2:$W$500,'Region 3'!$A$2:$A$500,G$1,'Region 3'!$X$2:$X$500,$D264,'Region 3'!$S$2:$S$500,$A264)</f>
        <v>#DIV/0!</v>
      </c>
      <c r="H264" t="e">
        <f ca="1">AVERAGEIFS('Region 3'!$W$2:$W$500,'Region 3'!$A$2:$A$500,H$1,'Region 3'!$X$2:$X$500,$D264,'Region 3'!$S$2:$S$500,$A264)</f>
        <v>#DIV/0!</v>
      </c>
      <c r="I264" t="e">
        <f ca="1">AVERAGEIFS('Region 3'!$W$2:$W$500,'Region 3'!$A$2:$A$500,I$1,'Region 3'!$X$2:$X$500,$D264,'Region 3'!$S$2:$S$500,$A264)</f>
        <v>#DIV/0!</v>
      </c>
      <c r="J264" t="e">
        <f ca="1">AVERAGEIFS('Region 3'!$W$2:$W$500,'Region 3'!$A$2:$A$500,J$1,'Region 3'!$X$2:$X$500,$D264,'Region 3'!$S$2:$S$500,$A264)</f>
        <v>#DIV/0!</v>
      </c>
      <c r="K264" t="e">
        <f ca="1">AVERAGEIFS('Region 3'!$W$2:$W$500,'Region 3'!$A$2:$A$500,K$1,'Region 3'!$X$2:$X$500,$D264,'Region 3'!$S$2:$S$500,$A264)</f>
        <v>#DIV/0!</v>
      </c>
      <c r="L264" t="e">
        <f ca="1">AVERAGEIFS('Region 3'!$W$2:$W$500,'Region 3'!$A$2:$A$500,L$1,'Region 3'!$X$2:$X$500,$D264,'Region 3'!$S$2:$S$500,$A264)</f>
        <v>#DIV/0!</v>
      </c>
      <c r="M264" t="e">
        <f ca="1">AVERAGEIFS('Region 3'!$W$2:$W$500,'Region 3'!$A$2:$A$500,M$1,'Region 3'!$X$2:$X$500,$D264,'Region 3'!$S$2:$S$500,$A264)</f>
        <v>#DIV/0!</v>
      </c>
      <c r="N264" t="e">
        <f ca="1">AVERAGEIFS('Region 3'!$W$2:$W$500,'Region 3'!$A$2:$A$500,N$1,'Region 3'!$X$2:$X$500,$D264,'Region 3'!$S$2:$S$500,$A264)</f>
        <v>#DIV/0!</v>
      </c>
      <c r="Q264" t="str">
        <f t="shared" si="153"/>
        <v>Wood</v>
      </c>
      <c r="R264" t="str">
        <f t="shared" si="154"/>
        <v>Appartments</v>
      </c>
      <c r="S264">
        <f t="shared" si="155"/>
        <v>3</v>
      </c>
      <c r="T264" t="str">
        <f t="shared" ca="1" si="211"/>
        <v>-</v>
      </c>
      <c r="U264" t="str">
        <f t="shared" ca="1" si="212"/>
        <v>-</v>
      </c>
      <c r="V264" t="str">
        <f t="shared" ca="1" si="213"/>
        <v>-</v>
      </c>
      <c r="W264" t="str">
        <f t="shared" ca="1" si="214"/>
        <v>-</v>
      </c>
      <c r="X264" t="str">
        <f t="shared" ca="1" si="215"/>
        <v>-</v>
      </c>
      <c r="Y264" t="str">
        <f t="shared" ca="1" si="216"/>
        <v>-</v>
      </c>
      <c r="Z264" t="str">
        <f t="shared" ca="1" si="217"/>
        <v>-</v>
      </c>
      <c r="AA264" t="str">
        <f t="shared" ca="1" si="218"/>
        <v>-</v>
      </c>
      <c r="AB264" t="str">
        <f t="shared" ca="1" si="219"/>
        <v>-</v>
      </c>
      <c r="AC264" t="str">
        <f t="shared" ca="1" si="220"/>
        <v>-</v>
      </c>
    </row>
    <row r="265" spans="1:29" x14ac:dyDescent="0.3">
      <c r="A265" t="s">
        <v>67</v>
      </c>
      <c r="B265" t="str">
        <f t="shared" ref="B265:D265" si="226">B161</f>
        <v>Appartments</v>
      </c>
      <c r="C265">
        <f t="shared" si="226"/>
        <v>4</v>
      </c>
      <c r="D265">
        <f t="shared" si="226"/>
        <v>3</v>
      </c>
      <c r="E265" t="e">
        <f>AVERAGEIFS('Region 4'!$W$2:$W$10,'Region 4'!$A$2:$A$10,E$1,'Region 4'!$X$2:$X$10,$D265,'Region 4'!$S$2:$S$10,$A265)</f>
        <v>#DIV/0!</v>
      </c>
      <c r="F265" t="e">
        <f>AVERAGEIFS('Region 4'!$W$2:$W$10,'Region 4'!$A$2:$A$10,F$1,'Region 4'!$X$2:$X$10,$D265,'Region 4'!$S$2:$S$10,$A265)</f>
        <v>#DIV/0!</v>
      </c>
      <c r="G265" t="e">
        <f>AVERAGEIFS('Region 4'!$W$2:$W$10,'Region 4'!$A$2:$A$10,G$1,'Region 4'!$X$2:$X$10,$D265,'Region 4'!$S$2:$S$10,$A265)</f>
        <v>#DIV/0!</v>
      </c>
      <c r="H265" t="e">
        <f>AVERAGEIFS('Region 4'!$W$2:$W$10,'Region 4'!$A$2:$A$10,H$1,'Region 4'!$X$2:$X$10,$D265,'Region 4'!$S$2:$S$10,$A265)</f>
        <v>#DIV/0!</v>
      </c>
      <c r="I265" t="e">
        <f>AVERAGEIFS('Region 4'!$W$2:$W$10,'Region 4'!$A$2:$A$10,I$1,'Region 4'!$X$2:$X$10,$D265,'Region 4'!$S$2:$S$10,$A265)</f>
        <v>#DIV/0!</v>
      </c>
      <c r="J265" t="e">
        <f>AVERAGEIFS('Region 4'!$W$2:$W$10,'Region 4'!$A$2:$A$10,J$1,'Region 4'!$X$2:$X$10,$D265,'Region 4'!$S$2:$S$10,$A265)</f>
        <v>#DIV/0!</v>
      </c>
      <c r="K265" t="e">
        <f>AVERAGEIFS('Region 4'!$W$2:$W$10,'Region 4'!$A$2:$A$10,K$1,'Region 4'!$X$2:$X$10,$D265,'Region 4'!$S$2:$S$10,$A265)</f>
        <v>#DIV/0!</v>
      </c>
      <c r="L265" t="e">
        <f>AVERAGEIFS('Region 4'!$W$2:$W$10,'Region 4'!$A$2:$A$10,L$1,'Region 4'!$X$2:$X$10,$D265,'Region 4'!$S$2:$S$10,$A265)</f>
        <v>#DIV/0!</v>
      </c>
      <c r="M265" t="e">
        <f>AVERAGEIFS('Region 4'!$W$2:$W$10,'Region 4'!$A$2:$A$10,M$1,'Region 4'!$X$2:$X$10,$D265,'Region 4'!$S$2:$S$10,$A265)</f>
        <v>#DIV/0!</v>
      </c>
      <c r="N265" t="e">
        <f>AVERAGEIFS('Region 4'!$W$2:$W$10,'Region 4'!$A$2:$A$10,N$1,'Region 4'!$X$2:$X$10,$D265,'Region 4'!$S$2:$S$10,$A265)</f>
        <v>#DIV/0!</v>
      </c>
      <c r="Q265" t="str">
        <f t="shared" si="153"/>
        <v>Wood</v>
      </c>
      <c r="R265" t="str">
        <f t="shared" si="154"/>
        <v>Appartments</v>
      </c>
      <c r="S265">
        <f t="shared" si="155"/>
        <v>4</v>
      </c>
      <c r="T265" t="str">
        <f t="shared" si="211"/>
        <v>-</v>
      </c>
      <c r="U265" t="str">
        <f t="shared" si="212"/>
        <v>-</v>
      </c>
      <c r="V265" t="str">
        <f t="shared" si="213"/>
        <v>-</v>
      </c>
      <c r="W265" t="str">
        <f t="shared" si="214"/>
        <v>-</v>
      </c>
      <c r="X265" t="str">
        <f t="shared" si="215"/>
        <v>-</v>
      </c>
      <c r="Y265" t="str">
        <f t="shared" si="216"/>
        <v>-</v>
      </c>
      <c r="Z265" t="str">
        <f t="shared" si="217"/>
        <v>-</v>
      </c>
      <c r="AA265" t="str">
        <f t="shared" si="218"/>
        <v>-</v>
      </c>
      <c r="AB265" t="str">
        <f t="shared" si="219"/>
        <v>-</v>
      </c>
      <c r="AC265" t="str">
        <f t="shared" si="220"/>
        <v>-</v>
      </c>
    </row>
    <row r="266" spans="1:29" x14ac:dyDescent="0.3">
      <c r="A266" t="s">
        <v>67</v>
      </c>
      <c r="B266" t="str">
        <f t="shared" ref="B266:D266" si="227">B162</f>
        <v>Appartments</v>
      </c>
      <c r="C266">
        <f t="shared" si="227"/>
        <v>5</v>
      </c>
      <c r="D266">
        <f t="shared" si="227"/>
        <v>3</v>
      </c>
      <c r="E266" t="e">
        <f>AVERAGEIFS('Region 5'!$W$2:$W$496,'Region 5'!$A$2:$A$496,E$1,'Region 5'!$X$2:$X$496,$D266,'Region 5'!$S$2:$S$496,$A266)</f>
        <v>#DIV/0!</v>
      </c>
      <c r="F266" t="e">
        <f>AVERAGEIFS('Region 5'!$W$2:$W$496,'Region 5'!$A$2:$A$496,F$1,'Region 5'!$X$2:$X$496,$D266,'Region 5'!$S$2:$S$496,$A266)</f>
        <v>#DIV/0!</v>
      </c>
      <c r="G266" t="e">
        <f>AVERAGEIFS('Region 5'!$W$2:$W$496,'Region 5'!$A$2:$A$496,G$1,'Region 5'!$X$2:$X$496,$D266,'Region 5'!$S$2:$S$496,$A266)</f>
        <v>#DIV/0!</v>
      </c>
      <c r="H266" t="e">
        <f>AVERAGEIFS('Region 5'!$W$2:$W$496,'Region 5'!$A$2:$A$496,H$1,'Region 5'!$X$2:$X$496,$D266,'Region 5'!$S$2:$S$496,$A266)</f>
        <v>#DIV/0!</v>
      </c>
      <c r="I266" t="e">
        <f>AVERAGEIFS('Region 5'!$W$2:$W$496,'Region 5'!$A$2:$A$496,I$1,'Region 5'!$X$2:$X$496,$D266,'Region 5'!$S$2:$S$496,$A266)</f>
        <v>#DIV/0!</v>
      </c>
      <c r="J266" t="e">
        <f>AVERAGEIFS('Region 5'!$W$2:$W$496,'Region 5'!$A$2:$A$496,J$1,'Region 5'!$X$2:$X$496,$D266,'Region 5'!$S$2:$S$496,$A266)</f>
        <v>#DIV/0!</v>
      </c>
      <c r="K266" t="e">
        <f>AVERAGEIFS('Region 5'!$W$2:$W$496,'Region 5'!$A$2:$A$496,K$1,'Region 5'!$X$2:$X$496,$D266,'Region 5'!$S$2:$S$496,$A266)</f>
        <v>#DIV/0!</v>
      </c>
      <c r="L266" t="e">
        <f>AVERAGEIFS('Region 5'!$W$2:$W$496,'Region 5'!$A$2:$A$496,L$1,'Region 5'!$X$2:$X$496,$D266,'Region 5'!$S$2:$S$496,$A266)</f>
        <v>#DIV/0!</v>
      </c>
      <c r="M266" t="e">
        <f>AVERAGEIFS('Region 5'!$W$2:$W$496,'Region 5'!$A$2:$A$496,M$1,'Region 5'!$X$2:$X$496,$D266,'Region 5'!$S$2:$S$496,$A266)</f>
        <v>#DIV/0!</v>
      </c>
      <c r="N266" t="e">
        <f>AVERAGEIFS('Region 5'!$W$2:$W$496,'Region 5'!$A$2:$A$496,N$1,'Region 5'!$X$2:$X$496,$D266,'Region 5'!$S$2:$S$496,$A266)</f>
        <v>#DIV/0!</v>
      </c>
      <c r="Q266" t="str">
        <f t="shared" si="153"/>
        <v>Wood</v>
      </c>
      <c r="R266" t="str">
        <f t="shared" si="154"/>
        <v>Appartments</v>
      </c>
      <c r="S266">
        <f t="shared" si="155"/>
        <v>5</v>
      </c>
      <c r="T266" t="str">
        <f t="shared" si="211"/>
        <v>-</v>
      </c>
      <c r="U266" t="str">
        <f t="shared" si="212"/>
        <v>-</v>
      </c>
      <c r="V266" t="str">
        <f t="shared" si="213"/>
        <v>-</v>
      </c>
      <c r="W266" t="str">
        <f t="shared" si="214"/>
        <v>-</v>
      </c>
      <c r="X266" t="str">
        <f t="shared" si="215"/>
        <v>-</v>
      </c>
      <c r="Y266" t="str">
        <f t="shared" si="216"/>
        <v>-</v>
      </c>
      <c r="Z266" t="str">
        <f t="shared" si="217"/>
        <v>-</v>
      </c>
      <c r="AA266" t="str">
        <f t="shared" si="218"/>
        <v>-</v>
      </c>
      <c r="AB266" t="str">
        <f t="shared" si="219"/>
        <v>-</v>
      </c>
      <c r="AC266" t="str">
        <f t="shared" si="220"/>
        <v>-</v>
      </c>
    </row>
    <row r="267" spans="1:29" x14ac:dyDescent="0.3">
      <c r="A267" t="s">
        <v>67</v>
      </c>
      <c r="B267" t="str">
        <f t="shared" ref="B267:D267" si="228">B163</f>
        <v>Appartments</v>
      </c>
      <c r="C267">
        <f t="shared" si="228"/>
        <v>6</v>
      </c>
      <c r="D267">
        <f t="shared" si="228"/>
        <v>3</v>
      </c>
      <c r="E267">
        <f>AVERAGEIFS('Region 6'!$W$2:$W$496,'Region 6'!$A$2:$A$496,E$1,'Region 6'!$X$2:$X$496,$D267,'Region 6'!$S$2:$S$496,$A267)</f>
        <v>2.7</v>
      </c>
      <c r="F267" t="e">
        <f>AVERAGEIFS('Region 6'!$W$2:$W$496,'Region 6'!$A$2:$A$496,F$1,'Region 6'!$X$2:$X$496,$D267,'Region 6'!$S$2:$S$496,$A267)</f>
        <v>#DIV/0!</v>
      </c>
      <c r="G267" t="e">
        <f>AVERAGEIFS('Region 6'!$W$2:$W$496,'Region 6'!$A$2:$A$496,G$1,'Region 6'!$X$2:$X$496,$D267,'Region 6'!$S$2:$S$496,$A267)</f>
        <v>#DIV/0!</v>
      </c>
      <c r="H267" t="e">
        <f>AVERAGEIFS('Region 6'!$W$2:$W$496,'Region 6'!$A$2:$A$496,H$1,'Region 6'!$X$2:$X$496,$D267,'Region 6'!$S$2:$S$496,$A267)</f>
        <v>#DIV/0!</v>
      </c>
      <c r="I267" t="e">
        <f>AVERAGEIFS('Region 6'!$W$2:$W$496,'Region 6'!$A$2:$A$496,I$1,'Region 6'!$X$2:$X$496,$D267,'Region 6'!$S$2:$S$496,$A267)</f>
        <v>#DIV/0!</v>
      </c>
      <c r="J267" t="e">
        <f>AVERAGEIFS('Region 6'!$W$2:$W$496,'Region 6'!$A$2:$A$496,J$1,'Region 6'!$X$2:$X$496,$D267,'Region 6'!$S$2:$S$496,$A267)</f>
        <v>#DIV/0!</v>
      </c>
      <c r="K267" t="e">
        <f>AVERAGEIFS('Region 6'!$W$2:$W$496,'Region 6'!$A$2:$A$496,K$1,'Region 6'!$X$2:$X$496,$D267,'Region 6'!$S$2:$S$496,$A267)</f>
        <v>#DIV/0!</v>
      </c>
      <c r="L267" t="e">
        <f>AVERAGEIFS('Region 6'!$W$2:$W$496,'Region 6'!$A$2:$A$496,L$1,'Region 6'!$X$2:$X$496,$D267,'Region 6'!$S$2:$S$496,$A267)</f>
        <v>#DIV/0!</v>
      </c>
      <c r="M267" t="e">
        <f>AVERAGEIFS('Region 6'!$W$2:$W$496,'Region 6'!$A$2:$A$496,M$1,'Region 6'!$X$2:$X$496,$D267,'Region 6'!$S$2:$S$496,$A267)</f>
        <v>#DIV/0!</v>
      </c>
      <c r="N267" t="e">
        <f>AVERAGEIFS('Region 6'!$W$2:$W$496,'Region 6'!$A$2:$A$496,N$1,'Region 6'!$X$2:$X$496,$D267,'Region 6'!$S$2:$S$496,$A267)</f>
        <v>#DIV/0!</v>
      </c>
      <c r="Q267" t="str">
        <f t="shared" ref="Q267:Q330" si="229">A267</f>
        <v>Wood</v>
      </c>
      <c r="R267" t="str">
        <f t="shared" ref="R267:R330" si="230">B267</f>
        <v>Appartments</v>
      </c>
      <c r="S267">
        <f t="shared" ref="S267:S330" si="231">C267</f>
        <v>6</v>
      </c>
      <c r="T267">
        <f t="shared" si="211"/>
        <v>2.7</v>
      </c>
      <c r="U267" t="str">
        <f t="shared" si="212"/>
        <v>-</v>
      </c>
      <c r="V267" t="str">
        <f t="shared" si="213"/>
        <v>-</v>
      </c>
      <c r="W267" t="str">
        <f t="shared" si="214"/>
        <v>-</v>
      </c>
      <c r="X267" t="str">
        <f t="shared" si="215"/>
        <v>-</v>
      </c>
      <c r="Y267" t="str">
        <f t="shared" si="216"/>
        <v>-</v>
      </c>
      <c r="Z267" t="str">
        <f t="shared" si="217"/>
        <v>-</v>
      </c>
      <c r="AA267" t="str">
        <f t="shared" si="218"/>
        <v>-</v>
      </c>
      <c r="AB267" t="str">
        <f t="shared" si="219"/>
        <v>-</v>
      </c>
      <c r="AC267" t="str">
        <f t="shared" si="220"/>
        <v>-</v>
      </c>
    </row>
    <row r="268" spans="1:29" x14ac:dyDescent="0.3">
      <c r="A268" t="s">
        <v>67</v>
      </c>
      <c r="B268" t="str">
        <f t="shared" ref="B268:D268" si="232">B164</f>
        <v>Appartments</v>
      </c>
      <c r="C268">
        <f t="shared" si="232"/>
        <v>7</v>
      </c>
      <c r="D268">
        <f t="shared" si="232"/>
        <v>3</v>
      </c>
      <c r="E268" t="e">
        <f ca="1">AVERAGEIFS('Region 7'!$W$2:$W$500,'Region 7'!$A$2:$A$500,E$1,'Region 7'!$X$2:$X$500,$D268,'Region 7'!$S$2:$S$500,$A268)</f>
        <v>#DIV/0!</v>
      </c>
      <c r="F268" t="e">
        <f ca="1">AVERAGEIFS('Region 7'!$W$2:$W$500,'Region 7'!$A$2:$A$500,F$1,'Region 7'!$X$2:$X$500,$D268,'Region 7'!$S$2:$S$500,$A268)</f>
        <v>#DIV/0!</v>
      </c>
      <c r="G268" t="e">
        <f ca="1">AVERAGEIFS('Region 7'!$W$2:$W$500,'Region 7'!$A$2:$A$500,G$1,'Region 7'!$X$2:$X$500,$D268,'Region 7'!$S$2:$S$500,$A268)</f>
        <v>#DIV/0!</v>
      </c>
      <c r="H268" t="e">
        <f ca="1">AVERAGEIFS('Region 7'!$W$2:$W$500,'Region 7'!$A$2:$A$500,H$1,'Region 7'!$X$2:$X$500,$D268,'Region 7'!$S$2:$S$500,$A268)</f>
        <v>#DIV/0!</v>
      </c>
      <c r="I268" t="e">
        <f ca="1">AVERAGEIFS('Region 7'!$W$2:$W$500,'Region 7'!$A$2:$A$500,I$1,'Region 7'!$X$2:$X$500,$D268,'Region 7'!$S$2:$S$500,$A268)</f>
        <v>#DIV/0!</v>
      </c>
      <c r="J268" t="e">
        <f ca="1">AVERAGEIFS('Region 7'!$W$2:$W$500,'Region 7'!$A$2:$A$500,J$1,'Region 7'!$X$2:$X$500,$D268,'Region 7'!$S$2:$S$500,$A268)</f>
        <v>#DIV/0!</v>
      </c>
      <c r="K268" t="e">
        <f ca="1">AVERAGEIFS('Region 7'!$W$2:$W$500,'Region 7'!$A$2:$A$500,K$1,'Region 7'!$X$2:$X$500,$D268,'Region 7'!$S$2:$S$500,$A268)</f>
        <v>#DIV/0!</v>
      </c>
      <c r="L268" t="e">
        <f ca="1">AVERAGEIFS('Region 7'!$W$2:$W$500,'Region 7'!$A$2:$A$500,L$1,'Region 7'!$X$2:$X$500,$D268,'Region 7'!$S$2:$S$500,$A268)</f>
        <v>#DIV/0!</v>
      </c>
      <c r="M268" t="e">
        <f ca="1">AVERAGEIFS('Region 7'!$W$2:$W$500,'Region 7'!$A$2:$A$500,M$1,'Region 7'!$X$2:$X$500,$D268,'Region 7'!$S$2:$S$500,$A268)</f>
        <v>#DIV/0!</v>
      </c>
      <c r="N268" t="e">
        <f ca="1">AVERAGEIFS('Region 7'!$W$2:$W$500,'Region 7'!$A$2:$A$500,N$1,'Region 7'!$X$2:$X$500,$D268,'Region 7'!$S$2:$S$500,$A268)</f>
        <v>#DIV/0!</v>
      </c>
      <c r="Q268" t="str">
        <f t="shared" si="229"/>
        <v>Wood</v>
      </c>
      <c r="R268" t="str">
        <f t="shared" si="230"/>
        <v>Appartments</v>
      </c>
      <c r="S268">
        <f t="shared" si="231"/>
        <v>7</v>
      </c>
      <c r="T268" t="str">
        <f t="shared" ca="1" si="211"/>
        <v>-</v>
      </c>
      <c r="U268" t="str">
        <f t="shared" ca="1" si="212"/>
        <v>-</v>
      </c>
      <c r="V268" t="str">
        <f t="shared" ca="1" si="213"/>
        <v>-</v>
      </c>
      <c r="W268" t="str">
        <f t="shared" ca="1" si="214"/>
        <v>-</v>
      </c>
      <c r="X268" t="str">
        <f t="shared" ca="1" si="215"/>
        <v>-</v>
      </c>
      <c r="Y268" t="str">
        <f t="shared" ca="1" si="216"/>
        <v>-</v>
      </c>
      <c r="Z268" t="str">
        <f t="shared" ca="1" si="217"/>
        <v>-</v>
      </c>
      <c r="AA268" t="str">
        <f t="shared" ca="1" si="218"/>
        <v>-</v>
      </c>
      <c r="AB268" t="str">
        <f t="shared" ca="1" si="219"/>
        <v>-</v>
      </c>
      <c r="AC268" t="str">
        <f t="shared" ca="1" si="220"/>
        <v>-</v>
      </c>
    </row>
    <row r="269" spans="1:29" x14ac:dyDescent="0.3">
      <c r="A269" t="s">
        <v>67</v>
      </c>
      <c r="B269" t="str">
        <f t="shared" ref="B269:D269" si="233">B165</f>
        <v>Appartments</v>
      </c>
      <c r="C269">
        <f t="shared" si="233"/>
        <v>8</v>
      </c>
      <c r="D269">
        <f t="shared" si="233"/>
        <v>3</v>
      </c>
      <c r="E269" t="e">
        <f>AVERAGEIFS('Region 8'!$W$2:$W$497,'Region 8'!$A$2:$A$497,E$1,'Region 8'!$X$2:$X$497,$D269,'Region 8'!$S$2:$S$497,$A269)</f>
        <v>#DIV/0!</v>
      </c>
      <c r="F269">
        <f>AVERAGEIFS('Region 8'!$W$2:$W$497,'Region 8'!$A$2:$A$497,F$1,'Region 8'!$X$2:$X$497,$D269,'Region 8'!$S$2:$S$497,$A269)</f>
        <v>42.057098765432102</v>
      </c>
      <c r="G269" t="e">
        <f>AVERAGEIFS('Region 8'!$W$2:$W$497,'Region 8'!$A$2:$A$497,G$1,'Region 8'!$X$2:$X$497,$D269,'Region 8'!$S$2:$S$497,$A269)</f>
        <v>#DIV/0!</v>
      </c>
      <c r="H269" t="e">
        <f>AVERAGEIFS('Region 8'!$W$2:$W$497,'Region 8'!$A$2:$A$497,H$1,'Region 8'!$X$2:$X$497,$D269,'Region 8'!$S$2:$S$497,$A269)</f>
        <v>#DIV/0!</v>
      </c>
      <c r="I269" t="e">
        <f>AVERAGEIFS('Region 8'!$W$2:$W$497,'Region 8'!$A$2:$A$497,I$1,'Region 8'!$X$2:$X$497,$D269,'Region 8'!$S$2:$S$497,$A269)</f>
        <v>#DIV/0!</v>
      </c>
      <c r="J269" t="e">
        <f>AVERAGEIFS('Region 8'!$W$2:$W$497,'Region 8'!$A$2:$A$497,J$1,'Region 8'!$X$2:$X$497,$D269,'Region 8'!$S$2:$S$497,$A269)</f>
        <v>#DIV/0!</v>
      </c>
      <c r="K269" t="e">
        <f>AVERAGEIFS('Region 8'!$W$2:$W$497,'Region 8'!$A$2:$A$497,K$1,'Region 8'!$X$2:$X$497,$D269,'Region 8'!$S$2:$S$497,$A269)</f>
        <v>#DIV/0!</v>
      </c>
      <c r="L269" t="e">
        <f>AVERAGEIFS('Region 8'!$W$2:$W$497,'Region 8'!$A$2:$A$497,L$1,'Region 8'!$X$2:$X$497,$D269,'Region 8'!$S$2:$S$497,$A269)</f>
        <v>#DIV/0!</v>
      </c>
      <c r="M269" t="e">
        <f>AVERAGEIFS('Region 8'!$W$2:$W$497,'Region 8'!$A$2:$A$497,M$1,'Region 8'!$X$2:$X$497,$D269,'Region 8'!$S$2:$S$497,$A269)</f>
        <v>#DIV/0!</v>
      </c>
      <c r="N269" t="e">
        <f>AVERAGEIFS('Region 8'!$W$2:$W$497,'Region 8'!$A$2:$A$497,N$1,'Region 8'!$X$2:$X$497,$D269,'Region 8'!$S$2:$S$497,$A269)</f>
        <v>#DIV/0!</v>
      </c>
      <c r="Q269" t="str">
        <f t="shared" si="229"/>
        <v>Wood</v>
      </c>
      <c r="R269" t="str">
        <f t="shared" si="230"/>
        <v>Appartments</v>
      </c>
      <c r="S269">
        <f t="shared" si="231"/>
        <v>8</v>
      </c>
      <c r="T269" t="str">
        <f t="shared" si="211"/>
        <v>-</v>
      </c>
      <c r="U269">
        <f t="shared" si="212"/>
        <v>42.057098765432102</v>
      </c>
      <c r="V269" t="str">
        <f t="shared" si="213"/>
        <v>-</v>
      </c>
      <c r="W269" t="str">
        <f t="shared" si="214"/>
        <v>-</v>
      </c>
      <c r="X269" t="str">
        <f t="shared" si="215"/>
        <v>-</v>
      </c>
      <c r="Y269" t="str">
        <f t="shared" si="216"/>
        <v>-</v>
      </c>
      <c r="Z269" t="str">
        <f t="shared" si="217"/>
        <v>-</v>
      </c>
      <c r="AA269" t="str">
        <f t="shared" si="218"/>
        <v>-</v>
      </c>
      <c r="AB269" t="str">
        <f t="shared" si="219"/>
        <v>-</v>
      </c>
      <c r="AC269" t="str">
        <f t="shared" si="220"/>
        <v>-</v>
      </c>
    </row>
    <row r="270" spans="1:29" x14ac:dyDescent="0.3">
      <c r="A270" t="s">
        <v>67</v>
      </c>
      <c r="B270" t="str">
        <f t="shared" ref="B270:D270" si="234">B166</f>
        <v>Appartments</v>
      </c>
      <c r="C270">
        <f t="shared" si="234"/>
        <v>9</v>
      </c>
      <c r="D270">
        <f t="shared" si="234"/>
        <v>3</v>
      </c>
      <c r="E270" t="e">
        <f ca="1">AVERAGEIFS('Region 9'!$W$2:$W$500,'Region 9'!$A$2:$A$500,E$1,'Region 9'!$X$2:$X$500,$D270,'Region 9'!$S$2:$S$500,$A270)</f>
        <v>#DIV/0!</v>
      </c>
      <c r="F270" t="e">
        <f ca="1">AVERAGEIFS('Region 9'!$W$2:$W$500,'Region 9'!$A$2:$A$500,F$1,'Region 9'!$X$2:$X$500,$D270,'Region 9'!$S$2:$S$500,$A270)</f>
        <v>#DIV/0!</v>
      </c>
      <c r="G270" t="e">
        <f ca="1">AVERAGEIFS('Region 9'!$W$2:$W$500,'Region 9'!$A$2:$A$500,G$1,'Region 9'!$X$2:$X$500,$D270,'Region 9'!$S$2:$S$500,$A270)</f>
        <v>#DIV/0!</v>
      </c>
      <c r="H270" t="e">
        <f ca="1">AVERAGEIFS('Region 9'!$W$2:$W$500,'Region 9'!$A$2:$A$500,H$1,'Region 9'!$X$2:$X$500,$D270,'Region 9'!$S$2:$S$500,$A270)</f>
        <v>#DIV/0!</v>
      </c>
      <c r="I270" t="e">
        <f ca="1">AVERAGEIFS('Region 9'!$W$2:$W$500,'Region 9'!$A$2:$A$500,I$1,'Region 9'!$X$2:$X$500,$D270,'Region 9'!$S$2:$S$500,$A270)</f>
        <v>#DIV/0!</v>
      </c>
      <c r="J270" t="e">
        <f ca="1">AVERAGEIFS('Region 9'!$W$2:$W$500,'Region 9'!$A$2:$A$500,J$1,'Region 9'!$X$2:$X$500,$D270,'Region 9'!$S$2:$S$500,$A270)</f>
        <v>#DIV/0!</v>
      </c>
      <c r="K270" t="e">
        <f ca="1">AVERAGEIFS('Region 9'!$W$2:$W$500,'Region 9'!$A$2:$A$500,K$1,'Region 9'!$X$2:$X$500,$D270,'Region 9'!$S$2:$S$500,$A270)</f>
        <v>#DIV/0!</v>
      </c>
      <c r="L270" t="e">
        <f ca="1">AVERAGEIFS('Region 9'!$W$2:$W$500,'Region 9'!$A$2:$A$500,L$1,'Region 9'!$X$2:$X$500,$D270,'Region 9'!$S$2:$S$500,$A270)</f>
        <v>#DIV/0!</v>
      </c>
      <c r="M270" t="e">
        <f ca="1">AVERAGEIFS('Region 9'!$W$2:$W$500,'Region 9'!$A$2:$A$500,M$1,'Region 9'!$X$2:$X$500,$D270,'Region 9'!$S$2:$S$500,$A270)</f>
        <v>#DIV/0!</v>
      </c>
      <c r="N270" t="e">
        <f ca="1">AVERAGEIFS('Region 9'!$W$2:$W$500,'Region 9'!$A$2:$A$500,N$1,'Region 9'!$X$2:$X$500,$D270,'Region 9'!$S$2:$S$500,$A270)</f>
        <v>#DIV/0!</v>
      </c>
      <c r="Q270" t="str">
        <f t="shared" si="229"/>
        <v>Wood</v>
      </c>
      <c r="R270" t="str">
        <f t="shared" si="230"/>
        <v>Appartments</v>
      </c>
      <c r="S270">
        <f t="shared" si="231"/>
        <v>9</v>
      </c>
      <c r="T270" t="str">
        <f t="shared" ca="1" si="211"/>
        <v>-</v>
      </c>
      <c r="U270" t="str">
        <f t="shared" ca="1" si="212"/>
        <v>-</v>
      </c>
      <c r="V270" t="str">
        <f t="shared" ca="1" si="213"/>
        <v>-</v>
      </c>
      <c r="W270" t="str">
        <f t="shared" ca="1" si="214"/>
        <v>-</v>
      </c>
      <c r="X270" t="str">
        <f t="shared" ca="1" si="215"/>
        <v>-</v>
      </c>
      <c r="Y270" t="str">
        <f t="shared" ca="1" si="216"/>
        <v>-</v>
      </c>
      <c r="Z270" t="str">
        <f t="shared" ca="1" si="217"/>
        <v>-</v>
      </c>
      <c r="AA270" t="str">
        <f t="shared" ca="1" si="218"/>
        <v>-</v>
      </c>
      <c r="AB270" t="str">
        <f t="shared" ca="1" si="219"/>
        <v>-</v>
      </c>
      <c r="AC270" t="str">
        <f t="shared" ca="1" si="220"/>
        <v>-</v>
      </c>
    </row>
    <row r="271" spans="1:29" x14ac:dyDescent="0.3">
      <c r="A271" t="s">
        <v>67</v>
      </c>
      <c r="B271" t="str">
        <f t="shared" ref="B271:D271" si="235">B167</f>
        <v>Appartments</v>
      </c>
      <c r="C271">
        <f t="shared" si="235"/>
        <v>10</v>
      </c>
      <c r="D271">
        <f t="shared" si="235"/>
        <v>3</v>
      </c>
      <c r="E271" t="e">
        <f>AVERAGEIFS('Region 10'!$W$2:$W$500,'Region 10'!$A$2:$A$500,E$1,'Region 10'!$X$2:$X$500,$D271,'Region 10'!$S$2:$S$500,$A271)</f>
        <v>#DIV/0!</v>
      </c>
      <c r="F271" t="e">
        <f>AVERAGEIFS('Region 10'!$W$2:$W$500,'Region 10'!$A$2:$A$500,F$1,'Region 10'!$X$2:$X$500,$D271,'Region 10'!$S$2:$S$500,$A271)</f>
        <v>#DIV/0!</v>
      </c>
      <c r="G271" t="e">
        <f>AVERAGEIFS('Region 10'!$W$2:$W$500,'Region 10'!$A$2:$A$500,G$1,'Region 10'!$X$2:$X$500,$D271,'Region 10'!$S$2:$S$500,$A271)</f>
        <v>#DIV/0!</v>
      </c>
      <c r="H271" t="e">
        <f>AVERAGEIFS('Region 10'!$W$2:$W$500,'Region 10'!$A$2:$A$500,H$1,'Region 10'!$X$2:$X$500,$D271,'Region 10'!$S$2:$S$500,$A271)</f>
        <v>#DIV/0!</v>
      </c>
      <c r="I271" t="e">
        <f>AVERAGEIFS('Region 10'!$W$2:$W$500,'Region 10'!$A$2:$A$500,I$1,'Region 10'!$X$2:$X$500,$D271,'Region 10'!$S$2:$S$500,$A271)</f>
        <v>#DIV/0!</v>
      </c>
      <c r="J271" t="e">
        <f>AVERAGEIFS('Region 10'!$W$2:$W$500,'Region 10'!$A$2:$A$500,J$1,'Region 10'!$X$2:$X$500,$D271,'Region 10'!$S$2:$S$500,$A271)</f>
        <v>#DIV/0!</v>
      </c>
      <c r="K271" t="e">
        <f>AVERAGEIFS('Region 10'!$W$2:$W$500,'Region 10'!$A$2:$A$500,K$1,'Region 10'!$X$2:$X$500,$D271,'Region 10'!$S$2:$S$500,$A271)</f>
        <v>#DIV/0!</v>
      </c>
      <c r="L271" t="e">
        <f>AVERAGEIFS('Region 10'!$W$2:$W$500,'Region 10'!$A$2:$A$500,L$1,'Region 10'!$X$2:$X$500,$D271,'Region 10'!$S$2:$S$500,$A271)</f>
        <v>#DIV/0!</v>
      </c>
      <c r="M271" t="e">
        <f>AVERAGEIFS('Region 10'!$W$2:$W$500,'Region 10'!$A$2:$A$500,M$1,'Region 10'!$X$2:$X$500,$D271,'Region 10'!$S$2:$S$500,$A271)</f>
        <v>#DIV/0!</v>
      </c>
      <c r="N271" t="e">
        <f>AVERAGEIFS('Region 10'!$W$2:$W$500,'Region 10'!$A$2:$A$500,N$1,'Region 10'!$X$2:$X$500,$D271,'Region 10'!$S$2:$S$500,$A271)</f>
        <v>#DIV/0!</v>
      </c>
      <c r="Q271" t="str">
        <f t="shared" si="229"/>
        <v>Wood</v>
      </c>
      <c r="R271" t="str">
        <f t="shared" si="230"/>
        <v>Appartments</v>
      </c>
      <c r="S271">
        <f t="shared" si="231"/>
        <v>10</v>
      </c>
      <c r="T271" t="str">
        <f t="shared" si="211"/>
        <v>-</v>
      </c>
      <c r="U271" t="str">
        <f t="shared" si="212"/>
        <v>-</v>
      </c>
      <c r="V271" t="str">
        <f t="shared" si="213"/>
        <v>-</v>
      </c>
      <c r="W271" t="str">
        <f t="shared" si="214"/>
        <v>-</v>
      </c>
      <c r="X271" t="str">
        <f t="shared" si="215"/>
        <v>-</v>
      </c>
      <c r="Y271" t="str">
        <f t="shared" si="216"/>
        <v>-</v>
      </c>
      <c r="Z271" t="str">
        <f t="shared" si="217"/>
        <v>-</v>
      </c>
      <c r="AA271" t="str">
        <f t="shared" si="218"/>
        <v>-</v>
      </c>
      <c r="AB271" t="str">
        <f t="shared" si="219"/>
        <v>-</v>
      </c>
      <c r="AC271" t="str">
        <f t="shared" si="220"/>
        <v>-</v>
      </c>
    </row>
    <row r="272" spans="1:29" x14ac:dyDescent="0.3">
      <c r="A272" t="s">
        <v>67</v>
      </c>
      <c r="B272" t="str">
        <f t="shared" ref="B272:D272" si="236">B168</f>
        <v>Appartments</v>
      </c>
      <c r="C272">
        <f t="shared" si="236"/>
        <v>11</v>
      </c>
      <c r="D272">
        <f t="shared" si="236"/>
        <v>3</v>
      </c>
      <c r="E272">
        <f>AVERAGEIFS('Region 11'!$W$2:$W$391,'Region 11'!$A$2:$A$391,E$1,'Region 11'!$X$2:$X$391,$D272,'Region 11'!$S$2:$S$391,$A272)</f>
        <v>22.239013513090157</v>
      </c>
      <c r="F272" t="e">
        <f>AVERAGEIFS('Region 11'!$W$2:$W$391,'Region 11'!$A$2:$A$391,F$1,'Region 11'!$X$2:$X$391,$D272,'Region 11'!$S$2:$S$391,$A272)</f>
        <v>#DIV/0!</v>
      </c>
      <c r="G272" t="e">
        <f>AVERAGEIFS('Region 11'!$W$2:$W$391,'Region 11'!$A$2:$A$391,G$1,'Region 11'!$X$2:$X$391,$D272,'Region 11'!$S$2:$S$391,$A272)</f>
        <v>#DIV/0!</v>
      </c>
      <c r="H272" t="e">
        <f>AVERAGEIFS('Region 11'!$W$2:$W$391,'Region 11'!$A$2:$A$391,H$1,'Region 11'!$X$2:$X$391,$D272,'Region 11'!$S$2:$S$391,$A272)</f>
        <v>#DIV/0!</v>
      </c>
      <c r="I272" t="e">
        <f>AVERAGEIFS('Region 11'!$W$2:$W$391,'Region 11'!$A$2:$A$391,I$1,'Region 11'!$X$2:$X$391,$D272,'Region 11'!$S$2:$S$391,$A272)</f>
        <v>#DIV/0!</v>
      </c>
      <c r="J272" t="e">
        <f>AVERAGEIFS('Region 11'!$W$2:$W$391,'Region 11'!$A$2:$A$391,J$1,'Region 11'!$X$2:$X$391,$D272,'Region 11'!$S$2:$S$391,$A272)</f>
        <v>#DIV/0!</v>
      </c>
      <c r="K272">
        <f>AVERAGEIFS('Region 11'!$W$2:$W$391,'Region 11'!$A$2:$A$391,K$1,'Region 11'!$X$2:$X$391,$D272,'Region 11'!$S$2:$S$391,$A272)</f>
        <v>63.885714285714286</v>
      </c>
      <c r="L272">
        <f>AVERAGEIFS('Region 11'!$W$2:$W$391,'Region 11'!$A$2:$A$391,L$1,'Region 11'!$X$2:$X$391,$D272,'Region 11'!$S$2:$S$391,$A272)</f>
        <v>102</v>
      </c>
      <c r="M272">
        <f>AVERAGEIFS('Region 11'!$W$2:$W$391,'Region 11'!$A$2:$A$391,M$1,'Region 11'!$X$2:$X$391,$D272,'Region 11'!$S$2:$S$391,$A272)</f>
        <v>80.192788515769223</v>
      </c>
      <c r="N272" t="e">
        <f>AVERAGEIFS('Region 11'!$W$2:$W$391,'Region 11'!$A$2:$A$391,N$1,'Region 11'!$X$2:$X$391,$D272,'Region 11'!$S$2:$S$391,$A272)</f>
        <v>#DIV/0!</v>
      </c>
      <c r="Q272" t="str">
        <f t="shared" si="229"/>
        <v>Wood</v>
      </c>
      <c r="R272" t="str">
        <f t="shared" si="230"/>
        <v>Appartments</v>
      </c>
      <c r="S272">
        <f t="shared" si="231"/>
        <v>11</v>
      </c>
      <c r="T272">
        <f t="shared" si="211"/>
        <v>22.239013513090157</v>
      </c>
      <c r="U272" t="str">
        <f t="shared" si="212"/>
        <v>-</v>
      </c>
      <c r="V272" t="str">
        <f t="shared" si="213"/>
        <v>-</v>
      </c>
      <c r="W272" t="str">
        <f t="shared" si="214"/>
        <v>-</v>
      </c>
      <c r="X272" t="str">
        <f t="shared" si="215"/>
        <v>-</v>
      </c>
      <c r="Y272" t="str">
        <f t="shared" si="216"/>
        <v>-</v>
      </c>
      <c r="Z272">
        <f t="shared" si="217"/>
        <v>63.885714285714286</v>
      </c>
      <c r="AA272">
        <f t="shared" si="218"/>
        <v>102</v>
      </c>
      <c r="AB272">
        <f t="shared" si="219"/>
        <v>80.192788515769223</v>
      </c>
      <c r="AC272" t="str">
        <f t="shared" si="220"/>
        <v>-</v>
      </c>
    </row>
    <row r="273" spans="1:29" x14ac:dyDescent="0.3">
      <c r="A273" t="s">
        <v>67</v>
      </c>
      <c r="B273" t="str">
        <f t="shared" ref="B273:D273" si="237">B169</f>
        <v>Appartments</v>
      </c>
      <c r="C273">
        <f t="shared" si="237"/>
        <v>12</v>
      </c>
      <c r="D273">
        <f t="shared" si="237"/>
        <v>3</v>
      </c>
      <c r="E273" t="e">
        <f>AVERAGEIFS('Region 12'!$W$2:$W$459,'Region 12'!$A$2:$A$459,E$1,'Region 12'!$X$2:$X$459,$D273,'Region 12'!$S$2:$S$459,$A273)</f>
        <v>#DIV/0!</v>
      </c>
      <c r="F273">
        <f>AVERAGEIFS('Region 12'!$W$2:$W$459,'Region 12'!$A$2:$A$459,F$1,'Region 12'!$X$2:$X$459,$D273,'Region 12'!$S$2:$S$459,$A273)</f>
        <v>22.70913932813831</v>
      </c>
      <c r="G273" t="e">
        <f>AVERAGEIFS('Region 12'!$W$2:$W$459,'Region 12'!$A$2:$A$459,G$1,'Region 12'!$X$2:$X$459,$D273,'Region 12'!$S$2:$S$459,$A273)</f>
        <v>#DIV/0!</v>
      </c>
      <c r="H273" t="e">
        <f>AVERAGEIFS('Region 12'!$W$2:$W$459,'Region 12'!$A$2:$A$459,H$1,'Region 12'!$X$2:$X$459,$D273,'Region 12'!$S$2:$S$459,$A273)</f>
        <v>#DIV/0!</v>
      </c>
      <c r="I273" t="e">
        <f>AVERAGEIFS('Region 12'!$W$2:$W$459,'Region 12'!$A$2:$A$459,I$1,'Region 12'!$X$2:$X$459,$D273,'Region 12'!$S$2:$S$459,$A273)</f>
        <v>#DIV/0!</v>
      </c>
      <c r="J273" t="e">
        <f>AVERAGEIFS('Region 12'!$W$2:$W$459,'Region 12'!$A$2:$A$459,J$1,'Region 12'!$X$2:$X$459,$D273,'Region 12'!$S$2:$S$459,$A273)</f>
        <v>#DIV/0!</v>
      </c>
      <c r="K273" t="e">
        <f>AVERAGEIFS('Region 12'!$W$2:$W$459,'Region 12'!$A$2:$A$459,K$1,'Region 12'!$X$2:$X$459,$D273,'Region 12'!$S$2:$S$459,$A273)</f>
        <v>#DIV/0!</v>
      </c>
      <c r="L273" t="e">
        <f>AVERAGEIFS('Region 12'!$W$2:$W$459,'Region 12'!$A$2:$A$459,L$1,'Region 12'!$X$2:$X$459,$D273,'Region 12'!$S$2:$S$459,$A273)</f>
        <v>#DIV/0!</v>
      </c>
      <c r="M273" t="e">
        <f>AVERAGEIFS('Region 12'!$W$2:$W$459,'Region 12'!$A$2:$A$459,M$1,'Region 12'!$X$2:$X$459,$D273,'Region 12'!$S$2:$S$459,$A273)</f>
        <v>#DIV/0!</v>
      </c>
      <c r="N273" t="e">
        <f>AVERAGEIFS('Region 12'!$W$2:$W$459,'Region 12'!$A$2:$A$459,N$1,'Region 12'!$X$2:$X$459,$D273,'Region 12'!$S$2:$S$459,$A273)</f>
        <v>#DIV/0!</v>
      </c>
      <c r="Q273" t="str">
        <f t="shared" si="229"/>
        <v>Wood</v>
      </c>
      <c r="R273" t="str">
        <f t="shared" si="230"/>
        <v>Appartments</v>
      </c>
      <c r="S273">
        <f t="shared" si="231"/>
        <v>12</v>
      </c>
      <c r="T273" t="str">
        <f t="shared" si="211"/>
        <v>-</v>
      </c>
      <c r="U273">
        <f t="shared" si="212"/>
        <v>22.70913932813831</v>
      </c>
      <c r="V273" t="str">
        <f t="shared" si="213"/>
        <v>-</v>
      </c>
      <c r="W273" t="str">
        <f t="shared" si="214"/>
        <v>-</v>
      </c>
      <c r="X273" t="str">
        <f t="shared" si="215"/>
        <v>-</v>
      </c>
      <c r="Y273" t="str">
        <f t="shared" si="216"/>
        <v>-</v>
      </c>
      <c r="Z273" t="str">
        <f t="shared" si="217"/>
        <v>-</v>
      </c>
      <c r="AA273" t="str">
        <f t="shared" si="218"/>
        <v>-</v>
      </c>
      <c r="AB273" t="str">
        <f t="shared" si="219"/>
        <v>-</v>
      </c>
      <c r="AC273" t="str">
        <f t="shared" si="220"/>
        <v>-</v>
      </c>
    </row>
    <row r="274" spans="1:29" x14ac:dyDescent="0.3">
      <c r="A274" t="s">
        <v>67</v>
      </c>
      <c r="B274" t="str">
        <f t="shared" ref="B274:D274" si="238">B170</f>
        <v>Appartments</v>
      </c>
      <c r="C274">
        <f t="shared" si="238"/>
        <v>13</v>
      </c>
      <c r="D274">
        <f t="shared" si="238"/>
        <v>3</v>
      </c>
      <c r="E274">
        <f>AVERAGEIFS('Region 13'!$W$2:$W$500,'Region 13'!$A$2:$A$500,E$1,'Region 13'!$X$2:$X$500,$D274,'Region 13'!$S$2:$S$500,$A274)</f>
        <v>9.5727272727272723</v>
      </c>
      <c r="F274" t="e">
        <f>AVERAGEIFS('Region 13'!$W$2:$W$500,'Region 13'!$A$2:$A$500,F$1,'Region 13'!$X$2:$X$500,$D274,'Region 13'!$S$2:$S$500,$A274)</f>
        <v>#DIV/0!</v>
      </c>
      <c r="G274" t="e">
        <f>AVERAGEIFS('Region 13'!$W$2:$W$500,'Region 13'!$A$2:$A$500,G$1,'Region 13'!$X$2:$X$500,$D274,'Region 13'!$S$2:$S$500,$A274)</f>
        <v>#DIV/0!</v>
      </c>
      <c r="H274" t="e">
        <f>AVERAGEIFS('Region 13'!$W$2:$W$500,'Region 13'!$A$2:$A$500,H$1,'Region 13'!$X$2:$X$500,$D274,'Region 13'!$S$2:$S$500,$A274)</f>
        <v>#DIV/0!</v>
      </c>
      <c r="I274" t="e">
        <f>AVERAGEIFS('Region 13'!$W$2:$W$500,'Region 13'!$A$2:$A$500,I$1,'Region 13'!$X$2:$X$500,$D274,'Region 13'!$S$2:$S$500,$A274)</f>
        <v>#DIV/0!</v>
      </c>
      <c r="J274" t="e">
        <f>AVERAGEIFS('Region 13'!$W$2:$W$500,'Region 13'!$A$2:$A$500,J$1,'Region 13'!$X$2:$X$500,$D274,'Region 13'!$S$2:$S$500,$A274)</f>
        <v>#DIV/0!</v>
      </c>
      <c r="K274" t="e">
        <f>AVERAGEIFS('Region 13'!$W$2:$W$500,'Region 13'!$A$2:$A$500,K$1,'Region 13'!$X$2:$X$500,$D274,'Region 13'!$S$2:$S$500,$A274)</f>
        <v>#DIV/0!</v>
      </c>
      <c r="L274" t="e">
        <f>AVERAGEIFS('Region 13'!$W$2:$W$500,'Region 13'!$A$2:$A$500,L$1,'Region 13'!$X$2:$X$500,$D274,'Region 13'!$S$2:$S$500,$A274)</f>
        <v>#DIV/0!</v>
      </c>
      <c r="M274" t="e">
        <f>AVERAGEIFS('Region 13'!$W$2:$W$500,'Region 13'!$A$2:$A$500,M$1,'Region 13'!$X$2:$X$500,$D274,'Region 13'!$S$2:$S$500,$A274)</f>
        <v>#DIV/0!</v>
      </c>
      <c r="N274" t="e">
        <f>AVERAGEIFS('Region 13'!$W$2:$W$500,'Region 13'!$A$2:$A$500,N$1,'Region 13'!$X$2:$X$500,$D274,'Region 13'!$S$2:$S$500,$A274)</f>
        <v>#DIV/0!</v>
      </c>
      <c r="Q274" t="str">
        <f t="shared" si="229"/>
        <v>Wood</v>
      </c>
      <c r="R274" t="str">
        <f t="shared" si="230"/>
        <v>Appartments</v>
      </c>
      <c r="S274">
        <f t="shared" si="231"/>
        <v>13</v>
      </c>
      <c r="T274">
        <f t="shared" si="211"/>
        <v>9.5727272727272723</v>
      </c>
      <c r="U274" t="str">
        <f t="shared" si="212"/>
        <v>-</v>
      </c>
      <c r="V274" t="str">
        <f t="shared" si="213"/>
        <v>-</v>
      </c>
      <c r="W274" t="str">
        <f t="shared" si="214"/>
        <v>-</v>
      </c>
      <c r="X274" t="str">
        <f t="shared" si="215"/>
        <v>-</v>
      </c>
      <c r="Y274" t="str">
        <f t="shared" si="216"/>
        <v>-</v>
      </c>
      <c r="Z274" t="str">
        <f t="shared" si="217"/>
        <v>-</v>
      </c>
      <c r="AA274" t="str">
        <f t="shared" si="218"/>
        <v>-</v>
      </c>
      <c r="AB274" t="str">
        <f t="shared" si="219"/>
        <v>-</v>
      </c>
      <c r="AC274" t="str">
        <f t="shared" si="220"/>
        <v>-</v>
      </c>
    </row>
    <row r="275" spans="1:29" x14ac:dyDescent="0.3">
      <c r="A275" t="s">
        <v>67</v>
      </c>
      <c r="B275" t="str">
        <f t="shared" ref="B275:D275" si="239">B171</f>
        <v>Appartments</v>
      </c>
      <c r="C275">
        <f t="shared" si="239"/>
        <v>14</v>
      </c>
      <c r="D275">
        <f t="shared" si="239"/>
        <v>3</v>
      </c>
      <c r="E275" t="e">
        <f ca="1">AVERAGEIFS('Region 14'!$W$2:$W$500,'Region 14'!$A$2:$A$500,E$1,'Region 14'!$X$2:$X$500,$D275,'Region 14'!$S$2:$S$500,$A275)</f>
        <v>#DIV/0!</v>
      </c>
      <c r="F275" t="e">
        <f ca="1">AVERAGEIFS('Region 14'!$W$2:$W$500,'Region 14'!$A$2:$A$500,F$1,'Region 14'!$X$2:$X$500,$D275,'Region 14'!$S$2:$S$500,$A275)</f>
        <v>#DIV/0!</v>
      </c>
      <c r="G275" t="e">
        <f ca="1">AVERAGEIFS('Region 14'!$W$2:$W$500,'Region 14'!$A$2:$A$500,G$1,'Region 14'!$X$2:$X$500,$D275,'Region 14'!$S$2:$S$500,$A275)</f>
        <v>#DIV/0!</v>
      </c>
      <c r="H275" t="e">
        <f ca="1">AVERAGEIFS('Region 14'!$W$2:$W$500,'Region 14'!$A$2:$A$500,H$1,'Region 14'!$X$2:$X$500,$D275,'Region 14'!$S$2:$S$500,$A275)</f>
        <v>#DIV/0!</v>
      </c>
      <c r="I275" t="e">
        <f ca="1">AVERAGEIFS('Region 14'!$W$2:$W$500,'Region 14'!$A$2:$A$500,I$1,'Region 14'!$X$2:$X$500,$D275,'Region 14'!$S$2:$S$500,$A275)</f>
        <v>#DIV/0!</v>
      </c>
      <c r="J275" t="e">
        <f ca="1">AVERAGEIFS('Region 14'!$W$2:$W$500,'Region 14'!$A$2:$A$500,J$1,'Region 14'!$X$2:$X$500,$D275,'Region 14'!$S$2:$S$500,$A275)</f>
        <v>#DIV/0!</v>
      </c>
      <c r="K275" t="e">
        <f ca="1">AVERAGEIFS('Region 14'!$W$2:$W$500,'Region 14'!$A$2:$A$500,K$1,'Region 14'!$X$2:$X$500,$D275,'Region 14'!$S$2:$S$500,$A275)</f>
        <v>#DIV/0!</v>
      </c>
      <c r="L275" t="e">
        <f ca="1">AVERAGEIFS('Region 14'!$W$2:$W$500,'Region 14'!$A$2:$A$500,L$1,'Region 14'!$X$2:$X$500,$D275,'Region 14'!$S$2:$S$500,$A275)</f>
        <v>#DIV/0!</v>
      </c>
      <c r="M275" t="e">
        <f ca="1">AVERAGEIFS('Region 14'!$W$2:$W$500,'Region 14'!$A$2:$A$500,M$1,'Region 14'!$X$2:$X$500,$D275,'Region 14'!$S$2:$S$500,$A275)</f>
        <v>#DIV/0!</v>
      </c>
      <c r="N275" t="e">
        <f ca="1">AVERAGEIFS('Region 14'!$W$2:$W$500,'Region 14'!$A$2:$A$500,N$1,'Region 14'!$X$2:$X$500,$D275,'Region 14'!$S$2:$S$500,$A275)</f>
        <v>#DIV/0!</v>
      </c>
      <c r="Q275" t="str">
        <f t="shared" si="229"/>
        <v>Wood</v>
      </c>
      <c r="R275" t="str">
        <f t="shared" si="230"/>
        <v>Appartments</v>
      </c>
      <c r="S275">
        <f t="shared" si="231"/>
        <v>14</v>
      </c>
      <c r="T275" t="str">
        <f t="shared" ca="1" si="211"/>
        <v>-</v>
      </c>
      <c r="U275" t="str">
        <f t="shared" ca="1" si="212"/>
        <v>-</v>
      </c>
      <c r="V275" t="str">
        <f t="shared" ca="1" si="213"/>
        <v>-</v>
      </c>
      <c r="W275" t="str">
        <f t="shared" ca="1" si="214"/>
        <v>-</v>
      </c>
      <c r="X275" t="str">
        <f t="shared" ca="1" si="215"/>
        <v>-</v>
      </c>
      <c r="Y275" t="str">
        <f t="shared" ca="1" si="216"/>
        <v>-</v>
      </c>
      <c r="Z275" t="str">
        <f t="shared" ca="1" si="217"/>
        <v>-</v>
      </c>
      <c r="AA275" t="str">
        <f t="shared" ca="1" si="218"/>
        <v>-</v>
      </c>
      <c r="AB275" t="str">
        <f t="shared" ca="1" si="219"/>
        <v>-</v>
      </c>
      <c r="AC275" t="str">
        <f t="shared" ca="1" si="220"/>
        <v>-</v>
      </c>
    </row>
    <row r="276" spans="1:29" x14ac:dyDescent="0.3">
      <c r="A276" t="s">
        <v>67</v>
      </c>
      <c r="B276" t="str">
        <f t="shared" ref="B276:D276" si="240">B172</f>
        <v>Appartments</v>
      </c>
      <c r="C276">
        <f t="shared" si="240"/>
        <v>15</v>
      </c>
      <c r="D276">
        <f t="shared" si="240"/>
        <v>3</v>
      </c>
      <c r="E276" t="e">
        <f ca="1">AVERAGEIFS('Region 15'!$W$2:$W$500,'Region 15'!$A$2:$A$500,E$1,'Region 15'!$X$2:$X$500,$D276,'Region 15'!$S$2:$S$500,$A276)</f>
        <v>#DIV/0!</v>
      </c>
      <c r="F276" t="e">
        <f ca="1">AVERAGEIFS('Region 15'!$W$2:$W$500,'Region 15'!$A$2:$A$500,F$1,'Region 15'!$X$2:$X$500,$D276,'Region 15'!$S$2:$S$500,$A276)</f>
        <v>#DIV/0!</v>
      </c>
      <c r="G276" t="e">
        <f ca="1">AVERAGEIFS('Region 15'!$W$2:$W$500,'Region 15'!$A$2:$A$500,G$1,'Region 15'!$X$2:$X$500,$D276,'Region 15'!$S$2:$S$500,$A276)</f>
        <v>#DIV/0!</v>
      </c>
      <c r="H276" t="e">
        <f ca="1">AVERAGEIFS('Region 15'!$W$2:$W$500,'Region 15'!$A$2:$A$500,H$1,'Region 15'!$X$2:$X$500,$D276,'Region 15'!$S$2:$S$500,$A276)</f>
        <v>#DIV/0!</v>
      </c>
      <c r="I276" t="e">
        <f ca="1">AVERAGEIFS('Region 15'!$W$2:$W$500,'Region 15'!$A$2:$A$500,I$1,'Region 15'!$X$2:$X$500,$D276,'Region 15'!$S$2:$S$500,$A276)</f>
        <v>#DIV/0!</v>
      </c>
      <c r="J276" t="e">
        <f ca="1">AVERAGEIFS('Region 15'!$W$2:$W$500,'Region 15'!$A$2:$A$500,J$1,'Region 15'!$X$2:$X$500,$D276,'Region 15'!$S$2:$S$500,$A276)</f>
        <v>#DIV/0!</v>
      </c>
      <c r="K276" t="e">
        <f ca="1">AVERAGEIFS('Region 15'!$W$2:$W$500,'Region 15'!$A$2:$A$500,K$1,'Region 15'!$X$2:$X$500,$D276,'Region 15'!$S$2:$S$500,$A276)</f>
        <v>#DIV/0!</v>
      </c>
      <c r="L276" t="e">
        <f ca="1">AVERAGEIFS('Region 15'!$W$2:$W$500,'Region 15'!$A$2:$A$500,L$1,'Region 15'!$X$2:$X$500,$D276,'Region 15'!$S$2:$S$500,$A276)</f>
        <v>#DIV/0!</v>
      </c>
      <c r="M276" t="e">
        <f ca="1">AVERAGEIFS('Region 15'!$W$2:$W$500,'Region 15'!$A$2:$A$500,M$1,'Region 15'!$X$2:$X$500,$D276,'Region 15'!$S$2:$S$500,$A276)</f>
        <v>#DIV/0!</v>
      </c>
      <c r="N276" t="e">
        <f ca="1">AVERAGEIFS('Region 15'!$W$2:$W$500,'Region 15'!$A$2:$A$500,N$1,'Region 15'!$X$2:$X$500,$D276,'Region 15'!$S$2:$S$500,$A276)</f>
        <v>#DIV/0!</v>
      </c>
      <c r="Q276" t="str">
        <f t="shared" si="229"/>
        <v>Wood</v>
      </c>
      <c r="R276" t="str">
        <f t="shared" si="230"/>
        <v>Appartments</v>
      </c>
      <c r="S276">
        <f t="shared" si="231"/>
        <v>15</v>
      </c>
      <c r="T276" t="str">
        <f t="shared" ca="1" si="211"/>
        <v>-</v>
      </c>
      <c r="U276" t="str">
        <f t="shared" ca="1" si="212"/>
        <v>-</v>
      </c>
      <c r="V276" t="str">
        <f t="shared" ca="1" si="213"/>
        <v>-</v>
      </c>
      <c r="W276" t="str">
        <f t="shared" ca="1" si="214"/>
        <v>-</v>
      </c>
      <c r="X276" t="str">
        <f t="shared" ca="1" si="215"/>
        <v>-</v>
      </c>
      <c r="Y276" t="str">
        <f t="shared" ca="1" si="216"/>
        <v>-</v>
      </c>
      <c r="Z276" t="str">
        <f t="shared" ca="1" si="217"/>
        <v>-</v>
      </c>
      <c r="AA276" t="str">
        <f t="shared" ca="1" si="218"/>
        <v>-</v>
      </c>
      <c r="AB276" t="str">
        <f t="shared" ca="1" si="219"/>
        <v>-</v>
      </c>
      <c r="AC276" t="str">
        <f t="shared" ca="1" si="220"/>
        <v>-</v>
      </c>
    </row>
    <row r="277" spans="1:29" x14ac:dyDescent="0.3">
      <c r="A277" t="s">
        <v>67</v>
      </c>
      <c r="B277" t="str">
        <f t="shared" ref="B277:D277" si="241">B173</f>
        <v>Appartments</v>
      </c>
      <c r="C277">
        <f t="shared" si="241"/>
        <v>16</v>
      </c>
      <c r="D277">
        <f t="shared" si="241"/>
        <v>3</v>
      </c>
      <c r="E277" t="e">
        <f ca="1">AVERAGEIFS('Region 16'!$W$2:$W$500,'Region 16'!$A$2:$A$500,E$1,'Region 16'!$X$2:$X$500,$D277,'Region 16'!$S$2:$S$500,$A277)</f>
        <v>#DIV/0!</v>
      </c>
      <c r="F277" t="e">
        <f ca="1">AVERAGEIFS('Region 16'!$W$2:$W$500,'Region 16'!$A$2:$A$500,F$1,'Region 16'!$X$2:$X$500,$D277,'Region 16'!$S$2:$S$500,$A277)</f>
        <v>#DIV/0!</v>
      </c>
      <c r="G277" t="e">
        <f ca="1">AVERAGEIFS('Region 16'!$W$2:$W$500,'Region 16'!$A$2:$A$500,G$1,'Region 16'!$X$2:$X$500,$D277,'Region 16'!$S$2:$S$500,$A277)</f>
        <v>#DIV/0!</v>
      </c>
      <c r="H277" t="e">
        <f ca="1">AVERAGEIFS('Region 16'!$W$2:$W$500,'Region 16'!$A$2:$A$500,H$1,'Region 16'!$X$2:$X$500,$D277,'Region 16'!$S$2:$S$500,$A277)</f>
        <v>#DIV/0!</v>
      </c>
      <c r="I277" t="e">
        <f ca="1">AVERAGEIFS('Region 16'!$W$2:$W$500,'Region 16'!$A$2:$A$500,I$1,'Region 16'!$X$2:$X$500,$D277,'Region 16'!$S$2:$S$500,$A277)</f>
        <v>#DIV/0!</v>
      </c>
      <c r="J277" t="e">
        <f ca="1">AVERAGEIFS('Region 16'!$W$2:$W$500,'Region 16'!$A$2:$A$500,J$1,'Region 16'!$X$2:$X$500,$D277,'Region 16'!$S$2:$S$500,$A277)</f>
        <v>#DIV/0!</v>
      </c>
      <c r="K277" t="e">
        <f ca="1">AVERAGEIFS('Region 16'!$W$2:$W$500,'Region 16'!$A$2:$A$500,K$1,'Region 16'!$X$2:$X$500,$D277,'Region 16'!$S$2:$S$500,$A277)</f>
        <v>#DIV/0!</v>
      </c>
      <c r="L277" t="e">
        <f ca="1">AVERAGEIFS('Region 16'!$W$2:$W$500,'Region 16'!$A$2:$A$500,L$1,'Region 16'!$X$2:$X$500,$D277,'Region 16'!$S$2:$S$500,$A277)</f>
        <v>#DIV/0!</v>
      </c>
      <c r="M277" t="e">
        <f ca="1">AVERAGEIFS('Region 16'!$W$2:$W$500,'Region 16'!$A$2:$A$500,M$1,'Region 16'!$X$2:$X$500,$D277,'Region 16'!$S$2:$S$500,$A277)</f>
        <v>#DIV/0!</v>
      </c>
      <c r="N277" t="e">
        <f ca="1">AVERAGEIFS('Region 16'!$W$2:$W$500,'Region 16'!$A$2:$A$500,N$1,'Region 16'!$X$2:$X$500,$D277,'Region 16'!$S$2:$S$500,$A277)</f>
        <v>#DIV/0!</v>
      </c>
      <c r="Q277" t="str">
        <f t="shared" si="229"/>
        <v>Wood</v>
      </c>
      <c r="R277" t="str">
        <f t="shared" si="230"/>
        <v>Appartments</v>
      </c>
      <c r="S277">
        <f t="shared" si="231"/>
        <v>16</v>
      </c>
      <c r="T277" t="str">
        <f t="shared" ca="1" si="211"/>
        <v>-</v>
      </c>
      <c r="U277" t="str">
        <f t="shared" ca="1" si="212"/>
        <v>-</v>
      </c>
      <c r="V277" t="str">
        <f t="shared" ca="1" si="213"/>
        <v>-</v>
      </c>
      <c r="W277" t="str">
        <f t="shared" ca="1" si="214"/>
        <v>-</v>
      </c>
      <c r="X277" t="str">
        <f t="shared" ca="1" si="215"/>
        <v>-</v>
      </c>
      <c r="Y277" t="str">
        <f t="shared" ca="1" si="216"/>
        <v>-</v>
      </c>
      <c r="Z277" t="str">
        <f t="shared" ca="1" si="217"/>
        <v>-</v>
      </c>
      <c r="AA277" t="str">
        <f t="shared" ca="1" si="218"/>
        <v>-</v>
      </c>
      <c r="AB277" t="str">
        <f t="shared" ca="1" si="219"/>
        <v>-</v>
      </c>
      <c r="AC277" t="str">
        <f t="shared" ca="1" si="220"/>
        <v>-</v>
      </c>
    </row>
    <row r="278" spans="1:29" x14ac:dyDescent="0.3">
      <c r="A278" t="s">
        <v>67</v>
      </c>
      <c r="B278" t="str">
        <f t="shared" ref="B278:D278" si="242">B174</f>
        <v>Appartments</v>
      </c>
      <c r="C278">
        <f t="shared" si="242"/>
        <v>17</v>
      </c>
      <c r="D278">
        <f t="shared" si="242"/>
        <v>3</v>
      </c>
      <c r="E278" t="e">
        <f>AVERAGEIFS('Region 17'!$W$2:$W$498,'Region 17'!$A$2:$A$498,E$1,'Region 17'!$X$2:$X$498,$D278,'Region 17'!$S$2:$S$498,$A278)</f>
        <v>#DIV/0!</v>
      </c>
      <c r="F278" t="e">
        <f>AVERAGEIFS('Region 17'!$W$2:$W$498,'Region 17'!$A$2:$A$498,F$1,'Region 17'!$X$2:$X$498,$D278,'Region 17'!$S$2:$S$498,$A278)</f>
        <v>#DIV/0!</v>
      </c>
      <c r="G278" t="e">
        <f>AVERAGEIFS('Region 17'!$W$2:$W$498,'Region 17'!$A$2:$A$498,G$1,'Region 17'!$X$2:$X$498,$D278,'Region 17'!$S$2:$S$498,$A278)</f>
        <v>#DIV/0!</v>
      </c>
      <c r="H278" t="e">
        <f>AVERAGEIFS('Region 17'!$W$2:$W$498,'Region 17'!$A$2:$A$498,H$1,'Region 17'!$X$2:$X$498,$D278,'Region 17'!$S$2:$S$498,$A278)</f>
        <v>#DIV/0!</v>
      </c>
      <c r="I278" t="e">
        <f>AVERAGEIFS('Region 17'!$W$2:$W$498,'Region 17'!$A$2:$A$498,I$1,'Region 17'!$X$2:$X$498,$D278,'Region 17'!$S$2:$S$498,$A278)</f>
        <v>#DIV/0!</v>
      </c>
      <c r="J278" t="e">
        <f>AVERAGEIFS('Region 17'!$W$2:$W$498,'Region 17'!$A$2:$A$498,J$1,'Region 17'!$X$2:$X$498,$D278,'Region 17'!$S$2:$S$498,$A278)</f>
        <v>#DIV/0!</v>
      </c>
      <c r="K278" t="e">
        <f>AVERAGEIFS('Region 17'!$W$2:$W$498,'Region 17'!$A$2:$A$498,K$1,'Region 17'!$X$2:$X$498,$D278,'Region 17'!$S$2:$S$498,$A278)</f>
        <v>#DIV/0!</v>
      </c>
      <c r="L278" t="e">
        <f>AVERAGEIFS('Region 17'!$W$2:$W$498,'Region 17'!$A$2:$A$498,L$1,'Region 17'!$X$2:$X$498,$D278,'Region 17'!$S$2:$S$498,$A278)</f>
        <v>#DIV/0!</v>
      </c>
      <c r="M278" t="e">
        <f>AVERAGEIFS('Region 17'!$W$2:$W$498,'Region 17'!$A$2:$A$498,M$1,'Region 17'!$X$2:$X$498,$D278,'Region 17'!$S$2:$S$498,$A278)</f>
        <v>#DIV/0!</v>
      </c>
      <c r="N278" t="e">
        <f>AVERAGEIFS('Region 17'!$W$2:$W$498,'Region 17'!$A$2:$A$498,N$1,'Region 17'!$X$2:$X$498,$D278,'Region 17'!$S$2:$S$498,$A278)</f>
        <v>#DIV/0!</v>
      </c>
      <c r="Q278" t="str">
        <f t="shared" si="229"/>
        <v>Wood</v>
      </c>
      <c r="R278" t="str">
        <f t="shared" si="230"/>
        <v>Appartments</v>
      </c>
      <c r="S278">
        <f t="shared" si="231"/>
        <v>17</v>
      </c>
      <c r="T278" t="str">
        <f t="shared" si="211"/>
        <v>-</v>
      </c>
      <c r="U278" t="str">
        <f t="shared" si="212"/>
        <v>-</v>
      </c>
      <c r="V278" t="str">
        <f t="shared" si="213"/>
        <v>-</v>
      </c>
      <c r="W278" t="str">
        <f t="shared" si="214"/>
        <v>-</v>
      </c>
      <c r="X278" t="str">
        <f t="shared" si="215"/>
        <v>-</v>
      </c>
      <c r="Y278" t="str">
        <f t="shared" si="216"/>
        <v>-</v>
      </c>
      <c r="Z278" t="str">
        <f t="shared" si="217"/>
        <v>-</v>
      </c>
      <c r="AA278" t="str">
        <f t="shared" si="218"/>
        <v>-</v>
      </c>
      <c r="AB278" t="str">
        <f t="shared" si="219"/>
        <v>-</v>
      </c>
      <c r="AC278" t="str">
        <f t="shared" si="220"/>
        <v>-</v>
      </c>
    </row>
    <row r="279" spans="1:29" x14ac:dyDescent="0.3">
      <c r="A279" t="s">
        <v>67</v>
      </c>
      <c r="B279" t="str">
        <f t="shared" ref="B279:D279" si="243">B175</f>
        <v>Appartments</v>
      </c>
      <c r="C279">
        <f t="shared" si="243"/>
        <v>18</v>
      </c>
      <c r="D279">
        <f t="shared" si="243"/>
        <v>3</v>
      </c>
      <c r="E279" t="e">
        <f>AVERAGEIFS('Region 18'!$W$2:$W$468,'Region 18'!$A$2:$A$468,E$1,'Region 18'!$X$2:$X$468,$D279,'Region 18'!$S$2:$S$468,$A279)</f>
        <v>#DIV/0!</v>
      </c>
      <c r="F279" t="e">
        <f>AVERAGEIFS('Region 18'!$W$2:$W$468,'Region 18'!$A$2:$A$468,F$1,'Region 18'!$X$2:$X$468,$D279,'Region 18'!$S$2:$S$468,$A279)</f>
        <v>#DIV/0!</v>
      </c>
      <c r="G279" t="e">
        <f>AVERAGEIFS('Region 18'!$W$2:$W$468,'Region 18'!$A$2:$A$468,G$1,'Region 18'!$X$2:$X$468,$D279,'Region 18'!$S$2:$S$468,$A279)</f>
        <v>#DIV/0!</v>
      </c>
      <c r="H279" t="e">
        <f>AVERAGEIFS('Region 18'!$W$2:$W$468,'Region 18'!$A$2:$A$468,H$1,'Region 18'!$X$2:$X$468,$D279,'Region 18'!$S$2:$S$468,$A279)</f>
        <v>#DIV/0!</v>
      </c>
      <c r="I279" t="e">
        <f>AVERAGEIFS('Region 18'!$W$2:$W$468,'Region 18'!$A$2:$A$468,I$1,'Region 18'!$X$2:$X$468,$D279,'Region 18'!$S$2:$S$468,$A279)</f>
        <v>#DIV/0!</v>
      </c>
      <c r="J279" t="e">
        <f>AVERAGEIFS('Region 18'!$W$2:$W$468,'Region 18'!$A$2:$A$468,J$1,'Region 18'!$X$2:$X$468,$D279,'Region 18'!$S$2:$S$468,$A279)</f>
        <v>#DIV/0!</v>
      </c>
      <c r="K279" t="e">
        <f>AVERAGEIFS('Region 18'!$W$2:$W$468,'Region 18'!$A$2:$A$468,K$1,'Region 18'!$X$2:$X$468,$D279,'Region 18'!$S$2:$S$468,$A279)</f>
        <v>#DIV/0!</v>
      </c>
      <c r="L279" t="e">
        <f>AVERAGEIFS('Region 18'!$W$2:$W$468,'Region 18'!$A$2:$A$468,L$1,'Region 18'!$X$2:$X$468,$D279,'Region 18'!$S$2:$S$468,$A279)</f>
        <v>#DIV/0!</v>
      </c>
      <c r="M279" t="e">
        <f>AVERAGEIFS('Region 18'!$W$2:$W$468,'Region 18'!$A$2:$A$468,M$1,'Region 18'!$X$2:$X$468,$D279,'Region 18'!$S$2:$S$468,$A279)</f>
        <v>#DIV/0!</v>
      </c>
      <c r="N279" t="e">
        <f>AVERAGEIFS('Region 18'!$W$2:$W$468,'Region 18'!$A$2:$A$468,N$1,'Region 18'!$X$2:$X$468,$D279,'Region 18'!$S$2:$S$468,$A279)</f>
        <v>#DIV/0!</v>
      </c>
      <c r="Q279" t="str">
        <f t="shared" si="229"/>
        <v>Wood</v>
      </c>
      <c r="R279" t="str">
        <f t="shared" si="230"/>
        <v>Appartments</v>
      </c>
      <c r="S279">
        <f t="shared" si="231"/>
        <v>18</v>
      </c>
      <c r="T279" t="str">
        <f t="shared" si="211"/>
        <v>-</v>
      </c>
      <c r="U279" t="str">
        <f t="shared" si="212"/>
        <v>-</v>
      </c>
      <c r="V279" t="str">
        <f t="shared" si="213"/>
        <v>-</v>
      </c>
      <c r="W279" t="str">
        <f t="shared" si="214"/>
        <v>-</v>
      </c>
      <c r="X279" t="str">
        <f t="shared" si="215"/>
        <v>-</v>
      </c>
      <c r="Y279" t="str">
        <f t="shared" si="216"/>
        <v>-</v>
      </c>
      <c r="Z279" t="str">
        <f t="shared" si="217"/>
        <v>-</v>
      </c>
      <c r="AA279" t="str">
        <f t="shared" si="218"/>
        <v>-</v>
      </c>
      <c r="AB279" t="str">
        <f t="shared" si="219"/>
        <v>-</v>
      </c>
      <c r="AC279" t="str">
        <f t="shared" si="220"/>
        <v>-</v>
      </c>
    </row>
    <row r="280" spans="1:29" x14ac:dyDescent="0.3">
      <c r="A280" t="s">
        <v>67</v>
      </c>
      <c r="B280" t="str">
        <f t="shared" ref="B280:D280" si="244">B176</f>
        <v>Appartments</v>
      </c>
      <c r="C280">
        <f t="shared" si="244"/>
        <v>19</v>
      </c>
      <c r="D280">
        <f t="shared" si="244"/>
        <v>3</v>
      </c>
      <c r="E280" t="e">
        <f>AVERAGEIFS('Region 19'!$W$2:$W$494,'Region 19'!$A$2:$A$494,E$1,'Region 19'!$X$2:$X$494,$D280,'Region 19'!$S$2:$S$494,$A280)</f>
        <v>#DIV/0!</v>
      </c>
      <c r="F280" t="e">
        <f>AVERAGEIFS('Region 19'!$W$2:$W$494,'Region 19'!$A$2:$A$494,F$1,'Region 19'!$X$2:$X$494,$D280,'Region 19'!$S$2:$S$494,$A280)</f>
        <v>#DIV/0!</v>
      </c>
      <c r="G280" t="e">
        <f>AVERAGEIFS('Region 19'!$W$2:$W$494,'Region 19'!$A$2:$A$494,G$1,'Region 19'!$X$2:$X$494,$D280,'Region 19'!$S$2:$S$494,$A280)</f>
        <v>#DIV/0!</v>
      </c>
      <c r="H280" t="e">
        <f>AVERAGEIFS('Region 19'!$W$2:$W$494,'Region 19'!$A$2:$A$494,H$1,'Region 19'!$X$2:$X$494,$D280,'Region 19'!$S$2:$S$494,$A280)</f>
        <v>#DIV/0!</v>
      </c>
      <c r="I280" t="e">
        <f>AVERAGEIFS('Region 19'!$W$2:$W$494,'Region 19'!$A$2:$A$494,I$1,'Region 19'!$X$2:$X$494,$D280,'Region 19'!$S$2:$S$494,$A280)</f>
        <v>#DIV/0!</v>
      </c>
      <c r="J280" t="e">
        <f>AVERAGEIFS('Region 19'!$W$2:$W$494,'Region 19'!$A$2:$A$494,J$1,'Region 19'!$X$2:$X$494,$D280,'Region 19'!$S$2:$S$494,$A280)</f>
        <v>#DIV/0!</v>
      </c>
      <c r="K280" t="e">
        <f>AVERAGEIFS('Region 19'!$W$2:$W$494,'Region 19'!$A$2:$A$494,K$1,'Region 19'!$X$2:$X$494,$D280,'Region 19'!$S$2:$S$494,$A280)</f>
        <v>#DIV/0!</v>
      </c>
      <c r="L280" t="e">
        <f>AVERAGEIFS('Region 19'!$W$2:$W$494,'Region 19'!$A$2:$A$494,L$1,'Region 19'!$X$2:$X$494,$D280,'Region 19'!$S$2:$S$494,$A280)</f>
        <v>#DIV/0!</v>
      </c>
      <c r="M280" t="e">
        <f>AVERAGEIFS('Region 19'!$W$2:$W$494,'Region 19'!$A$2:$A$494,M$1,'Region 19'!$X$2:$X$494,$D280,'Region 19'!$S$2:$S$494,$A280)</f>
        <v>#DIV/0!</v>
      </c>
      <c r="N280" t="e">
        <f>AVERAGEIFS('Region 19'!$W$2:$W$494,'Region 19'!$A$2:$A$494,N$1,'Region 19'!$X$2:$X$494,$D280,'Region 19'!$S$2:$S$494,$A280)</f>
        <v>#DIV/0!</v>
      </c>
      <c r="Q280" t="str">
        <f t="shared" si="229"/>
        <v>Wood</v>
      </c>
      <c r="R280" t="str">
        <f t="shared" si="230"/>
        <v>Appartments</v>
      </c>
      <c r="S280">
        <f t="shared" si="231"/>
        <v>19</v>
      </c>
      <c r="T280" t="str">
        <f t="shared" si="211"/>
        <v>-</v>
      </c>
      <c r="U280" t="str">
        <f t="shared" si="212"/>
        <v>-</v>
      </c>
      <c r="V280" t="str">
        <f t="shared" si="213"/>
        <v>-</v>
      </c>
      <c r="W280" t="str">
        <f t="shared" si="214"/>
        <v>-</v>
      </c>
      <c r="X280" t="str">
        <f t="shared" si="215"/>
        <v>-</v>
      </c>
      <c r="Y280" t="str">
        <f t="shared" si="216"/>
        <v>-</v>
      </c>
      <c r="Z280" t="str">
        <f t="shared" si="217"/>
        <v>-</v>
      </c>
      <c r="AA280" t="str">
        <f t="shared" si="218"/>
        <v>-</v>
      </c>
      <c r="AB280" t="str">
        <f t="shared" si="219"/>
        <v>-</v>
      </c>
      <c r="AC280" t="str">
        <f t="shared" si="220"/>
        <v>-</v>
      </c>
    </row>
    <row r="281" spans="1:29" x14ac:dyDescent="0.3">
      <c r="A281" t="s">
        <v>67</v>
      </c>
      <c r="B281" t="str">
        <f t="shared" ref="B281:D281" si="245">B177</f>
        <v>Appartments</v>
      </c>
      <c r="C281">
        <f t="shared" si="245"/>
        <v>20</v>
      </c>
      <c r="D281">
        <f t="shared" si="245"/>
        <v>3</v>
      </c>
      <c r="E281" t="e">
        <f>AVERAGEIFS('Region 20'!$W$2:$W$269,'Region 20'!$A$2:$A$269,E$1,'Region 20'!$X$2:$X$269,$D281,'Region 20'!$S$2:$S$269,$A281)</f>
        <v>#DIV/0!</v>
      </c>
      <c r="F281" t="e">
        <f>AVERAGEIFS('Region 20'!$W$2:$W$269,'Region 20'!$A$2:$A$269,F$1,'Region 20'!$X$2:$X$269,$D281,'Region 20'!$S$2:$S$269,$A281)</f>
        <v>#DIV/0!</v>
      </c>
      <c r="G281">
        <f>AVERAGEIFS('Region 20'!$W$2:$W$269,'Region 20'!$A$2:$A$269,G$1,'Region 20'!$X$2:$X$269,$D281,'Region 20'!$S$2:$S$269,$A281)</f>
        <v>15.040819902950755</v>
      </c>
      <c r="H281" t="e">
        <f>AVERAGEIFS('Region 20'!$W$2:$W$269,'Region 20'!$A$2:$A$269,H$1,'Region 20'!$X$2:$X$269,$D281,'Region 20'!$S$2:$S$269,$A281)</f>
        <v>#DIV/0!</v>
      </c>
      <c r="I281" t="e">
        <f>AVERAGEIFS('Region 20'!$W$2:$W$269,'Region 20'!$A$2:$A$269,I$1,'Region 20'!$X$2:$X$269,$D281,'Region 20'!$S$2:$S$269,$A281)</f>
        <v>#DIV/0!</v>
      </c>
      <c r="J281" t="e">
        <f>AVERAGEIFS('Region 20'!$W$2:$W$269,'Region 20'!$A$2:$A$269,J$1,'Region 20'!$X$2:$X$269,$D281,'Region 20'!$S$2:$S$269,$A281)</f>
        <v>#DIV/0!</v>
      </c>
      <c r="K281" t="e">
        <f>AVERAGEIFS('Region 20'!$W$2:$W$269,'Region 20'!$A$2:$A$269,K$1,'Region 20'!$X$2:$X$269,$D281,'Region 20'!$S$2:$S$269,$A281)</f>
        <v>#DIV/0!</v>
      </c>
      <c r="L281" t="e">
        <f>AVERAGEIFS('Region 20'!$W$2:$W$269,'Region 20'!$A$2:$A$269,L$1,'Region 20'!$X$2:$X$269,$D281,'Region 20'!$S$2:$S$269,$A281)</f>
        <v>#DIV/0!</v>
      </c>
      <c r="M281" t="e">
        <f>AVERAGEIFS('Region 20'!$W$2:$W$269,'Region 20'!$A$2:$A$269,M$1,'Region 20'!$X$2:$X$269,$D281,'Region 20'!$S$2:$S$269,$A281)</f>
        <v>#DIV/0!</v>
      </c>
      <c r="N281" t="e">
        <f>AVERAGEIFS('Region 20'!$W$2:$W$269,'Region 20'!$A$2:$A$269,N$1,'Region 20'!$X$2:$X$269,$D281,'Region 20'!$S$2:$S$269,$A281)</f>
        <v>#DIV/0!</v>
      </c>
      <c r="Q281" t="str">
        <f t="shared" si="229"/>
        <v>Wood</v>
      </c>
      <c r="R281" t="str">
        <f t="shared" si="230"/>
        <v>Appartments</v>
      </c>
      <c r="S281">
        <f t="shared" si="231"/>
        <v>20</v>
      </c>
      <c r="T281" t="str">
        <f t="shared" si="211"/>
        <v>-</v>
      </c>
      <c r="U281" t="str">
        <f t="shared" si="212"/>
        <v>-</v>
      </c>
      <c r="V281">
        <f t="shared" si="213"/>
        <v>15.040819902950755</v>
      </c>
      <c r="W281" t="str">
        <f t="shared" si="214"/>
        <v>-</v>
      </c>
      <c r="X281" t="str">
        <f t="shared" si="215"/>
        <v>-</v>
      </c>
      <c r="Y281" t="str">
        <f t="shared" si="216"/>
        <v>-</v>
      </c>
      <c r="Z281" t="str">
        <f t="shared" si="217"/>
        <v>-</v>
      </c>
      <c r="AA281" t="str">
        <f t="shared" si="218"/>
        <v>-</v>
      </c>
      <c r="AB281" t="str">
        <f t="shared" si="219"/>
        <v>-</v>
      </c>
      <c r="AC281" t="str">
        <f t="shared" si="220"/>
        <v>-</v>
      </c>
    </row>
    <row r="282" spans="1:29" x14ac:dyDescent="0.3">
      <c r="A282" t="s">
        <v>67</v>
      </c>
      <c r="B282" t="str">
        <f t="shared" ref="B282:D282" si="246">B178</f>
        <v>Appartments</v>
      </c>
      <c r="C282">
        <f t="shared" si="246"/>
        <v>21</v>
      </c>
      <c r="D282">
        <f t="shared" si="246"/>
        <v>3</v>
      </c>
      <c r="E282">
        <f>AVERAGEIFS('Region 21'!$W$2:$W$497,'Region 21'!$A$2:$A$497,E$1,'Region 21'!$X$2:$X$497,$D282,'Region 21'!$S$2:$S$497,$A282)</f>
        <v>11.255000000000001</v>
      </c>
      <c r="F282" t="e">
        <f>AVERAGEIFS('Region 21'!$W$2:$W$497,'Region 21'!$A$2:$A$497,F$1,'Region 21'!$X$2:$X$497,$D282,'Region 21'!$S$2:$S$497,$A282)</f>
        <v>#DIV/0!</v>
      </c>
      <c r="G282" t="e">
        <f>AVERAGEIFS('Region 21'!$W$2:$W$497,'Region 21'!$A$2:$A$497,G$1,'Region 21'!$X$2:$X$497,$D282,'Region 21'!$S$2:$S$497,$A282)</f>
        <v>#DIV/0!</v>
      </c>
      <c r="H282" t="e">
        <f>AVERAGEIFS('Region 21'!$W$2:$W$497,'Region 21'!$A$2:$A$497,H$1,'Region 21'!$X$2:$X$497,$D282,'Region 21'!$S$2:$S$497,$A282)</f>
        <v>#DIV/0!</v>
      </c>
      <c r="I282" t="e">
        <f>AVERAGEIFS('Region 21'!$W$2:$W$497,'Region 21'!$A$2:$A$497,I$1,'Region 21'!$X$2:$X$497,$D282,'Region 21'!$S$2:$S$497,$A282)</f>
        <v>#DIV/0!</v>
      </c>
      <c r="J282" t="e">
        <f>AVERAGEIFS('Region 21'!$W$2:$W$497,'Region 21'!$A$2:$A$497,J$1,'Region 21'!$X$2:$X$497,$D282,'Region 21'!$S$2:$S$497,$A282)</f>
        <v>#DIV/0!</v>
      </c>
      <c r="K282" t="e">
        <f>AVERAGEIFS('Region 21'!$W$2:$W$497,'Region 21'!$A$2:$A$497,K$1,'Region 21'!$X$2:$X$497,$D282,'Region 21'!$S$2:$S$497,$A282)</f>
        <v>#DIV/0!</v>
      </c>
      <c r="L282" t="e">
        <f>AVERAGEIFS('Region 21'!$W$2:$W$497,'Region 21'!$A$2:$A$497,L$1,'Region 21'!$X$2:$X$497,$D282,'Region 21'!$S$2:$S$497,$A282)</f>
        <v>#DIV/0!</v>
      </c>
      <c r="M282" t="e">
        <f>AVERAGEIFS('Region 21'!$W$2:$W$497,'Region 21'!$A$2:$A$497,M$1,'Region 21'!$X$2:$X$497,$D282,'Region 21'!$S$2:$S$497,$A282)</f>
        <v>#DIV/0!</v>
      </c>
      <c r="N282" t="e">
        <f>AVERAGEIFS('Region 21'!$W$2:$W$497,'Region 21'!$A$2:$A$497,N$1,'Region 21'!$X$2:$X$497,$D282,'Region 21'!$S$2:$S$497,$A282)</f>
        <v>#DIV/0!</v>
      </c>
      <c r="Q282" t="str">
        <f t="shared" si="229"/>
        <v>Wood</v>
      </c>
      <c r="R282" t="str">
        <f t="shared" si="230"/>
        <v>Appartments</v>
      </c>
      <c r="S282">
        <f t="shared" si="231"/>
        <v>21</v>
      </c>
      <c r="T282">
        <f t="shared" si="211"/>
        <v>11.255000000000001</v>
      </c>
      <c r="U282" t="str">
        <f t="shared" si="212"/>
        <v>-</v>
      </c>
      <c r="V282" t="str">
        <f t="shared" si="213"/>
        <v>-</v>
      </c>
      <c r="W282" t="str">
        <f t="shared" si="214"/>
        <v>-</v>
      </c>
      <c r="X282" t="str">
        <f t="shared" si="215"/>
        <v>-</v>
      </c>
      <c r="Y282" t="str">
        <f t="shared" si="216"/>
        <v>-</v>
      </c>
      <c r="Z282" t="str">
        <f t="shared" si="217"/>
        <v>-</v>
      </c>
      <c r="AA282" t="str">
        <f t="shared" si="218"/>
        <v>-</v>
      </c>
      <c r="AB282" t="str">
        <f t="shared" si="219"/>
        <v>-</v>
      </c>
      <c r="AC282" t="str">
        <f t="shared" si="220"/>
        <v>-</v>
      </c>
    </row>
    <row r="283" spans="1:29" x14ac:dyDescent="0.3">
      <c r="A283" t="s">
        <v>67</v>
      </c>
      <c r="B283" t="str">
        <f t="shared" ref="B283:D283" si="247">B179</f>
        <v>Appartments</v>
      </c>
      <c r="C283">
        <f t="shared" si="247"/>
        <v>22</v>
      </c>
      <c r="D283">
        <f t="shared" si="247"/>
        <v>3</v>
      </c>
      <c r="E283" t="e">
        <f>AVERAGEIFS('Region 22'!$W$2:$W$510,'Region 22'!$A$2:$A$510,E$1,'Region 22'!$X$2:$X$510,$D283,'Region 22'!$S$2:$S$510,$A283)</f>
        <v>#DIV/0!</v>
      </c>
      <c r="F283" t="e">
        <f>AVERAGEIFS('Region 22'!$W$2:$W$510,'Region 22'!$A$2:$A$510,F$1,'Region 22'!$X$2:$X$510,$D283,'Region 22'!$S$2:$S$510,$A283)</f>
        <v>#DIV/0!</v>
      </c>
      <c r="G283" t="e">
        <f>AVERAGEIFS('Region 22'!$W$2:$W$510,'Region 22'!$A$2:$A$510,G$1,'Region 22'!$X$2:$X$510,$D283,'Region 22'!$S$2:$S$510,$A283)</f>
        <v>#DIV/0!</v>
      </c>
      <c r="H283" t="e">
        <f>AVERAGEIFS('Region 22'!$W$2:$W$510,'Region 22'!$A$2:$A$510,H$1,'Region 22'!$X$2:$X$510,$D283,'Region 22'!$S$2:$S$510,$A283)</f>
        <v>#DIV/0!</v>
      </c>
      <c r="I283" t="e">
        <f>AVERAGEIFS('Region 22'!$W$2:$W$510,'Region 22'!$A$2:$A$510,I$1,'Region 22'!$X$2:$X$510,$D283,'Region 22'!$S$2:$S$510,$A283)</f>
        <v>#DIV/0!</v>
      </c>
      <c r="J283" t="e">
        <f>AVERAGEIFS('Region 22'!$W$2:$W$510,'Region 22'!$A$2:$A$510,J$1,'Region 22'!$X$2:$X$510,$D283,'Region 22'!$S$2:$S$510,$A283)</f>
        <v>#DIV/0!</v>
      </c>
      <c r="K283" t="e">
        <f>AVERAGEIFS('Region 22'!$W$2:$W$510,'Region 22'!$A$2:$A$510,K$1,'Region 22'!$X$2:$X$510,$D283,'Region 22'!$S$2:$S$510,$A283)</f>
        <v>#DIV/0!</v>
      </c>
      <c r="L283" t="e">
        <f>AVERAGEIFS('Region 22'!$W$2:$W$510,'Region 22'!$A$2:$A$510,L$1,'Region 22'!$X$2:$X$510,$D283,'Region 22'!$S$2:$S$510,$A283)</f>
        <v>#DIV/0!</v>
      </c>
      <c r="M283" t="e">
        <f>AVERAGEIFS('Region 22'!$W$2:$W$510,'Region 22'!$A$2:$A$510,M$1,'Region 22'!$X$2:$X$510,$D283,'Region 22'!$S$2:$S$510,$A283)</f>
        <v>#DIV/0!</v>
      </c>
      <c r="N283" t="e">
        <f>AVERAGEIFS('Region 22'!$W$2:$W$510,'Region 22'!$A$2:$A$510,N$1,'Region 22'!$X$2:$X$510,$D283,'Region 22'!$S$2:$S$510,$A283)</f>
        <v>#DIV/0!</v>
      </c>
      <c r="Q283" t="str">
        <f t="shared" si="229"/>
        <v>Wood</v>
      </c>
      <c r="R283" t="str">
        <f t="shared" si="230"/>
        <v>Appartments</v>
      </c>
      <c r="S283">
        <f t="shared" si="231"/>
        <v>22</v>
      </c>
      <c r="T283" t="str">
        <f t="shared" si="211"/>
        <v>-</v>
      </c>
      <c r="U283" t="str">
        <f t="shared" si="212"/>
        <v>-</v>
      </c>
      <c r="V283" t="str">
        <f t="shared" si="213"/>
        <v>-</v>
      </c>
      <c r="W283" t="str">
        <f t="shared" si="214"/>
        <v>-</v>
      </c>
      <c r="X283" t="str">
        <f t="shared" si="215"/>
        <v>-</v>
      </c>
      <c r="Y283" t="str">
        <f t="shared" si="216"/>
        <v>-</v>
      </c>
      <c r="Z283" t="str">
        <f t="shared" si="217"/>
        <v>-</v>
      </c>
      <c r="AA283" t="str">
        <f t="shared" si="218"/>
        <v>-</v>
      </c>
      <c r="AB283" t="str">
        <f t="shared" si="219"/>
        <v>-</v>
      </c>
      <c r="AC283" t="str">
        <f t="shared" si="220"/>
        <v>-</v>
      </c>
    </row>
    <row r="284" spans="1:29" x14ac:dyDescent="0.3">
      <c r="A284" t="s">
        <v>67</v>
      </c>
      <c r="B284" t="str">
        <f>B180</f>
        <v>Appartments</v>
      </c>
      <c r="C284">
        <f>C180</f>
        <v>23</v>
      </c>
      <c r="D284">
        <f>D180</f>
        <v>3</v>
      </c>
      <c r="E284" t="e">
        <f>AVERAGEIFS('Region 23'!$W$2:$W$468,'Region 23'!$A$2:$A$468,E$1,'Region 23'!$X$2:$X$468,$D284,'Region 23'!$S$2:$S$468,$A284)</f>
        <v>#DIV/0!</v>
      </c>
      <c r="F284" t="e">
        <f>AVERAGEIFS('Region 23'!$W$2:$W$468,'Region 23'!$A$2:$A$468,F$1,'Region 23'!$X$2:$X$468,$D284,'Region 23'!$S$2:$S$468,$A284)</f>
        <v>#DIV/0!</v>
      </c>
      <c r="G284" t="e">
        <f>AVERAGEIFS('Region 23'!$W$2:$W$468,'Region 23'!$A$2:$A$468,G$1,'Region 23'!$X$2:$X$468,$D284,'Region 23'!$S$2:$S$468,$A284)</f>
        <v>#DIV/0!</v>
      </c>
      <c r="H284" t="e">
        <f>AVERAGEIFS('Region 23'!$W$2:$W$468,'Region 23'!$A$2:$A$468,H$1,'Region 23'!$X$2:$X$468,$D284,'Region 23'!$S$2:$S$468,$A284)</f>
        <v>#DIV/0!</v>
      </c>
      <c r="I284" t="e">
        <f>AVERAGEIFS('Region 23'!$W$2:$W$468,'Region 23'!$A$2:$A$468,I$1,'Region 23'!$X$2:$X$468,$D284,'Region 23'!$S$2:$S$468,$A284)</f>
        <v>#DIV/0!</v>
      </c>
      <c r="J284" t="e">
        <f>AVERAGEIFS('Region 23'!$W$2:$W$468,'Region 23'!$A$2:$A$468,J$1,'Region 23'!$X$2:$X$468,$D284,'Region 23'!$S$2:$S$468,$A284)</f>
        <v>#DIV/0!</v>
      </c>
      <c r="K284" t="e">
        <f>AVERAGEIFS('Region 23'!$W$2:$W$468,'Region 23'!$A$2:$A$468,K$1,'Region 23'!$X$2:$X$468,$D284,'Region 23'!$S$2:$S$468,$A284)</f>
        <v>#DIV/0!</v>
      </c>
      <c r="L284" t="e">
        <f>AVERAGEIFS('Region 23'!$W$2:$W$468,'Region 23'!$A$2:$A$468,L$1,'Region 23'!$X$2:$X$468,$D284,'Region 23'!$S$2:$S$468,$A284)</f>
        <v>#DIV/0!</v>
      </c>
      <c r="M284" t="e">
        <f>AVERAGEIFS('Region 23'!$W$2:$W$468,'Region 23'!$A$2:$A$468,M$1,'Region 23'!$X$2:$X$468,$D284,'Region 23'!$S$2:$S$468,$A284)</f>
        <v>#DIV/0!</v>
      </c>
      <c r="N284" t="e">
        <f>AVERAGEIFS('Region 23'!$W$2:$W$468,'Region 23'!$A$2:$A$468,N$1,'Region 23'!$X$2:$X$468,$D284,'Region 23'!$S$2:$S$468,$A284)</f>
        <v>#DIV/0!</v>
      </c>
      <c r="Q284" t="str">
        <f t="shared" si="229"/>
        <v>Wood</v>
      </c>
      <c r="R284" t="str">
        <f t="shared" si="230"/>
        <v>Appartments</v>
      </c>
      <c r="S284">
        <f t="shared" si="231"/>
        <v>23</v>
      </c>
      <c r="T284" t="str">
        <f t="shared" si="211"/>
        <v>-</v>
      </c>
      <c r="U284" t="str">
        <f t="shared" si="212"/>
        <v>-</v>
      </c>
      <c r="V284" t="str">
        <f t="shared" si="213"/>
        <v>-</v>
      </c>
      <c r="W284" t="str">
        <f t="shared" si="214"/>
        <v>-</v>
      </c>
      <c r="X284" t="str">
        <f t="shared" si="215"/>
        <v>-</v>
      </c>
      <c r="Y284" t="str">
        <f t="shared" si="216"/>
        <v>-</v>
      </c>
      <c r="Z284" t="str">
        <f t="shared" si="217"/>
        <v>-</v>
      </c>
      <c r="AA284" t="str">
        <f t="shared" si="218"/>
        <v>-</v>
      </c>
      <c r="AB284" t="str">
        <f t="shared" si="219"/>
        <v>-</v>
      </c>
      <c r="AC284" t="str">
        <f t="shared" si="220"/>
        <v>-</v>
      </c>
    </row>
    <row r="285" spans="1:29" x14ac:dyDescent="0.3">
      <c r="A285" t="s">
        <v>67</v>
      </c>
      <c r="B285" t="str">
        <f t="shared" ref="B285:D285" si="248">B181</f>
        <v>Appartments</v>
      </c>
      <c r="C285">
        <f t="shared" si="248"/>
        <v>24</v>
      </c>
      <c r="D285">
        <f t="shared" si="248"/>
        <v>3</v>
      </c>
      <c r="E285" t="e">
        <f>AVERAGEIFS('Region 24'!$W$2:$W$454,'Region 24'!$A$2:$A$454,E$1,'Region 24'!$X$2:$X$454,$D285,'Region 24'!$S$2:$S$454,$A285)</f>
        <v>#DIV/0!</v>
      </c>
      <c r="F285" t="e">
        <f>AVERAGEIFS('Region 24'!$W$2:$W$454,'Region 24'!$A$2:$A$454,F$1,'Region 24'!$X$2:$X$454,$D285,'Region 24'!$S$2:$S$454,$A285)</f>
        <v>#DIV/0!</v>
      </c>
      <c r="G285" t="e">
        <f>AVERAGEIFS('Region 24'!$W$2:$W$454,'Region 24'!$A$2:$A$454,G$1,'Region 24'!$X$2:$X$454,$D285,'Region 24'!$S$2:$S$454,$A285)</f>
        <v>#DIV/0!</v>
      </c>
      <c r="H285" t="e">
        <f>AVERAGEIFS('Region 24'!$W$2:$W$454,'Region 24'!$A$2:$A$454,H$1,'Region 24'!$X$2:$X$454,$D285,'Region 24'!$S$2:$S$454,$A285)</f>
        <v>#DIV/0!</v>
      </c>
      <c r="I285" t="e">
        <f>AVERAGEIFS('Region 24'!$W$2:$W$454,'Region 24'!$A$2:$A$454,I$1,'Region 24'!$X$2:$X$454,$D285,'Region 24'!$S$2:$S$454,$A285)</f>
        <v>#DIV/0!</v>
      </c>
      <c r="J285" t="e">
        <f>AVERAGEIFS('Region 24'!$W$2:$W$454,'Region 24'!$A$2:$A$454,J$1,'Region 24'!$X$2:$X$454,$D285,'Region 24'!$S$2:$S$454,$A285)</f>
        <v>#DIV/0!</v>
      </c>
      <c r="K285" t="e">
        <f>AVERAGEIFS('Region 24'!$W$2:$W$454,'Region 24'!$A$2:$A$454,K$1,'Region 24'!$X$2:$X$454,$D285,'Region 24'!$S$2:$S$454,$A285)</f>
        <v>#DIV/0!</v>
      </c>
      <c r="L285" t="e">
        <f>AVERAGEIFS('Region 24'!$W$2:$W$454,'Region 24'!$A$2:$A$454,L$1,'Region 24'!$X$2:$X$454,$D285,'Region 24'!$S$2:$S$454,$A285)</f>
        <v>#DIV/0!</v>
      </c>
      <c r="M285" t="e">
        <f>AVERAGEIFS('Region 24'!$W$2:$W$454,'Region 24'!$A$2:$A$454,M$1,'Region 24'!$X$2:$X$454,$D285,'Region 24'!$S$2:$S$454,$A285)</f>
        <v>#DIV/0!</v>
      </c>
      <c r="N285" t="e">
        <f>AVERAGEIFS('Region 24'!$W$2:$W$454,'Region 24'!$A$2:$A$454,N$1,'Region 24'!$X$2:$X$454,$D285,'Region 24'!$S$2:$S$454,$A285)</f>
        <v>#DIV/0!</v>
      </c>
      <c r="Q285" t="str">
        <f t="shared" si="229"/>
        <v>Wood</v>
      </c>
      <c r="R285" t="str">
        <f t="shared" si="230"/>
        <v>Appartments</v>
      </c>
      <c r="S285">
        <f t="shared" si="231"/>
        <v>24</v>
      </c>
      <c r="T285" t="str">
        <f t="shared" si="211"/>
        <v>-</v>
      </c>
      <c r="U285" t="str">
        <f t="shared" si="212"/>
        <v>-</v>
      </c>
      <c r="V285" t="str">
        <f t="shared" si="213"/>
        <v>-</v>
      </c>
      <c r="W285" t="str">
        <f t="shared" si="214"/>
        <v>-</v>
      </c>
      <c r="X285" t="str">
        <f t="shared" si="215"/>
        <v>-</v>
      </c>
      <c r="Y285" t="str">
        <f t="shared" si="216"/>
        <v>-</v>
      </c>
      <c r="Z285" t="str">
        <f t="shared" si="217"/>
        <v>-</v>
      </c>
      <c r="AA285" t="str">
        <f t="shared" si="218"/>
        <v>-</v>
      </c>
      <c r="AB285" t="str">
        <f t="shared" si="219"/>
        <v>-</v>
      </c>
      <c r="AC285" t="str">
        <f t="shared" si="220"/>
        <v>-</v>
      </c>
    </row>
    <row r="286" spans="1:29" x14ac:dyDescent="0.3">
      <c r="A286" t="s">
        <v>67</v>
      </c>
      <c r="B286" t="str">
        <f t="shared" ref="B286:D286" si="249">B182</f>
        <v>Appartments</v>
      </c>
      <c r="C286">
        <f t="shared" si="249"/>
        <v>25</v>
      </c>
      <c r="D286">
        <f t="shared" si="249"/>
        <v>3</v>
      </c>
      <c r="E286" t="e">
        <f>AVERAGEIFS('Region 25'!$W$2:$W$499,'Region 25'!$A$2:$A$499,E$1,'Region 25'!$X$2:$X$499,$D286,'Region 25'!$S$2:$S$499,$A286)</f>
        <v>#DIV/0!</v>
      </c>
      <c r="F286" t="e">
        <f>AVERAGEIFS('Region 25'!$W$2:$W$499,'Region 25'!$A$2:$A$499,F$1,'Region 25'!$X$2:$X$499,$D286,'Region 25'!$S$2:$S$499,$A286)</f>
        <v>#DIV/0!</v>
      </c>
      <c r="G286" t="e">
        <f>AVERAGEIFS('Region 25'!$W$2:$W$499,'Region 25'!$A$2:$A$499,G$1,'Region 25'!$X$2:$X$499,$D286,'Region 25'!$S$2:$S$499,$A286)</f>
        <v>#DIV/0!</v>
      </c>
      <c r="H286" t="e">
        <f>AVERAGEIFS('Region 25'!$W$2:$W$499,'Region 25'!$A$2:$A$499,H$1,'Region 25'!$X$2:$X$499,$D286,'Region 25'!$S$2:$S$499,$A286)</f>
        <v>#DIV/0!</v>
      </c>
      <c r="I286" t="e">
        <f>AVERAGEIFS('Region 25'!$W$2:$W$499,'Region 25'!$A$2:$A$499,I$1,'Region 25'!$X$2:$X$499,$D286,'Region 25'!$S$2:$S$499,$A286)</f>
        <v>#DIV/0!</v>
      </c>
      <c r="J286" t="e">
        <f>AVERAGEIFS('Region 25'!$W$2:$W$499,'Region 25'!$A$2:$A$499,J$1,'Region 25'!$X$2:$X$499,$D286,'Region 25'!$S$2:$S$499,$A286)</f>
        <v>#DIV/0!</v>
      </c>
      <c r="K286" t="e">
        <f>AVERAGEIFS('Region 25'!$W$2:$W$499,'Region 25'!$A$2:$A$499,K$1,'Region 25'!$X$2:$X$499,$D286,'Region 25'!$S$2:$S$499,$A286)</f>
        <v>#DIV/0!</v>
      </c>
      <c r="L286" t="e">
        <f>AVERAGEIFS('Region 25'!$W$2:$W$499,'Region 25'!$A$2:$A$499,L$1,'Region 25'!$X$2:$X$499,$D286,'Region 25'!$S$2:$S$499,$A286)</f>
        <v>#DIV/0!</v>
      </c>
      <c r="M286" t="e">
        <f>AVERAGEIFS('Region 25'!$W$2:$W$499,'Region 25'!$A$2:$A$499,M$1,'Region 25'!$X$2:$X$499,$D286,'Region 25'!$S$2:$S$499,$A286)</f>
        <v>#DIV/0!</v>
      </c>
      <c r="N286" t="e">
        <f>AVERAGEIFS('Region 25'!$W$2:$W$499,'Region 25'!$A$2:$A$499,N$1,'Region 25'!$X$2:$X$499,$D286,'Region 25'!$S$2:$S$499,$A286)</f>
        <v>#DIV/0!</v>
      </c>
      <c r="Q286" t="str">
        <f t="shared" si="229"/>
        <v>Wood</v>
      </c>
      <c r="R286" t="str">
        <f t="shared" si="230"/>
        <v>Appartments</v>
      </c>
      <c r="S286">
        <f t="shared" si="231"/>
        <v>25</v>
      </c>
      <c r="T286" t="str">
        <f t="shared" si="211"/>
        <v>-</v>
      </c>
      <c r="U286" t="str">
        <f t="shared" si="212"/>
        <v>-</v>
      </c>
      <c r="V286" t="str">
        <f t="shared" si="213"/>
        <v>-</v>
      </c>
      <c r="W286" t="str">
        <f t="shared" si="214"/>
        <v>-</v>
      </c>
      <c r="X286" t="str">
        <f t="shared" si="215"/>
        <v>-</v>
      </c>
      <c r="Y286" t="str">
        <f t="shared" si="216"/>
        <v>-</v>
      </c>
      <c r="Z286" t="str">
        <f t="shared" si="217"/>
        <v>-</v>
      </c>
      <c r="AA286" t="str">
        <f t="shared" si="218"/>
        <v>-</v>
      </c>
      <c r="AB286" t="str">
        <f t="shared" si="219"/>
        <v>-</v>
      </c>
      <c r="AC286" t="str">
        <f t="shared" si="220"/>
        <v>-</v>
      </c>
    </row>
    <row r="287" spans="1:29" x14ac:dyDescent="0.3">
      <c r="A287" t="s">
        <v>67</v>
      </c>
      <c r="B287" t="str">
        <f t="shared" ref="B287:D287" si="250">B183</f>
        <v>Appartments</v>
      </c>
      <c r="C287">
        <f t="shared" si="250"/>
        <v>26</v>
      </c>
      <c r="D287">
        <f t="shared" si="250"/>
        <v>3</v>
      </c>
      <c r="E287" t="e">
        <f ca="1">AVERAGEIFS('Region 26'!$W$2:$W$500,'Region 26'!$A$2:$A$500,E$1,'Region 26'!$X$2:$X$500,$D287,'Region 26'!$S$2:$S$500,$A287)</f>
        <v>#DIV/0!</v>
      </c>
      <c r="F287" t="e">
        <f ca="1">AVERAGEIFS('Region 26'!$W$2:$W$500,'Region 26'!$A$2:$A$500,F$1,'Region 26'!$X$2:$X$500,$D287,'Region 26'!$S$2:$S$500,$A287)</f>
        <v>#DIV/0!</v>
      </c>
      <c r="G287" t="e">
        <f ca="1">AVERAGEIFS('Region 26'!$W$2:$W$500,'Region 26'!$A$2:$A$500,G$1,'Region 26'!$X$2:$X$500,$D287,'Region 26'!$S$2:$S$500,$A287)</f>
        <v>#DIV/0!</v>
      </c>
      <c r="H287" t="e">
        <f ca="1">AVERAGEIFS('Region 26'!$W$2:$W$500,'Region 26'!$A$2:$A$500,H$1,'Region 26'!$X$2:$X$500,$D287,'Region 26'!$S$2:$S$500,$A287)</f>
        <v>#DIV/0!</v>
      </c>
      <c r="I287" t="e">
        <f ca="1">AVERAGEIFS('Region 26'!$W$2:$W$500,'Region 26'!$A$2:$A$500,I$1,'Region 26'!$X$2:$X$500,$D287,'Region 26'!$S$2:$S$500,$A287)</f>
        <v>#DIV/0!</v>
      </c>
      <c r="J287" t="e">
        <f ca="1">AVERAGEIFS('Region 26'!$W$2:$W$500,'Region 26'!$A$2:$A$500,J$1,'Region 26'!$X$2:$X$500,$D287,'Region 26'!$S$2:$S$500,$A287)</f>
        <v>#DIV/0!</v>
      </c>
      <c r="K287" t="e">
        <f ca="1">AVERAGEIFS('Region 26'!$W$2:$W$500,'Region 26'!$A$2:$A$500,K$1,'Region 26'!$X$2:$X$500,$D287,'Region 26'!$S$2:$S$500,$A287)</f>
        <v>#DIV/0!</v>
      </c>
      <c r="L287" t="e">
        <f ca="1">AVERAGEIFS('Region 26'!$W$2:$W$500,'Region 26'!$A$2:$A$500,L$1,'Region 26'!$X$2:$X$500,$D287,'Region 26'!$S$2:$S$500,$A287)</f>
        <v>#DIV/0!</v>
      </c>
      <c r="M287" t="e">
        <f ca="1">AVERAGEIFS('Region 26'!$W$2:$W$500,'Region 26'!$A$2:$A$500,M$1,'Region 26'!$X$2:$X$500,$D287,'Region 26'!$S$2:$S$500,$A287)</f>
        <v>#DIV/0!</v>
      </c>
      <c r="N287" t="e">
        <f ca="1">AVERAGEIFS('Region 26'!$W$2:$W$500,'Region 26'!$A$2:$A$500,N$1,'Region 26'!$X$2:$X$500,$D287,'Region 26'!$S$2:$S$500,$A287)</f>
        <v>#DIV/0!</v>
      </c>
      <c r="Q287" t="str">
        <f t="shared" si="229"/>
        <v>Wood</v>
      </c>
      <c r="R287" t="str">
        <f t="shared" si="230"/>
        <v>Appartments</v>
      </c>
      <c r="S287">
        <f t="shared" si="231"/>
        <v>26</v>
      </c>
      <c r="T287" t="str">
        <f t="shared" ca="1" si="211"/>
        <v>-</v>
      </c>
      <c r="U287" t="str">
        <f t="shared" ca="1" si="212"/>
        <v>-</v>
      </c>
      <c r="V287" t="str">
        <f t="shared" ca="1" si="213"/>
        <v>-</v>
      </c>
      <c r="W287" t="str">
        <f t="shared" ca="1" si="214"/>
        <v>-</v>
      </c>
      <c r="X287" t="str">
        <f t="shared" ca="1" si="215"/>
        <v>-</v>
      </c>
      <c r="Y287" t="str">
        <f t="shared" ca="1" si="216"/>
        <v>-</v>
      </c>
      <c r="Z287" t="str">
        <f t="shared" ca="1" si="217"/>
        <v>-</v>
      </c>
      <c r="AA287" t="str">
        <f t="shared" ca="1" si="218"/>
        <v>-</v>
      </c>
      <c r="AB287" t="str">
        <f t="shared" ca="1" si="219"/>
        <v>-</v>
      </c>
      <c r="AC287" t="str">
        <f t="shared" ca="1" si="220"/>
        <v>-</v>
      </c>
    </row>
    <row r="288" spans="1:29" x14ac:dyDescent="0.3">
      <c r="A288" t="s">
        <v>67</v>
      </c>
      <c r="B288" t="str">
        <f t="shared" ref="B288:D288" si="251">B184</f>
        <v>High-rise</v>
      </c>
      <c r="C288">
        <f t="shared" si="251"/>
        <v>1</v>
      </c>
      <c r="D288">
        <f t="shared" si="251"/>
        <v>4</v>
      </c>
      <c r="E288" t="e">
        <f>AVERAGEIFS('Region 1'!$W$2:$W$498,'Region 1'!$A$2:$A$498,E$1,'Region 1'!$X$2:$X$498,$D288,'Region 1'!$S$2:$S$498,$A288)</f>
        <v>#DIV/0!</v>
      </c>
      <c r="F288">
        <f>AVERAGEIFS('Region 1'!$W$2:$W$498,'Region 1'!$A$2:$A$498,F$1,'Region 1'!$X$2:$X$498,$D288,'Region 1'!$S$2:$S$498,$A288)</f>
        <v>28.65651709401709</v>
      </c>
      <c r="G288" t="e">
        <f>AVERAGEIFS('Region 1'!$W$2:$W$498,'Region 1'!$A$2:$A$498,G$1,'Region 1'!$X$2:$X$498,$D288,'Region 1'!$S$2:$S$498,$A288)</f>
        <v>#DIV/0!</v>
      </c>
      <c r="H288" t="e">
        <f>AVERAGEIFS('Region 1'!$W$2:$W$498,'Region 1'!$A$2:$A$498,H$1,'Region 1'!$X$2:$X$498,$D288,'Region 1'!$S$2:$S$498,$A288)</f>
        <v>#DIV/0!</v>
      </c>
      <c r="I288" t="e">
        <f>AVERAGEIFS('Region 1'!$W$2:$W$498,'Region 1'!$A$2:$A$498,I$1,'Region 1'!$X$2:$X$498,$D288,'Region 1'!$S$2:$S$498,$A288)</f>
        <v>#DIV/0!</v>
      </c>
      <c r="J288" t="e">
        <f>AVERAGEIFS('Region 1'!$W$2:$W$498,'Region 1'!$A$2:$A$498,J$1,'Region 1'!$X$2:$X$498,$D288,'Region 1'!$S$2:$S$498,$A288)</f>
        <v>#DIV/0!</v>
      </c>
      <c r="K288" t="e">
        <f>AVERAGEIFS('Region 1'!$W$2:$W$498,'Region 1'!$A$2:$A$498,K$1,'Region 1'!$X$2:$X$498,$D288,'Region 1'!$S$2:$S$498,$A288)</f>
        <v>#DIV/0!</v>
      </c>
      <c r="L288" t="e">
        <f>AVERAGEIFS('Region 1'!$W$2:$W$498,'Region 1'!$A$2:$A$498,L$1,'Region 1'!$X$2:$X$498,$D288,'Region 1'!$S$2:$S$498,$A288)</f>
        <v>#DIV/0!</v>
      </c>
      <c r="M288" t="e">
        <f>AVERAGEIFS('Region 1'!$W$2:$W$498,'Region 1'!$A$2:$A$498,M$1,'Region 1'!$X$2:$X$498,$D288,'Region 1'!$S$2:$S$498,$A288)</f>
        <v>#DIV/0!</v>
      </c>
      <c r="N288" t="e">
        <f>AVERAGEIFS('Region 1'!$W$2:$W$498,'Region 1'!$A$2:$A$498,N$1,'Region 1'!$X$2:$X$498,$D288,'Region 1'!$S$2:$S$498,$A288)</f>
        <v>#DIV/0!</v>
      </c>
      <c r="Q288" t="str">
        <f t="shared" si="229"/>
        <v>Wood</v>
      </c>
      <c r="R288" t="str">
        <f t="shared" si="230"/>
        <v>High-rise</v>
      </c>
      <c r="S288">
        <f t="shared" si="231"/>
        <v>1</v>
      </c>
      <c r="T288" t="str">
        <f t="shared" si="211"/>
        <v>-</v>
      </c>
      <c r="U288">
        <f t="shared" si="212"/>
        <v>28.65651709401709</v>
      </c>
      <c r="V288" t="str">
        <f t="shared" si="213"/>
        <v>-</v>
      </c>
      <c r="W288" t="str">
        <f t="shared" si="214"/>
        <v>-</v>
      </c>
      <c r="X288" t="str">
        <f t="shared" si="215"/>
        <v>-</v>
      </c>
      <c r="Y288" t="str">
        <f t="shared" si="216"/>
        <v>-</v>
      </c>
      <c r="Z288" t="str">
        <f t="shared" si="217"/>
        <v>-</v>
      </c>
      <c r="AA288" t="str">
        <f t="shared" si="218"/>
        <v>-</v>
      </c>
      <c r="AB288" t="str">
        <f t="shared" si="219"/>
        <v>-</v>
      </c>
      <c r="AC288" t="str">
        <f t="shared" si="220"/>
        <v>-</v>
      </c>
    </row>
    <row r="289" spans="1:29" x14ac:dyDescent="0.3">
      <c r="A289" t="s">
        <v>67</v>
      </c>
      <c r="B289" t="str">
        <f t="shared" ref="B289:D289" si="252">B185</f>
        <v>High-rise</v>
      </c>
      <c r="C289">
        <f t="shared" si="252"/>
        <v>2</v>
      </c>
      <c r="D289">
        <f t="shared" si="252"/>
        <v>4</v>
      </c>
      <c r="E289" t="e">
        <f>AVERAGEIFS('Region 2'!$W$2:$W$498,'Region 2'!$A$2:$A$498,E$1,'Region 2'!$X$2:$X$498,$D289,'Region 2'!$S$2:$S$498,$A289)</f>
        <v>#DIV/0!</v>
      </c>
      <c r="F289" t="e">
        <f>AVERAGEIFS('Region 2'!$W$2:$W$498,'Region 2'!$A$2:$A$498,F$1,'Region 2'!$X$2:$X$498,$D289,'Region 2'!$S$2:$S$498,$A289)</f>
        <v>#DIV/0!</v>
      </c>
      <c r="G289" t="e">
        <f>AVERAGEIFS('Region 2'!$W$2:$W$498,'Region 2'!$A$2:$A$498,G$1,'Region 2'!$X$2:$X$498,$D289,'Region 2'!$S$2:$S$498,$A289)</f>
        <v>#DIV/0!</v>
      </c>
      <c r="H289" t="e">
        <f>AVERAGEIFS('Region 2'!$W$2:$W$498,'Region 2'!$A$2:$A$498,H$1,'Region 2'!$X$2:$X$498,$D289,'Region 2'!$S$2:$S$498,$A289)</f>
        <v>#DIV/0!</v>
      </c>
      <c r="I289" t="e">
        <f>AVERAGEIFS('Region 2'!$W$2:$W$498,'Region 2'!$A$2:$A$498,I$1,'Region 2'!$X$2:$X$498,$D289,'Region 2'!$S$2:$S$498,$A289)</f>
        <v>#DIV/0!</v>
      </c>
      <c r="J289" t="e">
        <f>AVERAGEIFS('Region 2'!$W$2:$W$498,'Region 2'!$A$2:$A$498,J$1,'Region 2'!$X$2:$X$498,$D289,'Region 2'!$S$2:$S$498,$A289)</f>
        <v>#DIV/0!</v>
      </c>
      <c r="K289" t="e">
        <f>AVERAGEIFS('Region 2'!$W$2:$W$498,'Region 2'!$A$2:$A$498,K$1,'Region 2'!$X$2:$X$498,$D289,'Region 2'!$S$2:$S$498,$A289)</f>
        <v>#DIV/0!</v>
      </c>
      <c r="L289" t="e">
        <f>AVERAGEIFS('Region 2'!$W$2:$W$498,'Region 2'!$A$2:$A$498,L$1,'Region 2'!$X$2:$X$498,$D289,'Region 2'!$S$2:$S$498,$A289)</f>
        <v>#DIV/0!</v>
      </c>
      <c r="M289" t="e">
        <f>AVERAGEIFS('Region 2'!$W$2:$W$498,'Region 2'!$A$2:$A$498,M$1,'Region 2'!$X$2:$X$498,$D289,'Region 2'!$S$2:$S$498,$A289)</f>
        <v>#DIV/0!</v>
      </c>
      <c r="N289" t="e">
        <f>AVERAGEIFS('Region 2'!$W$2:$W$498,'Region 2'!$A$2:$A$498,N$1,'Region 2'!$X$2:$X$498,$D289,'Region 2'!$S$2:$S$498,$A289)</f>
        <v>#DIV/0!</v>
      </c>
      <c r="Q289" t="str">
        <f t="shared" si="229"/>
        <v>Wood</v>
      </c>
      <c r="R289" t="str">
        <f t="shared" si="230"/>
        <v>High-rise</v>
      </c>
      <c r="S289">
        <f t="shared" si="231"/>
        <v>2</v>
      </c>
      <c r="T289" t="str">
        <f t="shared" si="211"/>
        <v>-</v>
      </c>
      <c r="U289" t="str">
        <f t="shared" si="212"/>
        <v>-</v>
      </c>
      <c r="V289" t="str">
        <f t="shared" si="213"/>
        <v>-</v>
      </c>
      <c r="W289" t="str">
        <f t="shared" si="214"/>
        <v>-</v>
      </c>
      <c r="X289" t="str">
        <f t="shared" si="215"/>
        <v>-</v>
      </c>
      <c r="Y289" t="str">
        <f t="shared" si="216"/>
        <v>-</v>
      </c>
      <c r="Z289" t="str">
        <f t="shared" si="217"/>
        <v>-</v>
      </c>
      <c r="AA289" t="str">
        <f t="shared" si="218"/>
        <v>-</v>
      </c>
      <c r="AB289" t="str">
        <f t="shared" si="219"/>
        <v>-</v>
      </c>
      <c r="AC289" t="str">
        <f t="shared" si="220"/>
        <v>-</v>
      </c>
    </row>
    <row r="290" spans="1:29" x14ac:dyDescent="0.3">
      <c r="A290" t="s">
        <v>67</v>
      </c>
      <c r="B290" t="str">
        <f t="shared" ref="B290:D290" si="253">B186</f>
        <v>High-rise</v>
      </c>
      <c r="C290">
        <f t="shared" si="253"/>
        <v>3</v>
      </c>
      <c r="D290">
        <f t="shared" si="253"/>
        <v>4</v>
      </c>
      <c r="E290" t="e">
        <f ca="1">AVERAGEIFS('Region 3'!$W$2:$W$500,'Region 3'!$A$2:$A$500,E$1,'Region 3'!$X$2:$X$500,$D290,'Region 3'!$S$2:$S$500,$A290)</f>
        <v>#DIV/0!</v>
      </c>
      <c r="F290" t="e">
        <f ca="1">AVERAGEIFS('Region 3'!$W$2:$W$500,'Region 3'!$A$2:$A$500,F$1,'Region 3'!$X$2:$X$500,$D290,'Region 3'!$S$2:$S$500,$A290)</f>
        <v>#DIV/0!</v>
      </c>
      <c r="G290" t="e">
        <f ca="1">AVERAGEIFS('Region 3'!$W$2:$W$500,'Region 3'!$A$2:$A$500,G$1,'Region 3'!$X$2:$X$500,$D290,'Region 3'!$S$2:$S$500,$A290)</f>
        <v>#DIV/0!</v>
      </c>
      <c r="H290" t="e">
        <f ca="1">AVERAGEIFS('Region 3'!$W$2:$W$500,'Region 3'!$A$2:$A$500,H$1,'Region 3'!$X$2:$X$500,$D290,'Region 3'!$S$2:$S$500,$A290)</f>
        <v>#DIV/0!</v>
      </c>
      <c r="I290" t="e">
        <f ca="1">AVERAGEIFS('Region 3'!$W$2:$W$500,'Region 3'!$A$2:$A$500,I$1,'Region 3'!$X$2:$X$500,$D290,'Region 3'!$S$2:$S$500,$A290)</f>
        <v>#DIV/0!</v>
      </c>
      <c r="J290" t="e">
        <f ca="1">AVERAGEIFS('Region 3'!$W$2:$W$500,'Region 3'!$A$2:$A$500,J$1,'Region 3'!$X$2:$X$500,$D290,'Region 3'!$S$2:$S$500,$A290)</f>
        <v>#DIV/0!</v>
      </c>
      <c r="K290" t="e">
        <f ca="1">AVERAGEIFS('Region 3'!$W$2:$W$500,'Region 3'!$A$2:$A$500,K$1,'Region 3'!$X$2:$X$500,$D290,'Region 3'!$S$2:$S$500,$A290)</f>
        <v>#DIV/0!</v>
      </c>
      <c r="L290" t="e">
        <f ca="1">AVERAGEIFS('Region 3'!$W$2:$W$500,'Region 3'!$A$2:$A$500,L$1,'Region 3'!$X$2:$X$500,$D290,'Region 3'!$S$2:$S$500,$A290)</f>
        <v>#DIV/0!</v>
      </c>
      <c r="M290" t="e">
        <f ca="1">AVERAGEIFS('Region 3'!$W$2:$W$500,'Region 3'!$A$2:$A$500,M$1,'Region 3'!$X$2:$X$500,$D290,'Region 3'!$S$2:$S$500,$A290)</f>
        <v>#DIV/0!</v>
      </c>
      <c r="N290" t="e">
        <f ca="1">AVERAGEIFS('Region 3'!$W$2:$W$500,'Region 3'!$A$2:$A$500,N$1,'Region 3'!$X$2:$X$500,$D290,'Region 3'!$S$2:$S$500,$A290)</f>
        <v>#DIV/0!</v>
      </c>
      <c r="Q290" t="str">
        <f t="shared" si="229"/>
        <v>Wood</v>
      </c>
      <c r="R290" t="str">
        <f t="shared" si="230"/>
        <v>High-rise</v>
      </c>
      <c r="S290">
        <f t="shared" si="231"/>
        <v>3</v>
      </c>
      <c r="T290" t="str">
        <f t="shared" ca="1" si="211"/>
        <v>-</v>
      </c>
      <c r="U290" t="str">
        <f t="shared" ca="1" si="212"/>
        <v>-</v>
      </c>
      <c r="V290" t="str">
        <f t="shared" ca="1" si="213"/>
        <v>-</v>
      </c>
      <c r="W290" t="str">
        <f t="shared" ca="1" si="214"/>
        <v>-</v>
      </c>
      <c r="X290" t="str">
        <f t="shared" ca="1" si="215"/>
        <v>-</v>
      </c>
      <c r="Y290" t="str">
        <f t="shared" ca="1" si="216"/>
        <v>-</v>
      </c>
      <c r="Z290" t="str">
        <f t="shared" ca="1" si="217"/>
        <v>-</v>
      </c>
      <c r="AA290" t="str">
        <f t="shared" ca="1" si="218"/>
        <v>-</v>
      </c>
      <c r="AB290" t="str">
        <f t="shared" ca="1" si="219"/>
        <v>-</v>
      </c>
      <c r="AC290" t="str">
        <f t="shared" ca="1" si="220"/>
        <v>-</v>
      </c>
    </row>
    <row r="291" spans="1:29" x14ac:dyDescent="0.3">
      <c r="A291" t="s">
        <v>67</v>
      </c>
      <c r="B291" t="str">
        <f t="shared" ref="B291:D291" si="254">B187</f>
        <v>High-rise</v>
      </c>
      <c r="C291">
        <f t="shared" si="254"/>
        <v>4</v>
      </c>
      <c r="D291">
        <f t="shared" si="254"/>
        <v>4</v>
      </c>
      <c r="E291" t="e">
        <f>AVERAGEIFS('Region 4'!$W$2:$W$10,'Region 4'!$A$2:$A$10,E$1,'Region 4'!$X$2:$X$10,$D291,'Region 4'!$S$2:$S$10,$A291)</f>
        <v>#DIV/0!</v>
      </c>
      <c r="F291" t="e">
        <f>AVERAGEIFS('Region 4'!$W$2:$W$10,'Region 4'!$A$2:$A$10,F$1,'Region 4'!$X$2:$X$10,$D291,'Region 4'!$S$2:$S$10,$A291)</f>
        <v>#DIV/0!</v>
      </c>
      <c r="G291" t="e">
        <f>AVERAGEIFS('Region 4'!$W$2:$W$10,'Region 4'!$A$2:$A$10,G$1,'Region 4'!$X$2:$X$10,$D291,'Region 4'!$S$2:$S$10,$A291)</f>
        <v>#DIV/0!</v>
      </c>
      <c r="H291" t="e">
        <f>AVERAGEIFS('Region 4'!$W$2:$W$10,'Region 4'!$A$2:$A$10,H$1,'Region 4'!$X$2:$X$10,$D291,'Region 4'!$S$2:$S$10,$A291)</f>
        <v>#DIV/0!</v>
      </c>
      <c r="I291" t="e">
        <f>AVERAGEIFS('Region 4'!$W$2:$W$10,'Region 4'!$A$2:$A$10,I$1,'Region 4'!$X$2:$X$10,$D291,'Region 4'!$S$2:$S$10,$A291)</f>
        <v>#DIV/0!</v>
      </c>
      <c r="J291" t="e">
        <f>AVERAGEIFS('Region 4'!$W$2:$W$10,'Region 4'!$A$2:$A$10,J$1,'Region 4'!$X$2:$X$10,$D291,'Region 4'!$S$2:$S$10,$A291)</f>
        <v>#DIV/0!</v>
      </c>
      <c r="K291" t="e">
        <f>AVERAGEIFS('Region 4'!$W$2:$W$10,'Region 4'!$A$2:$A$10,K$1,'Region 4'!$X$2:$X$10,$D291,'Region 4'!$S$2:$S$10,$A291)</f>
        <v>#DIV/0!</v>
      </c>
      <c r="L291" t="e">
        <f>AVERAGEIFS('Region 4'!$W$2:$W$10,'Region 4'!$A$2:$A$10,L$1,'Region 4'!$X$2:$X$10,$D291,'Region 4'!$S$2:$S$10,$A291)</f>
        <v>#DIV/0!</v>
      </c>
      <c r="M291" t="e">
        <f>AVERAGEIFS('Region 4'!$W$2:$W$10,'Region 4'!$A$2:$A$10,M$1,'Region 4'!$X$2:$X$10,$D291,'Region 4'!$S$2:$S$10,$A291)</f>
        <v>#DIV/0!</v>
      </c>
      <c r="N291" t="e">
        <f>AVERAGEIFS('Region 4'!$W$2:$W$10,'Region 4'!$A$2:$A$10,N$1,'Region 4'!$X$2:$X$10,$D291,'Region 4'!$S$2:$S$10,$A291)</f>
        <v>#DIV/0!</v>
      </c>
      <c r="Q291" t="str">
        <f t="shared" si="229"/>
        <v>Wood</v>
      </c>
      <c r="R291" t="str">
        <f t="shared" si="230"/>
        <v>High-rise</v>
      </c>
      <c r="S291">
        <f t="shared" si="231"/>
        <v>4</v>
      </c>
      <c r="T291" t="str">
        <f t="shared" si="211"/>
        <v>-</v>
      </c>
      <c r="U291" t="str">
        <f t="shared" si="212"/>
        <v>-</v>
      </c>
      <c r="V291" t="str">
        <f t="shared" si="213"/>
        <v>-</v>
      </c>
      <c r="W291" t="str">
        <f t="shared" si="214"/>
        <v>-</v>
      </c>
      <c r="X291" t="str">
        <f t="shared" si="215"/>
        <v>-</v>
      </c>
      <c r="Y291" t="str">
        <f t="shared" si="216"/>
        <v>-</v>
      </c>
      <c r="Z291" t="str">
        <f t="shared" si="217"/>
        <v>-</v>
      </c>
      <c r="AA291" t="str">
        <f t="shared" si="218"/>
        <v>-</v>
      </c>
      <c r="AB291" t="str">
        <f t="shared" si="219"/>
        <v>-</v>
      </c>
      <c r="AC291" t="str">
        <f t="shared" si="220"/>
        <v>-</v>
      </c>
    </row>
    <row r="292" spans="1:29" x14ac:dyDescent="0.3">
      <c r="A292" t="s">
        <v>67</v>
      </c>
      <c r="B292" t="str">
        <f t="shared" ref="B292:D292" si="255">B188</f>
        <v>High-rise</v>
      </c>
      <c r="C292">
        <f t="shared" si="255"/>
        <v>5</v>
      </c>
      <c r="D292">
        <f t="shared" si="255"/>
        <v>4</v>
      </c>
      <c r="E292" t="e">
        <f>AVERAGEIFS('Region 5'!$W$2:$W$496,'Region 5'!$A$2:$A$496,E$1,'Region 5'!$X$2:$X$496,$D292,'Region 5'!$S$2:$S$496,$A292)</f>
        <v>#DIV/0!</v>
      </c>
      <c r="F292">
        <f>AVERAGEIFS('Region 5'!$W$2:$W$496,'Region 5'!$A$2:$A$496,F$1,'Region 5'!$X$2:$X$496,$D292,'Region 5'!$S$2:$S$496,$A292)</f>
        <v>20.63</v>
      </c>
      <c r="G292" t="e">
        <f>AVERAGEIFS('Region 5'!$W$2:$W$496,'Region 5'!$A$2:$A$496,G$1,'Region 5'!$X$2:$X$496,$D292,'Region 5'!$S$2:$S$496,$A292)</f>
        <v>#DIV/0!</v>
      </c>
      <c r="H292" t="e">
        <f>AVERAGEIFS('Region 5'!$W$2:$W$496,'Region 5'!$A$2:$A$496,H$1,'Region 5'!$X$2:$X$496,$D292,'Region 5'!$S$2:$S$496,$A292)</f>
        <v>#DIV/0!</v>
      </c>
      <c r="I292" t="e">
        <f>AVERAGEIFS('Region 5'!$W$2:$W$496,'Region 5'!$A$2:$A$496,I$1,'Region 5'!$X$2:$X$496,$D292,'Region 5'!$S$2:$S$496,$A292)</f>
        <v>#DIV/0!</v>
      </c>
      <c r="J292" t="e">
        <f>AVERAGEIFS('Region 5'!$W$2:$W$496,'Region 5'!$A$2:$A$496,J$1,'Region 5'!$X$2:$X$496,$D292,'Region 5'!$S$2:$S$496,$A292)</f>
        <v>#DIV/0!</v>
      </c>
      <c r="K292" t="e">
        <f>AVERAGEIFS('Region 5'!$W$2:$W$496,'Region 5'!$A$2:$A$496,K$1,'Region 5'!$X$2:$X$496,$D292,'Region 5'!$S$2:$S$496,$A292)</f>
        <v>#DIV/0!</v>
      </c>
      <c r="L292" t="e">
        <f>AVERAGEIFS('Region 5'!$W$2:$W$496,'Region 5'!$A$2:$A$496,L$1,'Region 5'!$X$2:$X$496,$D292,'Region 5'!$S$2:$S$496,$A292)</f>
        <v>#DIV/0!</v>
      </c>
      <c r="M292" t="e">
        <f>AVERAGEIFS('Region 5'!$W$2:$W$496,'Region 5'!$A$2:$A$496,M$1,'Region 5'!$X$2:$X$496,$D292,'Region 5'!$S$2:$S$496,$A292)</f>
        <v>#DIV/0!</v>
      </c>
      <c r="N292" t="e">
        <f>AVERAGEIFS('Region 5'!$W$2:$W$496,'Region 5'!$A$2:$A$496,N$1,'Region 5'!$X$2:$X$496,$D292,'Region 5'!$S$2:$S$496,$A292)</f>
        <v>#DIV/0!</v>
      </c>
      <c r="Q292" t="str">
        <f t="shared" si="229"/>
        <v>Wood</v>
      </c>
      <c r="R292" t="str">
        <f t="shared" si="230"/>
        <v>High-rise</v>
      </c>
      <c r="S292">
        <f t="shared" si="231"/>
        <v>5</v>
      </c>
      <c r="T292" t="str">
        <f t="shared" si="211"/>
        <v>-</v>
      </c>
      <c r="U292">
        <f t="shared" si="212"/>
        <v>20.63</v>
      </c>
      <c r="V292" t="str">
        <f t="shared" si="213"/>
        <v>-</v>
      </c>
      <c r="W292" t="str">
        <f t="shared" si="214"/>
        <v>-</v>
      </c>
      <c r="X292" t="str">
        <f t="shared" si="215"/>
        <v>-</v>
      </c>
      <c r="Y292" t="str">
        <f t="shared" si="216"/>
        <v>-</v>
      </c>
      <c r="Z292" t="str">
        <f t="shared" si="217"/>
        <v>-</v>
      </c>
      <c r="AA292" t="str">
        <f t="shared" si="218"/>
        <v>-</v>
      </c>
      <c r="AB292" t="str">
        <f t="shared" si="219"/>
        <v>-</v>
      </c>
      <c r="AC292" t="str">
        <f t="shared" si="220"/>
        <v>-</v>
      </c>
    </row>
    <row r="293" spans="1:29" x14ac:dyDescent="0.3">
      <c r="A293" t="s">
        <v>67</v>
      </c>
      <c r="B293" t="str">
        <f t="shared" ref="B293:D293" si="256">B189</f>
        <v>High-rise</v>
      </c>
      <c r="C293">
        <f t="shared" si="256"/>
        <v>6</v>
      </c>
      <c r="D293">
        <f t="shared" si="256"/>
        <v>4</v>
      </c>
      <c r="E293" t="e">
        <f>AVERAGEIFS('Region 6'!$W$2:$W$496,'Region 6'!$A$2:$A$496,E$1,'Region 6'!$X$2:$X$496,$D293,'Region 6'!$S$2:$S$496,$A293)</f>
        <v>#DIV/0!</v>
      </c>
      <c r="F293" t="e">
        <f>AVERAGEIFS('Region 6'!$W$2:$W$496,'Region 6'!$A$2:$A$496,F$1,'Region 6'!$X$2:$X$496,$D293,'Region 6'!$S$2:$S$496,$A293)</f>
        <v>#DIV/0!</v>
      </c>
      <c r="G293" t="e">
        <f>AVERAGEIFS('Region 6'!$W$2:$W$496,'Region 6'!$A$2:$A$496,G$1,'Region 6'!$X$2:$X$496,$D293,'Region 6'!$S$2:$S$496,$A293)</f>
        <v>#DIV/0!</v>
      </c>
      <c r="H293" t="e">
        <f>AVERAGEIFS('Region 6'!$W$2:$W$496,'Region 6'!$A$2:$A$496,H$1,'Region 6'!$X$2:$X$496,$D293,'Region 6'!$S$2:$S$496,$A293)</f>
        <v>#DIV/0!</v>
      </c>
      <c r="I293" t="e">
        <f>AVERAGEIFS('Region 6'!$W$2:$W$496,'Region 6'!$A$2:$A$496,I$1,'Region 6'!$X$2:$X$496,$D293,'Region 6'!$S$2:$S$496,$A293)</f>
        <v>#DIV/0!</v>
      </c>
      <c r="J293" t="e">
        <f>AVERAGEIFS('Region 6'!$W$2:$W$496,'Region 6'!$A$2:$A$496,J$1,'Region 6'!$X$2:$X$496,$D293,'Region 6'!$S$2:$S$496,$A293)</f>
        <v>#DIV/0!</v>
      </c>
      <c r="K293" t="e">
        <f>AVERAGEIFS('Region 6'!$W$2:$W$496,'Region 6'!$A$2:$A$496,K$1,'Region 6'!$X$2:$X$496,$D293,'Region 6'!$S$2:$S$496,$A293)</f>
        <v>#DIV/0!</v>
      </c>
      <c r="L293" t="e">
        <f>AVERAGEIFS('Region 6'!$W$2:$W$496,'Region 6'!$A$2:$A$496,L$1,'Region 6'!$X$2:$X$496,$D293,'Region 6'!$S$2:$S$496,$A293)</f>
        <v>#DIV/0!</v>
      </c>
      <c r="M293" t="e">
        <f>AVERAGEIFS('Region 6'!$W$2:$W$496,'Region 6'!$A$2:$A$496,M$1,'Region 6'!$X$2:$X$496,$D293,'Region 6'!$S$2:$S$496,$A293)</f>
        <v>#DIV/0!</v>
      </c>
      <c r="N293" t="e">
        <f>AVERAGEIFS('Region 6'!$W$2:$W$496,'Region 6'!$A$2:$A$496,N$1,'Region 6'!$X$2:$X$496,$D293,'Region 6'!$S$2:$S$496,$A293)</f>
        <v>#DIV/0!</v>
      </c>
      <c r="Q293" t="str">
        <f t="shared" si="229"/>
        <v>Wood</v>
      </c>
      <c r="R293" t="str">
        <f t="shared" si="230"/>
        <v>High-rise</v>
      </c>
      <c r="S293">
        <f t="shared" si="231"/>
        <v>6</v>
      </c>
      <c r="T293" t="str">
        <f t="shared" si="211"/>
        <v>-</v>
      </c>
      <c r="U293" t="str">
        <f t="shared" si="212"/>
        <v>-</v>
      </c>
      <c r="V293" t="str">
        <f t="shared" si="213"/>
        <v>-</v>
      </c>
      <c r="W293" t="str">
        <f t="shared" si="214"/>
        <v>-</v>
      </c>
      <c r="X293" t="str">
        <f t="shared" si="215"/>
        <v>-</v>
      </c>
      <c r="Y293" t="str">
        <f t="shared" si="216"/>
        <v>-</v>
      </c>
      <c r="Z293" t="str">
        <f t="shared" si="217"/>
        <v>-</v>
      </c>
      <c r="AA293" t="str">
        <f t="shared" si="218"/>
        <v>-</v>
      </c>
      <c r="AB293" t="str">
        <f t="shared" si="219"/>
        <v>-</v>
      </c>
      <c r="AC293" t="str">
        <f t="shared" si="220"/>
        <v>-</v>
      </c>
    </row>
    <row r="294" spans="1:29" x14ac:dyDescent="0.3">
      <c r="A294" t="s">
        <v>67</v>
      </c>
      <c r="B294" t="str">
        <f t="shared" ref="B294:D294" si="257">B190</f>
        <v>High-rise</v>
      </c>
      <c r="C294">
        <f t="shared" si="257"/>
        <v>7</v>
      </c>
      <c r="D294">
        <f t="shared" si="257"/>
        <v>4</v>
      </c>
      <c r="E294" t="e">
        <f ca="1">AVERAGEIFS('Region 7'!$W$2:$W$500,'Region 7'!$A$2:$A$500,E$1,'Region 7'!$X$2:$X$500,$D294,'Region 7'!$S$2:$S$500,$A294)</f>
        <v>#DIV/0!</v>
      </c>
      <c r="F294" t="e">
        <f ca="1">AVERAGEIFS('Region 7'!$W$2:$W$500,'Region 7'!$A$2:$A$500,F$1,'Region 7'!$X$2:$X$500,$D294,'Region 7'!$S$2:$S$500,$A294)</f>
        <v>#DIV/0!</v>
      </c>
      <c r="G294" t="e">
        <f ca="1">AVERAGEIFS('Region 7'!$W$2:$W$500,'Region 7'!$A$2:$A$500,G$1,'Region 7'!$X$2:$X$500,$D294,'Region 7'!$S$2:$S$500,$A294)</f>
        <v>#DIV/0!</v>
      </c>
      <c r="H294" t="e">
        <f ca="1">AVERAGEIFS('Region 7'!$W$2:$W$500,'Region 7'!$A$2:$A$500,H$1,'Region 7'!$X$2:$X$500,$D294,'Region 7'!$S$2:$S$500,$A294)</f>
        <v>#DIV/0!</v>
      </c>
      <c r="I294" t="e">
        <f ca="1">AVERAGEIFS('Region 7'!$W$2:$W$500,'Region 7'!$A$2:$A$500,I$1,'Region 7'!$X$2:$X$500,$D294,'Region 7'!$S$2:$S$500,$A294)</f>
        <v>#DIV/0!</v>
      </c>
      <c r="J294" t="e">
        <f ca="1">AVERAGEIFS('Region 7'!$W$2:$W$500,'Region 7'!$A$2:$A$500,J$1,'Region 7'!$X$2:$X$500,$D294,'Region 7'!$S$2:$S$500,$A294)</f>
        <v>#DIV/0!</v>
      </c>
      <c r="K294" t="e">
        <f ca="1">AVERAGEIFS('Region 7'!$W$2:$W$500,'Region 7'!$A$2:$A$500,K$1,'Region 7'!$X$2:$X$500,$D294,'Region 7'!$S$2:$S$500,$A294)</f>
        <v>#DIV/0!</v>
      </c>
      <c r="L294" t="e">
        <f ca="1">AVERAGEIFS('Region 7'!$W$2:$W$500,'Region 7'!$A$2:$A$500,L$1,'Region 7'!$X$2:$X$500,$D294,'Region 7'!$S$2:$S$500,$A294)</f>
        <v>#DIV/0!</v>
      </c>
      <c r="M294" t="e">
        <f ca="1">AVERAGEIFS('Region 7'!$W$2:$W$500,'Region 7'!$A$2:$A$500,M$1,'Region 7'!$X$2:$X$500,$D294,'Region 7'!$S$2:$S$500,$A294)</f>
        <v>#DIV/0!</v>
      </c>
      <c r="N294" t="e">
        <f ca="1">AVERAGEIFS('Region 7'!$W$2:$W$500,'Region 7'!$A$2:$A$500,N$1,'Region 7'!$X$2:$X$500,$D294,'Region 7'!$S$2:$S$500,$A294)</f>
        <v>#DIV/0!</v>
      </c>
      <c r="Q294" t="str">
        <f t="shared" si="229"/>
        <v>Wood</v>
      </c>
      <c r="R294" t="str">
        <f t="shared" si="230"/>
        <v>High-rise</v>
      </c>
      <c r="S294">
        <f t="shared" si="231"/>
        <v>7</v>
      </c>
      <c r="T294" t="str">
        <f t="shared" ca="1" si="211"/>
        <v>-</v>
      </c>
      <c r="U294" t="str">
        <f t="shared" ca="1" si="212"/>
        <v>-</v>
      </c>
      <c r="V294" t="str">
        <f t="shared" ca="1" si="213"/>
        <v>-</v>
      </c>
      <c r="W294" t="str">
        <f t="shared" ca="1" si="214"/>
        <v>-</v>
      </c>
      <c r="X294" t="str">
        <f t="shared" ca="1" si="215"/>
        <v>-</v>
      </c>
      <c r="Y294" t="str">
        <f t="shared" ca="1" si="216"/>
        <v>-</v>
      </c>
      <c r="Z294" t="str">
        <f t="shared" ca="1" si="217"/>
        <v>-</v>
      </c>
      <c r="AA294" t="str">
        <f t="shared" ca="1" si="218"/>
        <v>-</v>
      </c>
      <c r="AB294" t="str">
        <f t="shared" ca="1" si="219"/>
        <v>-</v>
      </c>
      <c r="AC294" t="str">
        <f t="shared" ca="1" si="220"/>
        <v>-</v>
      </c>
    </row>
    <row r="295" spans="1:29" x14ac:dyDescent="0.3">
      <c r="A295" t="s">
        <v>67</v>
      </c>
      <c r="B295" t="str">
        <f t="shared" ref="B295:D295" si="258">B191</f>
        <v>High-rise</v>
      </c>
      <c r="C295">
        <f t="shared" si="258"/>
        <v>8</v>
      </c>
      <c r="D295">
        <f t="shared" si="258"/>
        <v>4</v>
      </c>
      <c r="E295" t="e">
        <f>AVERAGEIFS('Region 8'!$W$2:$W$497,'Region 8'!$A$2:$A$497,E$1,'Region 8'!$X$2:$X$497,$D295,'Region 8'!$S$2:$S$497,$A295)</f>
        <v>#DIV/0!</v>
      </c>
      <c r="F295" t="e">
        <f>AVERAGEIFS('Region 8'!$W$2:$W$497,'Region 8'!$A$2:$A$497,F$1,'Region 8'!$X$2:$X$497,$D295,'Region 8'!$S$2:$S$497,$A295)</f>
        <v>#DIV/0!</v>
      </c>
      <c r="G295" t="e">
        <f>AVERAGEIFS('Region 8'!$W$2:$W$497,'Region 8'!$A$2:$A$497,G$1,'Region 8'!$X$2:$X$497,$D295,'Region 8'!$S$2:$S$497,$A295)</f>
        <v>#DIV/0!</v>
      </c>
      <c r="H295" t="e">
        <f>AVERAGEIFS('Region 8'!$W$2:$W$497,'Region 8'!$A$2:$A$497,H$1,'Region 8'!$X$2:$X$497,$D295,'Region 8'!$S$2:$S$497,$A295)</f>
        <v>#DIV/0!</v>
      </c>
      <c r="I295" t="e">
        <f>AVERAGEIFS('Region 8'!$W$2:$W$497,'Region 8'!$A$2:$A$497,I$1,'Region 8'!$X$2:$X$497,$D295,'Region 8'!$S$2:$S$497,$A295)</f>
        <v>#DIV/0!</v>
      </c>
      <c r="J295" t="e">
        <f>AVERAGEIFS('Region 8'!$W$2:$W$497,'Region 8'!$A$2:$A$497,J$1,'Region 8'!$X$2:$X$497,$D295,'Region 8'!$S$2:$S$497,$A295)</f>
        <v>#DIV/0!</v>
      </c>
      <c r="K295" t="e">
        <f>AVERAGEIFS('Region 8'!$W$2:$W$497,'Region 8'!$A$2:$A$497,K$1,'Region 8'!$X$2:$X$497,$D295,'Region 8'!$S$2:$S$497,$A295)</f>
        <v>#DIV/0!</v>
      </c>
      <c r="L295" t="e">
        <f>AVERAGEIFS('Region 8'!$W$2:$W$497,'Region 8'!$A$2:$A$497,L$1,'Region 8'!$X$2:$X$497,$D295,'Region 8'!$S$2:$S$497,$A295)</f>
        <v>#DIV/0!</v>
      </c>
      <c r="M295" t="e">
        <f>AVERAGEIFS('Region 8'!$W$2:$W$497,'Region 8'!$A$2:$A$497,M$1,'Region 8'!$X$2:$X$497,$D295,'Region 8'!$S$2:$S$497,$A295)</f>
        <v>#DIV/0!</v>
      </c>
      <c r="N295" t="e">
        <f>AVERAGEIFS('Region 8'!$W$2:$W$497,'Region 8'!$A$2:$A$497,N$1,'Region 8'!$X$2:$X$497,$D295,'Region 8'!$S$2:$S$497,$A295)</f>
        <v>#DIV/0!</v>
      </c>
      <c r="Q295" t="str">
        <f t="shared" si="229"/>
        <v>Wood</v>
      </c>
      <c r="R295" t="str">
        <f t="shared" si="230"/>
        <v>High-rise</v>
      </c>
      <c r="S295">
        <f t="shared" si="231"/>
        <v>8</v>
      </c>
      <c r="T295" t="str">
        <f t="shared" si="211"/>
        <v>-</v>
      </c>
      <c r="U295" t="str">
        <f t="shared" si="212"/>
        <v>-</v>
      </c>
      <c r="V295" t="str">
        <f t="shared" si="213"/>
        <v>-</v>
      </c>
      <c r="W295" t="str">
        <f t="shared" si="214"/>
        <v>-</v>
      </c>
      <c r="X295" t="str">
        <f t="shared" si="215"/>
        <v>-</v>
      </c>
      <c r="Y295" t="str">
        <f t="shared" si="216"/>
        <v>-</v>
      </c>
      <c r="Z295" t="str">
        <f t="shared" si="217"/>
        <v>-</v>
      </c>
      <c r="AA295" t="str">
        <f t="shared" si="218"/>
        <v>-</v>
      </c>
      <c r="AB295" t="str">
        <f t="shared" si="219"/>
        <v>-</v>
      </c>
      <c r="AC295" t="str">
        <f t="shared" si="220"/>
        <v>-</v>
      </c>
    </row>
    <row r="296" spans="1:29" x14ac:dyDescent="0.3">
      <c r="A296" t="s">
        <v>67</v>
      </c>
      <c r="B296" t="str">
        <f t="shared" ref="B296:D296" si="259">B192</f>
        <v>High-rise</v>
      </c>
      <c r="C296">
        <f t="shared" si="259"/>
        <v>9</v>
      </c>
      <c r="D296">
        <f t="shared" si="259"/>
        <v>4</v>
      </c>
      <c r="E296" t="e">
        <f ca="1">AVERAGEIFS('Region 9'!$W$2:$W$500,'Region 9'!$A$2:$A$500,E$1,'Region 9'!$X$2:$X$500,$D296,'Region 9'!$S$2:$S$500,$A296)</f>
        <v>#DIV/0!</v>
      </c>
      <c r="F296" t="e">
        <f ca="1">AVERAGEIFS('Region 9'!$W$2:$W$500,'Region 9'!$A$2:$A$500,F$1,'Region 9'!$X$2:$X$500,$D296,'Region 9'!$S$2:$S$500,$A296)</f>
        <v>#DIV/0!</v>
      </c>
      <c r="G296" t="e">
        <f ca="1">AVERAGEIFS('Region 9'!$W$2:$W$500,'Region 9'!$A$2:$A$500,G$1,'Region 9'!$X$2:$X$500,$D296,'Region 9'!$S$2:$S$500,$A296)</f>
        <v>#DIV/0!</v>
      </c>
      <c r="H296" t="e">
        <f ca="1">AVERAGEIFS('Region 9'!$W$2:$W$500,'Region 9'!$A$2:$A$500,H$1,'Region 9'!$X$2:$X$500,$D296,'Region 9'!$S$2:$S$500,$A296)</f>
        <v>#DIV/0!</v>
      </c>
      <c r="I296" t="e">
        <f ca="1">AVERAGEIFS('Region 9'!$W$2:$W$500,'Region 9'!$A$2:$A$500,I$1,'Region 9'!$X$2:$X$500,$D296,'Region 9'!$S$2:$S$500,$A296)</f>
        <v>#DIV/0!</v>
      </c>
      <c r="J296" t="e">
        <f ca="1">AVERAGEIFS('Region 9'!$W$2:$W$500,'Region 9'!$A$2:$A$500,J$1,'Region 9'!$X$2:$X$500,$D296,'Region 9'!$S$2:$S$500,$A296)</f>
        <v>#DIV/0!</v>
      </c>
      <c r="K296" t="e">
        <f ca="1">AVERAGEIFS('Region 9'!$W$2:$W$500,'Region 9'!$A$2:$A$500,K$1,'Region 9'!$X$2:$X$500,$D296,'Region 9'!$S$2:$S$500,$A296)</f>
        <v>#DIV/0!</v>
      </c>
      <c r="L296" t="e">
        <f ca="1">AVERAGEIFS('Region 9'!$W$2:$W$500,'Region 9'!$A$2:$A$500,L$1,'Region 9'!$X$2:$X$500,$D296,'Region 9'!$S$2:$S$500,$A296)</f>
        <v>#DIV/0!</v>
      </c>
      <c r="M296" t="e">
        <f ca="1">AVERAGEIFS('Region 9'!$W$2:$W$500,'Region 9'!$A$2:$A$500,M$1,'Region 9'!$X$2:$X$500,$D296,'Region 9'!$S$2:$S$500,$A296)</f>
        <v>#DIV/0!</v>
      </c>
      <c r="N296" t="e">
        <f ca="1">AVERAGEIFS('Region 9'!$W$2:$W$500,'Region 9'!$A$2:$A$500,N$1,'Region 9'!$X$2:$X$500,$D296,'Region 9'!$S$2:$S$500,$A296)</f>
        <v>#DIV/0!</v>
      </c>
      <c r="Q296" t="str">
        <f t="shared" si="229"/>
        <v>Wood</v>
      </c>
      <c r="R296" t="str">
        <f t="shared" si="230"/>
        <v>High-rise</v>
      </c>
      <c r="S296">
        <f t="shared" si="231"/>
        <v>9</v>
      </c>
      <c r="T296" t="str">
        <f t="shared" ca="1" si="211"/>
        <v>-</v>
      </c>
      <c r="U296" t="str">
        <f t="shared" ca="1" si="212"/>
        <v>-</v>
      </c>
      <c r="V296" t="str">
        <f t="shared" ca="1" si="213"/>
        <v>-</v>
      </c>
      <c r="W296" t="str">
        <f t="shared" ca="1" si="214"/>
        <v>-</v>
      </c>
      <c r="X296" t="str">
        <f t="shared" ca="1" si="215"/>
        <v>-</v>
      </c>
      <c r="Y296" t="str">
        <f t="shared" ca="1" si="216"/>
        <v>-</v>
      </c>
      <c r="Z296" t="str">
        <f t="shared" ca="1" si="217"/>
        <v>-</v>
      </c>
      <c r="AA296" t="str">
        <f t="shared" ca="1" si="218"/>
        <v>-</v>
      </c>
      <c r="AB296" t="str">
        <f t="shared" ca="1" si="219"/>
        <v>-</v>
      </c>
      <c r="AC296" t="str">
        <f t="shared" ca="1" si="220"/>
        <v>-</v>
      </c>
    </row>
    <row r="297" spans="1:29" x14ac:dyDescent="0.3">
      <c r="A297" t="s">
        <v>67</v>
      </c>
      <c r="B297" t="str">
        <f t="shared" ref="B297:D297" si="260">B193</f>
        <v>High-rise</v>
      </c>
      <c r="C297">
        <f t="shared" si="260"/>
        <v>10</v>
      </c>
      <c r="D297">
        <f t="shared" si="260"/>
        <v>4</v>
      </c>
      <c r="E297" t="e">
        <f>AVERAGEIFS('Region 10'!$W$2:$W$500,'Region 10'!$A$2:$A$500,E$1,'Region 10'!$X$2:$X$500,$D297,'Region 10'!$S$2:$S$500,$A297)</f>
        <v>#DIV/0!</v>
      </c>
      <c r="F297" t="e">
        <f>AVERAGEIFS('Region 10'!$W$2:$W$500,'Region 10'!$A$2:$A$500,F$1,'Region 10'!$X$2:$X$500,$D297,'Region 10'!$S$2:$S$500,$A297)</f>
        <v>#DIV/0!</v>
      </c>
      <c r="G297" t="e">
        <f>AVERAGEIFS('Region 10'!$W$2:$W$500,'Region 10'!$A$2:$A$500,G$1,'Region 10'!$X$2:$X$500,$D297,'Region 10'!$S$2:$S$500,$A297)</f>
        <v>#DIV/0!</v>
      </c>
      <c r="H297" t="e">
        <f>AVERAGEIFS('Region 10'!$W$2:$W$500,'Region 10'!$A$2:$A$500,H$1,'Region 10'!$X$2:$X$500,$D297,'Region 10'!$S$2:$S$500,$A297)</f>
        <v>#DIV/0!</v>
      </c>
      <c r="I297" t="e">
        <f>AVERAGEIFS('Region 10'!$W$2:$W$500,'Region 10'!$A$2:$A$500,I$1,'Region 10'!$X$2:$X$500,$D297,'Region 10'!$S$2:$S$500,$A297)</f>
        <v>#DIV/0!</v>
      </c>
      <c r="J297" t="e">
        <f>AVERAGEIFS('Region 10'!$W$2:$W$500,'Region 10'!$A$2:$A$500,J$1,'Region 10'!$X$2:$X$500,$D297,'Region 10'!$S$2:$S$500,$A297)</f>
        <v>#DIV/0!</v>
      </c>
      <c r="K297" t="e">
        <f>AVERAGEIFS('Region 10'!$W$2:$W$500,'Region 10'!$A$2:$A$500,K$1,'Region 10'!$X$2:$X$500,$D297,'Region 10'!$S$2:$S$500,$A297)</f>
        <v>#DIV/0!</v>
      </c>
      <c r="L297" t="e">
        <f>AVERAGEIFS('Region 10'!$W$2:$W$500,'Region 10'!$A$2:$A$500,L$1,'Region 10'!$X$2:$X$500,$D297,'Region 10'!$S$2:$S$500,$A297)</f>
        <v>#DIV/0!</v>
      </c>
      <c r="M297" t="e">
        <f>AVERAGEIFS('Region 10'!$W$2:$W$500,'Region 10'!$A$2:$A$500,M$1,'Region 10'!$X$2:$X$500,$D297,'Region 10'!$S$2:$S$500,$A297)</f>
        <v>#DIV/0!</v>
      </c>
      <c r="N297" t="e">
        <f>AVERAGEIFS('Region 10'!$W$2:$W$500,'Region 10'!$A$2:$A$500,N$1,'Region 10'!$X$2:$X$500,$D297,'Region 10'!$S$2:$S$500,$A297)</f>
        <v>#DIV/0!</v>
      </c>
      <c r="Q297" t="str">
        <f t="shared" si="229"/>
        <v>Wood</v>
      </c>
      <c r="R297" t="str">
        <f t="shared" si="230"/>
        <v>High-rise</v>
      </c>
      <c r="S297">
        <f t="shared" si="231"/>
        <v>10</v>
      </c>
      <c r="T297" t="str">
        <f t="shared" si="211"/>
        <v>-</v>
      </c>
      <c r="U297" t="str">
        <f t="shared" si="212"/>
        <v>-</v>
      </c>
      <c r="V297" t="str">
        <f t="shared" si="213"/>
        <v>-</v>
      </c>
      <c r="W297" t="str">
        <f t="shared" si="214"/>
        <v>-</v>
      </c>
      <c r="X297" t="str">
        <f t="shared" si="215"/>
        <v>-</v>
      </c>
      <c r="Y297" t="str">
        <f t="shared" si="216"/>
        <v>-</v>
      </c>
      <c r="Z297" t="str">
        <f t="shared" si="217"/>
        <v>-</v>
      </c>
      <c r="AA297" t="str">
        <f t="shared" si="218"/>
        <v>-</v>
      </c>
      <c r="AB297" t="str">
        <f t="shared" si="219"/>
        <v>-</v>
      </c>
      <c r="AC297" t="str">
        <f t="shared" si="220"/>
        <v>-</v>
      </c>
    </row>
    <row r="298" spans="1:29" x14ac:dyDescent="0.3">
      <c r="A298" t="s">
        <v>67</v>
      </c>
      <c r="B298" t="str">
        <f t="shared" ref="B298:D298" si="261">B194</f>
        <v>High-rise</v>
      </c>
      <c r="C298">
        <f t="shared" si="261"/>
        <v>11</v>
      </c>
      <c r="D298">
        <f t="shared" si="261"/>
        <v>4</v>
      </c>
      <c r="E298">
        <f>AVERAGEIFS('Region 11'!$W$2:$W$391,'Region 11'!$A$2:$A$391,E$1,'Region 11'!$X$2:$X$391,$D298,'Region 11'!$S$2:$S$391,$A298)</f>
        <v>2.8426437537002425</v>
      </c>
      <c r="F298" t="e">
        <f>AVERAGEIFS('Region 11'!$W$2:$W$391,'Region 11'!$A$2:$A$391,F$1,'Region 11'!$X$2:$X$391,$D298,'Region 11'!$S$2:$S$391,$A298)</f>
        <v>#DIV/0!</v>
      </c>
      <c r="G298">
        <f>AVERAGEIFS('Region 11'!$W$2:$W$391,'Region 11'!$A$2:$A$391,G$1,'Region 11'!$X$2:$X$391,$D298,'Region 11'!$S$2:$S$391,$A298)</f>
        <v>10.943750000000001</v>
      </c>
      <c r="H298" t="e">
        <f>AVERAGEIFS('Region 11'!$W$2:$W$391,'Region 11'!$A$2:$A$391,H$1,'Region 11'!$X$2:$X$391,$D298,'Region 11'!$S$2:$S$391,$A298)</f>
        <v>#DIV/0!</v>
      </c>
      <c r="I298" t="e">
        <f>AVERAGEIFS('Region 11'!$W$2:$W$391,'Region 11'!$A$2:$A$391,I$1,'Region 11'!$X$2:$X$391,$D298,'Region 11'!$S$2:$S$391,$A298)</f>
        <v>#DIV/0!</v>
      </c>
      <c r="J298" t="e">
        <f>AVERAGEIFS('Region 11'!$W$2:$W$391,'Region 11'!$A$2:$A$391,J$1,'Region 11'!$X$2:$X$391,$D298,'Region 11'!$S$2:$S$391,$A298)</f>
        <v>#DIV/0!</v>
      </c>
      <c r="K298">
        <f>AVERAGEIFS('Region 11'!$W$2:$W$391,'Region 11'!$A$2:$A$391,K$1,'Region 11'!$X$2:$X$391,$D298,'Region 11'!$S$2:$S$391,$A298)</f>
        <v>19.488888888888891</v>
      </c>
      <c r="L298">
        <f>AVERAGEIFS('Region 11'!$W$2:$W$391,'Region 11'!$A$2:$A$391,L$1,'Region 11'!$X$2:$X$391,$D298,'Region 11'!$S$2:$S$391,$A298)</f>
        <v>127.33333333333333</v>
      </c>
      <c r="M298" t="e">
        <f>AVERAGEIFS('Region 11'!$W$2:$W$391,'Region 11'!$A$2:$A$391,M$1,'Region 11'!$X$2:$X$391,$D298,'Region 11'!$S$2:$S$391,$A298)</f>
        <v>#DIV/0!</v>
      </c>
      <c r="N298" t="e">
        <f>AVERAGEIFS('Region 11'!$W$2:$W$391,'Region 11'!$A$2:$A$391,N$1,'Region 11'!$X$2:$X$391,$D298,'Region 11'!$S$2:$S$391,$A298)</f>
        <v>#DIV/0!</v>
      </c>
      <c r="Q298" t="str">
        <f t="shared" si="229"/>
        <v>Wood</v>
      </c>
      <c r="R298" t="str">
        <f t="shared" si="230"/>
        <v>High-rise</v>
      </c>
      <c r="S298">
        <f t="shared" si="231"/>
        <v>11</v>
      </c>
      <c r="T298">
        <f t="shared" si="211"/>
        <v>2.8426437537002425</v>
      </c>
      <c r="U298" t="str">
        <f t="shared" si="212"/>
        <v>-</v>
      </c>
      <c r="V298">
        <f t="shared" si="213"/>
        <v>10.943750000000001</v>
      </c>
      <c r="W298" t="str">
        <f t="shared" si="214"/>
        <v>-</v>
      </c>
      <c r="X298" t="str">
        <f t="shared" si="215"/>
        <v>-</v>
      </c>
      <c r="Y298" t="str">
        <f t="shared" si="216"/>
        <v>-</v>
      </c>
      <c r="Z298">
        <f t="shared" si="217"/>
        <v>19.488888888888891</v>
      </c>
      <c r="AA298">
        <f t="shared" si="218"/>
        <v>127.33333333333333</v>
      </c>
      <c r="AB298" t="str">
        <f t="shared" si="219"/>
        <v>-</v>
      </c>
      <c r="AC298" t="str">
        <f t="shared" si="220"/>
        <v>-</v>
      </c>
    </row>
    <row r="299" spans="1:29" x14ac:dyDescent="0.3">
      <c r="A299" t="s">
        <v>67</v>
      </c>
      <c r="B299" t="str">
        <f t="shared" ref="B299:D299" si="262">B195</f>
        <v>High-rise</v>
      </c>
      <c r="C299">
        <f t="shared" si="262"/>
        <v>12</v>
      </c>
      <c r="D299">
        <f t="shared" si="262"/>
        <v>4</v>
      </c>
      <c r="E299" t="e">
        <f>AVERAGEIFS('Region 12'!$W$2:$W$459,'Region 12'!$A$2:$A$459,E$1,'Region 12'!$X$2:$X$459,$D299,'Region 12'!$S$2:$S$459,$A299)</f>
        <v>#DIV/0!</v>
      </c>
      <c r="F299">
        <f>AVERAGEIFS('Region 12'!$W$2:$W$459,'Region 12'!$A$2:$A$459,F$1,'Region 12'!$X$2:$X$459,$D299,'Region 12'!$S$2:$S$459,$A299)</f>
        <v>2.5379298417204401</v>
      </c>
      <c r="G299" t="e">
        <f>AVERAGEIFS('Region 12'!$W$2:$W$459,'Region 12'!$A$2:$A$459,G$1,'Region 12'!$X$2:$X$459,$D299,'Region 12'!$S$2:$S$459,$A299)</f>
        <v>#DIV/0!</v>
      </c>
      <c r="H299" t="e">
        <f>AVERAGEIFS('Region 12'!$W$2:$W$459,'Region 12'!$A$2:$A$459,H$1,'Region 12'!$X$2:$X$459,$D299,'Region 12'!$S$2:$S$459,$A299)</f>
        <v>#DIV/0!</v>
      </c>
      <c r="I299" t="e">
        <f>AVERAGEIFS('Region 12'!$W$2:$W$459,'Region 12'!$A$2:$A$459,I$1,'Region 12'!$X$2:$X$459,$D299,'Region 12'!$S$2:$S$459,$A299)</f>
        <v>#DIV/0!</v>
      </c>
      <c r="J299" t="e">
        <f>AVERAGEIFS('Region 12'!$W$2:$W$459,'Region 12'!$A$2:$A$459,J$1,'Region 12'!$X$2:$X$459,$D299,'Region 12'!$S$2:$S$459,$A299)</f>
        <v>#DIV/0!</v>
      </c>
      <c r="K299" t="e">
        <f>AVERAGEIFS('Region 12'!$W$2:$W$459,'Region 12'!$A$2:$A$459,K$1,'Region 12'!$X$2:$X$459,$D299,'Region 12'!$S$2:$S$459,$A299)</f>
        <v>#DIV/0!</v>
      </c>
      <c r="L299" t="e">
        <f>AVERAGEIFS('Region 12'!$W$2:$W$459,'Region 12'!$A$2:$A$459,L$1,'Region 12'!$X$2:$X$459,$D299,'Region 12'!$S$2:$S$459,$A299)</f>
        <v>#DIV/0!</v>
      </c>
      <c r="M299" t="e">
        <f>AVERAGEIFS('Region 12'!$W$2:$W$459,'Region 12'!$A$2:$A$459,M$1,'Region 12'!$X$2:$X$459,$D299,'Region 12'!$S$2:$S$459,$A299)</f>
        <v>#DIV/0!</v>
      </c>
      <c r="N299" t="e">
        <f>AVERAGEIFS('Region 12'!$W$2:$W$459,'Region 12'!$A$2:$A$459,N$1,'Region 12'!$X$2:$X$459,$D299,'Region 12'!$S$2:$S$459,$A299)</f>
        <v>#DIV/0!</v>
      </c>
      <c r="Q299" t="str">
        <f t="shared" si="229"/>
        <v>Wood</v>
      </c>
      <c r="R299" t="str">
        <f t="shared" si="230"/>
        <v>High-rise</v>
      </c>
      <c r="S299">
        <f t="shared" si="231"/>
        <v>12</v>
      </c>
      <c r="T299" t="str">
        <f t="shared" si="211"/>
        <v>-</v>
      </c>
      <c r="U299">
        <f t="shared" si="212"/>
        <v>2.5379298417204401</v>
      </c>
      <c r="V299" t="str">
        <f t="shared" si="213"/>
        <v>-</v>
      </c>
      <c r="W299" t="str">
        <f t="shared" si="214"/>
        <v>-</v>
      </c>
      <c r="X299" t="str">
        <f t="shared" si="215"/>
        <v>-</v>
      </c>
      <c r="Y299" t="str">
        <f t="shared" si="216"/>
        <v>-</v>
      </c>
      <c r="Z299" t="str">
        <f t="shared" si="217"/>
        <v>-</v>
      </c>
      <c r="AA299" t="str">
        <f t="shared" si="218"/>
        <v>-</v>
      </c>
      <c r="AB299" t="str">
        <f t="shared" si="219"/>
        <v>-</v>
      </c>
      <c r="AC299" t="str">
        <f t="shared" si="220"/>
        <v>-</v>
      </c>
    </row>
    <row r="300" spans="1:29" x14ac:dyDescent="0.3">
      <c r="A300" t="s">
        <v>67</v>
      </c>
      <c r="B300" t="str">
        <f t="shared" ref="B300:D300" si="263">B196</f>
        <v>High-rise</v>
      </c>
      <c r="C300">
        <f t="shared" si="263"/>
        <v>13</v>
      </c>
      <c r="D300">
        <f t="shared" si="263"/>
        <v>4</v>
      </c>
      <c r="E300">
        <f>AVERAGEIFS('Region 13'!$W$2:$W$500,'Region 13'!$A$2:$A$500,E$1,'Region 13'!$X$2:$X$500,$D300,'Region 13'!$S$2:$S$500,$A300)</f>
        <v>8.0792307692307688</v>
      </c>
      <c r="F300" t="e">
        <f>AVERAGEIFS('Region 13'!$W$2:$W$500,'Region 13'!$A$2:$A$500,F$1,'Region 13'!$X$2:$X$500,$D300,'Region 13'!$S$2:$S$500,$A300)</f>
        <v>#DIV/0!</v>
      </c>
      <c r="G300" t="e">
        <f>AVERAGEIFS('Region 13'!$W$2:$W$500,'Region 13'!$A$2:$A$500,G$1,'Region 13'!$X$2:$X$500,$D300,'Region 13'!$S$2:$S$500,$A300)</f>
        <v>#DIV/0!</v>
      </c>
      <c r="H300" t="e">
        <f>AVERAGEIFS('Region 13'!$W$2:$W$500,'Region 13'!$A$2:$A$500,H$1,'Region 13'!$X$2:$X$500,$D300,'Region 13'!$S$2:$S$500,$A300)</f>
        <v>#DIV/0!</v>
      </c>
      <c r="I300" t="e">
        <f>AVERAGEIFS('Region 13'!$W$2:$W$500,'Region 13'!$A$2:$A$500,I$1,'Region 13'!$X$2:$X$500,$D300,'Region 13'!$S$2:$S$500,$A300)</f>
        <v>#DIV/0!</v>
      </c>
      <c r="J300" t="e">
        <f>AVERAGEIFS('Region 13'!$W$2:$W$500,'Region 13'!$A$2:$A$500,J$1,'Region 13'!$X$2:$X$500,$D300,'Region 13'!$S$2:$S$500,$A300)</f>
        <v>#DIV/0!</v>
      </c>
      <c r="K300" t="e">
        <f>AVERAGEIFS('Region 13'!$W$2:$W$500,'Region 13'!$A$2:$A$500,K$1,'Region 13'!$X$2:$X$500,$D300,'Region 13'!$S$2:$S$500,$A300)</f>
        <v>#DIV/0!</v>
      </c>
      <c r="L300" t="e">
        <f>AVERAGEIFS('Region 13'!$W$2:$W$500,'Region 13'!$A$2:$A$500,L$1,'Region 13'!$X$2:$X$500,$D300,'Region 13'!$S$2:$S$500,$A300)</f>
        <v>#DIV/0!</v>
      </c>
      <c r="M300" t="e">
        <f>AVERAGEIFS('Region 13'!$W$2:$W$500,'Region 13'!$A$2:$A$500,M$1,'Region 13'!$X$2:$X$500,$D300,'Region 13'!$S$2:$S$500,$A300)</f>
        <v>#DIV/0!</v>
      </c>
      <c r="N300" t="e">
        <f>AVERAGEIFS('Region 13'!$W$2:$W$500,'Region 13'!$A$2:$A$500,N$1,'Region 13'!$X$2:$X$500,$D300,'Region 13'!$S$2:$S$500,$A300)</f>
        <v>#DIV/0!</v>
      </c>
      <c r="Q300" t="str">
        <f t="shared" si="229"/>
        <v>Wood</v>
      </c>
      <c r="R300" t="str">
        <f t="shared" si="230"/>
        <v>High-rise</v>
      </c>
      <c r="S300">
        <f t="shared" si="231"/>
        <v>13</v>
      </c>
      <c r="T300">
        <f t="shared" si="211"/>
        <v>8.0792307692307688</v>
      </c>
      <c r="U300" t="str">
        <f t="shared" si="212"/>
        <v>-</v>
      </c>
      <c r="V300" t="str">
        <f t="shared" si="213"/>
        <v>-</v>
      </c>
      <c r="W300" t="str">
        <f t="shared" si="214"/>
        <v>-</v>
      </c>
      <c r="X300" t="str">
        <f t="shared" si="215"/>
        <v>-</v>
      </c>
      <c r="Y300" t="str">
        <f t="shared" si="216"/>
        <v>-</v>
      </c>
      <c r="Z300" t="str">
        <f t="shared" si="217"/>
        <v>-</v>
      </c>
      <c r="AA300" t="str">
        <f t="shared" si="218"/>
        <v>-</v>
      </c>
      <c r="AB300" t="str">
        <f t="shared" si="219"/>
        <v>-</v>
      </c>
      <c r="AC300" t="str">
        <f t="shared" si="220"/>
        <v>-</v>
      </c>
    </row>
    <row r="301" spans="1:29" x14ac:dyDescent="0.3">
      <c r="A301" t="s">
        <v>67</v>
      </c>
      <c r="B301" t="str">
        <f t="shared" ref="B301:D301" si="264">B197</f>
        <v>High-rise</v>
      </c>
      <c r="C301">
        <f t="shared" si="264"/>
        <v>14</v>
      </c>
      <c r="D301">
        <f t="shared" si="264"/>
        <v>4</v>
      </c>
      <c r="E301" t="e">
        <f ca="1">AVERAGEIFS('Region 14'!$W$2:$W$500,'Region 14'!$A$2:$A$500,E$1,'Region 14'!$X$2:$X$500,$D301,'Region 14'!$S$2:$S$500,$A301)</f>
        <v>#DIV/0!</v>
      </c>
      <c r="F301" t="e">
        <f ca="1">AVERAGEIFS('Region 14'!$W$2:$W$500,'Region 14'!$A$2:$A$500,F$1,'Region 14'!$X$2:$X$500,$D301,'Region 14'!$S$2:$S$500,$A301)</f>
        <v>#DIV/0!</v>
      </c>
      <c r="G301" t="e">
        <f ca="1">AVERAGEIFS('Region 14'!$W$2:$W$500,'Region 14'!$A$2:$A$500,G$1,'Region 14'!$X$2:$X$500,$D301,'Region 14'!$S$2:$S$500,$A301)</f>
        <v>#DIV/0!</v>
      </c>
      <c r="H301" t="e">
        <f ca="1">AVERAGEIFS('Region 14'!$W$2:$W$500,'Region 14'!$A$2:$A$500,H$1,'Region 14'!$X$2:$X$500,$D301,'Region 14'!$S$2:$S$500,$A301)</f>
        <v>#DIV/0!</v>
      </c>
      <c r="I301" t="e">
        <f ca="1">AVERAGEIFS('Region 14'!$W$2:$W$500,'Region 14'!$A$2:$A$500,I$1,'Region 14'!$X$2:$X$500,$D301,'Region 14'!$S$2:$S$500,$A301)</f>
        <v>#DIV/0!</v>
      </c>
      <c r="J301" t="e">
        <f ca="1">AVERAGEIFS('Region 14'!$W$2:$W$500,'Region 14'!$A$2:$A$500,J$1,'Region 14'!$X$2:$X$500,$D301,'Region 14'!$S$2:$S$500,$A301)</f>
        <v>#DIV/0!</v>
      </c>
      <c r="K301" t="e">
        <f ca="1">AVERAGEIFS('Region 14'!$W$2:$W$500,'Region 14'!$A$2:$A$500,K$1,'Region 14'!$X$2:$X$500,$D301,'Region 14'!$S$2:$S$500,$A301)</f>
        <v>#DIV/0!</v>
      </c>
      <c r="L301" t="e">
        <f ca="1">AVERAGEIFS('Region 14'!$W$2:$W$500,'Region 14'!$A$2:$A$500,L$1,'Region 14'!$X$2:$X$500,$D301,'Region 14'!$S$2:$S$500,$A301)</f>
        <v>#DIV/0!</v>
      </c>
      <c r="M301" t="e">
        <f ca="1">AVERAGEIFS('Region 14'!$W$2:$W$500,'Region 14'!$A$2:$A$500,M$1,'Region 14'!$X$2:$X$500,$D301,'Region 14'!$S$2:$S$500,$A301)</f>
        <v>#DIV/0!</v>
      </c>
      <c r="N301" t="e">
        <f ca="1">AVERAGEIFS('Region 14'!$W$2:$W$500,'Region 14'!$A$2:$A$500,N$1,'Region 14'!$X$2:$X$500,$D301,'Region 14'!$S$2:$S$500,$A301)</f>
        <v>#DIV/0!</v>
      </c>
      <c r="Q301" t="str">
        <f t="shared" si="229"/>
        <v>Wood</v>
      </c>
      <c r="R301" t="str">
        <f t="shared" si="230"/>
        <v>High-rise</v>
      </c>
      <c r="S301">
        <f t="shared" si="231"/>
        <v>14</v>
      </c>
      <c r="T301" t="str">
        <f t="shared" ca="1" si="211"/>
        <v>-</v>
      </c>
      <c r="U301" t="str">
        <f t="shared" ca="1" si="212"/>
        <v>-</v>
      </c>
      <c r="V301" t="str">
        <f t="shared" ca="1" si="213"/>
        <v>-</v>
      </c>
      <c r="W301" t="str">
        <f t="shared" ca="1" si="214"/>
        <v>-</v>
      </c>
      <c r="X301" t="str">
        <f t="shared" ca="1" si="215"/>
        <v>-</v>
      </c>
      <c r="Y301" t="str">
        <f t="shared" ca="1" si="216"/>
        <v>-</v>
      </c>
      <c r="Z301" t="str">
        <f t="shared" ca="1" si="217"/>
        <v>-</v>
      </c>
      <c r="AA301" t="str">
        <f t="shared" ca="1" si="218"/>
        <v>-</v>
      </c>
      <c r="AB301" t="str">
        <f t="shared" ca="1" si="219"/>
        <v>-</v>
      </c>
      <c r="AC301" t="str">
        <f t="shared" ca="1" si="220"/>
        <v>-</v>
      </c>
    </row>
    <row r="302" spans="1:29" x14ac:dyDescent="0.3">
      <c r="A302" t="s">
        <v>67</v>
      </c>
      <c r="B302" t="str">
        <f t="shared" ref="B302:D302" si="265">B198</f>
        <v>High-rise</v>
      </c>
      <c r="C302">
        <f t="shared" si="265"/>
        <v>15</v>
      </c>
      <c r="D302">
        <f t="shared" si="265"/>
        <v>4</v>
      </c>
      <c r="E302" t="e">
        <f ca="1">AVERAGEIFS('Region 15'!$W$2:$W$500,'Region 15'!$A$2:$A$500,E$1,'Region 15'!$X$2:$X$500,$D302,'Region 15'!$S$2:$S$500,$A302)</f>
        <v>#DIV/0!</v>
      </c>
      <c r="F302" t="e">
        <f ca="1">AVERAGEIFS('Region 15'!$W$2:$W$500,'Region 15'!$A$2:$A$500,F$1,'Region 15'!$X$2:$X$500,$D302,'Region 15'!$S$2:$S$500,$A302)</f>
        <v>#DIV/0!</v>
      </c>
      <c r="G302" t="e">
        <f ca="1">AVERAGEIFS('Region 15'!$W$2:$W$500,'Region 15'!$A$2:$A$500,G$1,'Region 15'!$X$2:$X$500,$D302,'Region 15'!$S$2:$S$500,$A302)</f>
        <v>#DIV/0!</v>
      </c>
      <c r="H302" t="e">
        <f ca="1">AVERAGEIFS('Region 15'!$W$2:$W$500,'Region 15'!$A$2:$A$500,H$1,'Region 15'!$X$2:$X$500,$D302,'Region 15'!$S$2:$S$500,$A302)</f>
        <v>#DIV/0!</v>
      </c>
      <c r="I302" t="e">
        <f ca="1">AVERAGEIFS('Region 15'!$W$2:$W$500,'Region 15'!$A$2:$A$500,I$1,'Region 15'!$X$2:$X$500,$D302,'Region 15'!$S$2:$S$500,$A302)</f>
        <v>#DIV/0!</v>
      </c>
      <c r="J302" t="e">
        <f ca="1">AVERAGEIFS('Region 15'!$W$2:$W$500,'Region 15'!$A$2:$A$500,J$1,'Region 15'!$X$2:$X$500,$D302,'Region 15'!$S$2:$S$500,$A302)</f>
        <v>#DIV/0!</v>
      </c>
      <c r="K302" t="e">
        <f ca="1">AVERAGEIFS('Region 15'!$W$2:$W$500,'Region 15'!$A$2:$A$500,K$1,'Region 15'!$X$2:$X$500,$D302,'Region 15'!$S$2:$S$500,$A302)</f>
        <v>#DIV/0!</v>
      </c>
      <c r="L302" t="e">
        <f ca="1">AVERAGEIFS('Region 15'!$W$2:$W$500,'Region 15'!$A$2:$A$500,L$1,'Region 15'!$X$2:$X$500,$D302,'Region 15'!$S$2:$S$500,$A302)</f>
        <v>#DIV/0!</v>
      </c>
      <c r="M302" t="e">
        <f ca="1">AVERAGEIFS('Region 15'!$W$2:$W$500,'Region 15'!$A$2:$A$500,M$1,'Region 15'!$X$2:$X$500,$D302,'Region 15'!$S$2:$S$500,$A302)</f>
        <v>#DIV/0!</v>
      </c>
      <c r="N302" t="e">
        <f ca="1">AVERAGEIFS('Region 15'!$W$2:$W$500,'Region 15'!$A$2:$A$500,N$1,'Region 15'!$X$2:$X$500,$D302,'Region 15'!$S$2:$S$500,$A302)</f>
        <v>#DIV/0!</v>
      </c>
      <c r="Q302" t="str">
        <f t="shared" si="229"/>
        <v>Wood</v>
      </c>
      <c r="R302" t="str">
        <f t="shared" si="230"/>
        <v>High-rise</v>
      </c>
      <c r="S302">
        <f t="shared" si="231"/>
        <v>15</v>
      </c>
      <c r="T302" t="str">
        <f t="shared" ca="1" si="211"/>
        <v>-</v>
      </c>
      <c r="U302" t="str">
        <f t="shared" ca="1" si="212"/>
        <v>-</v>
      </c>
      <c r="V302" t="str">
        <f t="shared" ca="1" si="213"/>
        <v>-</v>
      </c>
      <c r="W302" t="str">
        <f t="shared" ca="1" si="214"/>
        <v>-</v>
      </c>
      <c r="X302" t="str">
        <f t="shared" ca="1" si="215"/>
        <v>-</v>
      </c>
      <c r="Y302" t="str">
        <f t="shared" ca="1" si="216"/>
        <v>-</v>
      </c>
      <c r="Z302" t="str">
        <f t="shared" ca="1" si="217"/>
        <v>-</v>
      </c>
      <c r="AA302" t="str">
        <f t="shared" ca="1" si="218"/>
        <v>-</v>
      </c>
      <c r="AB302" t="str">
        <f t="shared" ca="1" si="219"/>
        <v>-</v>
      </c>
      <c r="AC302" t="str">
        <f t="shared" ca="1" si="220"/>
        <v>-</v>
      </c>
    </row>
    <row r="303" spans="1:29" x14ac:dyDescent="0.3">
      <c r="A303" t="s">
        <v>67</v>
      </c>
      <c r="B303" t="str">
        <f t="shared" ref="B303:D303" si="266">B199</f>
        <v>High-rise</v>
      </c>
      <c r="C303">
        <f t="shared" si="266"/>
        <v>16</v>
      </c>
      <c r="D303">
        <f t="shared" si="266"/>
        <v>4</v>
      </c>
      <c r="E303" t="e">
        <f ca="1">AVERAGEIFS('Region 16'!$W$2:$W$500,'Region 16'!$A$2:$A$500,E$1,'Region 16'!$X$2:$X$500,$D303,'Region 16'!$S$2:$S$500,$A303)</f>
        <v>#DIV/0!</v>
      </c>
      <c r="F303" t="e">
        <f ca="1">AVERAGEIFS('Region 16'!$W$2:$W$500,'Region 16'!$A$2:$A$500,F$1,'Region 16'!$X$2:$X$500,$D303,'Region 16'!$S$2:$S$500,$A303)</f>
        <v>#DIV/0!</v>
      </c>
      <c r="G303" t="e">
        <f ca="1">AVERAGEIFS('Region 16'!$W$2:$W$500,'Region 16'!$A$2:$A$500,G$1,'Region 16'!$X$2:$X$500,$D303,'Region 16'!$S$2:$S$500,$A303)</f>
        <v>#DIV/0!</v>
      </c>
      <c r="H303" t="e">
        <f ca="1">AVERAGEIFS('Region 16'!$W$2:$W$500,'Region 16'!$A$2:$A$500,H$1,'Region 16'!$X$2:$X$500,$D303,'Region 16'!$S$2:$S$500,$A303)</f>
        <v>#DIV/0!</v>
      </c>
      <c r="I303" t="e">
        <f ca="1">AVERAGEIFS('Region 16'!$W$2:$W$500,'Region 16'!$A$2:$A$500,I$1,'Region 16'!$X$2:$X$500,$D303,'Region 16'!$S$2:$S$500,$A303)</f>
        <v>#DIV/0!</v>
      </c>
      <c r="J303" t="e">
        <f ca="1">AVERAGEIFS('Region 16'!$W$2:$W$500,'Region 16'!$A$2:$A$500,J$1,'Region 16'!$X$2:$X$500,$D303,'Region 16'!$S$2:$S$500,$A303)</f>
        <v>#DIV/0!</v>
      </c>
      <c r="K303" t="e">
        <f ca="1">AVERAGEIFS('Region 16'!$W$2:$W$500,'Region 16'!$A$2:$A$500,K$1,'Region 16'!$X$2:$X$500,$D303,'Region 16'!$S$2:$S$500,$A303)</f>
        <v>#DIV/0!</v>
      </c>
      <c r="L303" t="e">
        <f ca="1">AVERAGEIFS('Region 16'!$W$2:$W$500,'Region 16'!$A$2:$A$500,L$1,'Region 16'!$X$2:$X$500,$D303,'Region 16'!$S$2:$S$500,$A303)</f>
        <v>#DIV/0!</v>
      </c>
      <c r="M303" t="e">
        <f ca="1">AVERAGEIFS('Region 16'!$W$2:$W$500,'Region 16'!$A$2:$A$500,M$1,'Region 16'!$X$2:$X$500,$D303,'Region 16'!$S$2:$S$500,$A303)</f>
        <v>#DIV/0!</v>
      </c>
      <c r="N303" t="e">
        <f ca="1">AVERAGEIFS('Region 16'!$W$2:$W$500,'Region 16'!$A$2:$A$500,N$1,'Region 16'!$X$2:$X$500,$D303,'Region 16'!$S$2:$S$500,$A303)</f>
        <v>#DIV/0!</v>
      </c>
      <c r="Q303" t="str">
        <f t="shared" si="229"/>
        <v>Wood</v>
      </c>
      <c r="R303" t="str">
        <f t="shared" si="230"/>
        <v>High-rise</v>
      </c>
      <c r="S303">
        <f t="shared" si="231"/>
        <v>16</v>
      </c>
      <c r="T303" t="str">
        <f t="shared" ca="1" si="211"/>
        <v>-</v>
      </c>
      <c r="U303" t="str">
        <f t="shared" ca="1" si="212"/>
        <v>-</v>
      </c>
      <c r="V303" t="str">
        <f t="shared" ca="1" si="213"/>
        <v>-</v>
      </c>
      <c r="W303" t="str">
        <f t="shared" ca="1" si="214"/>
        <v>-</v>
      </c>
      <c r="X303" t="str">
        <f t="shared" ca="1" si="215"/>
        <v>-</v>
      </c>
      <c r="Y303" t="str">
        <f t="shared" ca="1" si="216"/>
        <v>-</v>
      </c>
      <c r="Z303" t="str">
        <f t="shared" ca="1" si="217"/>
        <v>-</v>
      </c>
      <c r="AA303" t="str">
        <f t="shared" ca="1" si="218"/>
        <v>-</v>
      </c>
      <c r="AB303" t="str">
        <f t="shared" ca="1" si="219"/>
        <v>-</v>
      </c>
      <c r="AC303" t="str">
        <f t="shared" ca="1" si="220"/>
        <v>-</v>
      </c>
    </row>
    <row r="304" spans="1:29" x14ac:dyDescent="0.3">
      <c r="A304" t="s">
        <v>67</v>
      </c>
      <c r="B304" t="str">
        <f t="shared" ref="B304:D304" si="267">B200</f>
        <v>High-rise</v>
      </c>
      <c r="C304">
        <f t="shared" si="267"/>
        <v>17</v>
      </c>
      <c r="D304">
        <f t="shared" si="267"/>
        <v>4</v>
      </c>
      <c r="E304" t="e">
        <f>AVERAGEIFS('Region 17'!$W$2:$W$498,'Region 17'!$A$2:$A$498,E$1,'Region 17'!$X$2:$X$498,$D304,'Region 17'!$S$2:$S$498,$A304)</f>
        <v>#DIV/0!</v>
      </c>
      <c r="F304" t="e">
        <f>AVERAGEIFS('Region 17'!$W$2:$W$498,'Region 17'!$A$2:$A$498,F$1,'Region 17'!$X$2:$X$498,$D304,'Region 17'!$S$2:$S$498,$A304)</f>
        <v>#DIV/0!</v>
      </c>
      <c r="G304" t="e">
        <f>AVERAGEIFS('Region 17'!$W$2:$W$498,'Region 17'!$A$2:$A$498,G$1,'Region 17'!$X$2:$X$498,$D304,'Region 17'!$S$2:$S$498,$A304)</f>
        <v>#DIV/0!</v>
      </c>
      <c r="H304" t="e">
        <f>AVERAGEIFS('Region 17'!$W$2:$W$498,'Region 17'!$A$2:$A$498,H$1,'Region 17'!$X$2:$X$498,$D304,'Region 17'!$S$2:$S$498,$A304)</f>
        <v>#DIV/0!</v>
      </c>
      <c r="I304" t="e">
        <f>AVERAGEIFS('Region 17'!$W$2:$W$498,'Region 17'!$A$2:$A$498,I$1,'Region 17'!$X$2:$X$498,$D304,'Region 17'!$S$2:$S$498,$A304)</f>
        <v>#DIV/0!</v>
      </c>
      <c r="J304" t="e">
        <f>AVERAGEIFS('Region 17'!$W$2:$W$498,'Region 17'!$A$2:$A$498,J$1,'Region 17'!$X$2:$X$498,$D304,'Region 17'!$S$2:$S$498,$A304)</f>
        <v>#DIV/0!</v>
      </c>
      <c r="K304" t="e">
        <f>AVERAGEIFS('Region 17'!$W$2:$W$498,'Region 17'!$A$2:$A$498,K$1,'Region 17'!$X$2:$X$498,$D304,'Region 17'!$S$2:$S$498,$A304)</f>
        <v>#DIV/0!</v>
      </c>
      <c r="L304" t="e">
        <f>AVERAGEIFS('Region 17'!$W$2:$W$498,'Region 17'!$A$2:$A$498,L$1,'Region 17'!$X$2:$X$498,$D304,'Region 17'!$S$2:$S$498,$A304)</f>
        <v>#DIV/0!</v>
      </c>
      <c r="M304" t="e">
        <f>AVERAGEIFS('Region 17'!$W$2:$W$498,'Region 17'!$A$2:$A$498,M$1,'Region 17'!$X$2:$X$498,$D304,'Region 17'!$S$2:$S$498,$A304)</f>
        <v>#DIV/0!</v>
      </c>
      <c r="N304" t="e">
        <f>AVERAGEIFS('Region 17'!$W$2:$W$498,'Region 17'!$A$2:$A$498,N$1,'Region 17'!$X$2:$X$498,$D304,'Region 17'!$S$2:$S$498,$A304)</f>
        <v>#DIV/0!</v>
      </c>
      <c r="Q304" t="str">
        <f t="shared" si="229"/>
        <v>Wood</v>
      </c>
      <c r="R304" t="str">
        <f t="shared" si="230"/>
        <v>High-rise</v>
      </c>
      <c r="S304">
        <f t="shared" si="231"/>
        <v>17</v>
      </c>
      <c r="T304" t="str">
        <f t="shared" si="211"/>
        <v>-</v>
      </c>
      <c r="U304" t="str">
        <f t="shared" si="212"/>
        <v>-</v>
      </c>
      <c r="V304" t="str">
        <f t="shared" si="213"/>
        <v>-</v>
      </c>
      <c r="W304" t="str">
        <f t="shared" si="214"/>
        <v>-</v>
      </c>
      <c r="X304" t="str">
        <f t="shared" si="215"/>
        <v>-</v>
      </c>
      <c r="Y304" t="str">
        <f t="shared" si="216"/>
        <v>-</v>
      </c>
      <c r="Z304" t="str">
        <f t="shared" si="217"/>
        <v>-</v>
      </c>
      <c r="AA304" t="str">
        <f t="shared" si="218"/>
        <v>-</v>
      </c>
      <c r="AB304" t="str">
        <f t="shared" si="219"/>
        <v>-</v>
      </c>
      <c r="AC304" t="str">
        <f t="shared" si="220"/>
        <v>-</v>
      </c>
    </row>
    <row r="305" spans="1:29" x14ac:dyDescent="0.3">
      <c r="A305" t="s">
        <v>67</v>
      </c>
      <c r="B305" t="str">
        <f t="shared" ref="B305:D305" si="268">B201</f>
        <v>High-rise</v>
      </c>
      <c r="C305">
        <f t="shared" si="268"/>
        <v>18</v>
      </c>
      <c r="D305">
        <f t="shared" si="268"/>
        <v>4</v>
      </c>
      <c r="E305" t="e">
        <f>AVERAGEIFS('Region 18'!$W$2:$W$468,'Region 18'!$A$2:$A$468,E$1,'Region 18'!$X$2:$X$468,$D305,'Region 18'!$S$2:$S$468,$A305)</f>
        <v>#DIV/0!</v>
      </c>
      <c r="F305" t="e">
        <f>AVERAGEIFS('Region 18'!$W$2:$W$468,'Region 18'!$A$2:$A$468,F$1,'Region 18'!$X$2:$X$468,$D305,'Region 18'!$S$2:$S$468,$A305)</f>
        <v>#DIV/0!</v>
      </c>
      <c r="G305" t="e">
        <f>AVERAGEIFS('Region 18'!$W$2:$W$468,'Region 18'!$A$2:$A$468,G$1,'Region 18'!$X$2:$X$468,$D305,'Region 18'!$S$2:$S$468,$A305)</f>
        <v>#DIV/0!</v>
      </c>
      <c r="H305" t="e">
        <f>AVERAGEIFS('Region 18'!$W$2:$W$468,'Region 18'!$A$2:$A$468,H$1,'Region 18'!$X$2:$X$468,$D305,'Region 18'!$S$2:$S$468,$A305)</f>
        <v>#DIV/0!</v>
      </c>
      <c r="I305" t="e">
        <f>AVERAGEIFS('Region 18'!$W$2:$W$468,'Region 18'!$A$2:$A$468,I$1,'Region 18'!$X$2:$X$468,$D305,'Region 18'!$S$2:$S$468,$A305)</f>
        <v>#DIV/0!</v>
      </c>
      <c r="J305" t="e">
        <f>AVERAGEIFS('Region 18'!$W$2:$W$468,'Region 18'!$A$2:$A$468,J$1,'Region 18'!$X$2:$X$468,$D305,'Region 18'!$S$2:$S$468,$A305)</f>
        <v>#DIV/0!</v>
      </c>
      <c r="K305" t="e">
        <f>AVERAGEIFS('Region 18'!$W$2:$W$468,'Region 18'!$A$2:$A$468,K$1,'Region 18'!$X$2:$X$468,$D305,'Region 18'!$S$2:$S$468,$A305)</f>
        <v>#DIV/0!</v>
      </c>
      <c r="L305" t="e">
        <f>AVERAGEIFS('Region 18'!$W$2:$W$468,'Region 18'!$A$2:$A$468,L$1,'Region 18'!$X$2:$X$468,$D305,'Region 18'!$S$2:$S$468,$A305)</f>
        <v>#DIV/0!</v>
      </c>
      <c r="M305" t="e">
        <f>AVERAGEIFS('Region 18'!$W$2:$W$468,'Region 18'!$A$2:$A$468,M$1,'Region 18'!$X$2:$X$468,$D305,'Region 18'!$S$2:$S$468,$A305)</f>
        <v>#DIV/0!</v>
      </c>
      <c r="N305" t="e">
        <f>AVERAGEIFS('Region 18'!$W$2:$W$468,'Region 18'!$A$2:$A$468,N$1,'Region 18'!$X$2:$X$468,$D305,'Region 18'!$S$2:$S$468,$A305)</f>
        <v>#DIV/0!</v>
      </c>
      <c r="Q305" t="str">
        <f t="shared" si="229"/>
        <v>Wood</v>
      </c>
      <c r="R305" t="str">
        <f t="shared" si="230"/>
        <v>High-rise</v>
      </c>
      <c r="S305">
        <f t="shared" si="231"/>
        <v>18</v>
      </c>
      <c r="T305" t="str">
        <f t="shared" si="211"/>
        <v>-</v>
      </c>
      <c r="U305" t="str">
        <f t="shared" si="212"/>
        <v>-</v>
      </c>
      <c r="V305" t="str">
        <f t="shared" si="213"/>
        <v>-</v>
      </c>
      <c r="W305" t="str">
        <f t="shared" si="214"/>
        <v>-</v>
      </c>
      <c r="X305" t="str">
        <f t="shared" si="215"/>
        <v>-</v>
      </c>
      <c r="Y305" t="str">
        <f t="shared" si="216"/>
        <v>-</v>
      </c>
      <c r="Z305" t="str">
        <f t="shared" si="217"/>
        <v>-</v>
      </c>
      <c r="AA305" t="str">
        <f t="shared" si="218"/>
        <v>-</v>
      </c>
      <c r="AB305" t="str">
        <f t="shared" si="219"/>
        <v>-</v>
      </c>
      <c r="AC305" t="str">
        <f t="shared" si="220"/>
        <v>-</v>
      </c>
    </row>
    <row r="306" spans="1:29" x14ac:dyDescent="0.3">
      <c r="A306" t="s">
        <v>67</v>
      </c>
      <c r="B306" t="str">
        <f t="shared" ref="B306:D306" si="269">B202</f>
        <v>High-rise</v>
      </c>
      <c r="C306">
        <f t="shared" si="269"/>
        <v>19</v>
      </c>
      <c r="D306">
        <f t="shared" si="269"/>
        <v>4</v>
      </c>
      <c r="E306" t="e">
        <f>AVERAGEIFS('Region 19'!$W$2:$W$494,'Region 19'!$A$2:$A$494,E$1,'Region 19'!$X$2:$X$494,$D306,'Region 19'!$S$2:$S$494,$A306)</f>
        <v>#DIV/0!</v>
      </c>
      <c r="F306" t="e">
        <f>AVERAGEIFS('Region 19'!$W$2:$W$494,'Region 19'!$A$2:$A$494,F$1,'Region 19'!$X$2:$X$494,$D306,'Region 19'!$S$2:$S$494,$A306)</f>
        <v>#DIV/0!</v>
      </c>
      <c r="G306" t="e">
        <f>AVERAGEIFS('Region 19'!$W$2:$W$494,'Region 19'!$A$2:$A$494,G$1,'Region 19'!$X$2:$X$494,$D306,'Region 19'!$S$2:$S$494,$A306)</f>
        <v>#DIV/0!</v>
      </c>
      <c r="H306" t="e">
        <f>AVERAGEIFS('Region 19'!$W$2:$W$494,'Region 19'!$A$2:$A$494,H$1,'Region 19'!$X$2:$X$494,$D306,'Region 19'!$S$2:$S$494,$A306)</f>
        <v>#DIV/0!</v>
      </c>
      <c r="I306" t="e">
        <f>AVERAGEIFS('Region 19'!$W$2:$W$494,'Region 19'!$A$2:$A$494,I$1,'Region 19'!$X$2:$X$494,$D306,'Region 19'!$S$2:$S$494,$A306)</f>
        <v>#DIV/0!</v>
      </c>
      <c r="J306" t="e">
        <f>AVERAGEIFS('Region 19'!$W$2:$W$494,'Region 19'!$A$2:$A$494,J$1,'Region 19'!$X$2:$X$494,$D306,'Region 19'!$S$2:$S$494,$A306)</f>
        <v>#DIV/0!</v>
      </c>
      <c r="K306" t="e">
        <f>AVERAGEIFS('Region 19'!$W$2:$W$494,'Region 19'!$A$2:$A$494,K$1,'Region 19'!$X$2:$X$494,$D306,'Region 19'!$S$2:$S$494,$A306)</f>
        <v>#DIV/0!</v>
      </c>
      <c r="L306" t="e">
        <f>AVERAGEIFS('Region 19'!$W$2:$W$494,'Region 19'!$A$2:$A$494,L$1,'Region 19'!$X$2:$X$494,$D306,'Region 19'!$S$2:$S$494,$A306)</f>
        <v>#DIV/0!</v>
      </c>
      <c r="M306" t="e">
        <f>AVERAGEIFS('Region 19'!$W$2:$W$494,'Region 19'!$A$2:$A$494,M$1,'Region 19'!$X$2:$X$494,$D306,'Region 19'!$S$2:$S$494,$A306)</f>
        <v>#DIV/0!</v>
      </c>
      <c r="N306" t="e">
        <f>AVERAGEIFS('Region 19'!$W$2:$W$494,'Region 19'!$A$2:$A$494,N$1,'Region 19'!$X$2:$X$494,$D306,'Region 19'!$S$2:$S$494,$A306)</f>
        <v>#DIV/0!</v>
      </c>
      <c r="Q306" t="str">
        <f t="shared" si="229"/>
        <v>Wood</v>
      </c>
      <c r="R306" t="str">
        <f t="shared" si="230"/>
        <v>High-rise</v>
      </c>
      <c r="S306">
        <f t="shared" si="231"/>
        <v>19</v>
      </c>
      <c r="T306" t="str">
        <f t="shared" si="211"/>
        <v>-</v>
      </c>
      <c r="U306" t="str">
        <f t="shared" si="212"/>
        <v>-</v>
      </c>
      <c r="V306" t="str">
        <f t="shared" si="213"/>
        <v>-</v>
      </c>
      <c r="W306" t="str">
        <f t="shared" si="214"/>
        <v>-</v>
      </c>
      <c r="X306" t="str">
        <f t="shared" si="215"/>
        <v>-</v>
      </c>
      <c r="Y306" t="str">
        <f t="shared" si="216"/>
        <v>-</v>
      </c>
      <c r="Z306" t="str">
        <f t="shared" si="217"/>
        <v>-</v>
      </c>
      <c r="AA306" t="str">
        <f t="shared" si="218"/>
        <v>-</v>
      </c>
      <c r="AB306" t="str">
        <f t="shared" si="219"/>
        <v>-</v>
      </c>
      <c r="AC306" t="str">
        <f t="shared" si="220"/>
        <v>-</v>
      </c>
    </row>
    <row r="307" spans="1:29" x14ac:dyDescent="0.3">
      <c r="A307" t="s">
        <v>67</v>
      </c>
      <c r="B307" t="str">
        <f t="shared" ref="B307:D307" si="270">B203</f>
        <v>High-rise</v>
      </c>
      <c r="C307">
        <f t="shared" si="270"/>
        <v>20</v>
      </c>
      <c r="D307">
        <f t="shared" si="270"/>
        <v>4</v>
      </c>
      <c r="E307">
        <f>AVERAGEIFS('Region 20'!$W$2:$W$269,'Region 20'!$A$2:$A$269,E$1,'Region 20'!$X$2:$X$269,$D307,'Region 20'!$S$2:$S$269,$A307)</f>
        <v>61.889097744360903</v>
      </c>
      <c r="F307" t="e">
        <f>AVERAGEIFS('Region 20'!$W$2:$W$269,'Region 20'!$A$2:$A$269,F$1,'Region 20'!$X$2:$X$269,$D307,'Region 20'!$S$2:$S$269,$A307)</f>
        <v>#DIV/0!</v>
      </c>
      <c r="G307" t="e">
        <f>AVERAGEIFS('Region 20'!$W$2:$W$269,'Region 20'!$A$2:$A$269,G$1,'Region 20'!$X$2:$X$269,$D307,'Region 20'!$S$2:$S$269,$A307)</f>
        <v>#DIV/0!</v>
      </c>
      <c r="H307" t="e">
        <f>AVERAGEIFS('Region 20'!$W$2:$W$269,'Region 20'!$A$2:$A$269,H$1,'Region 20'!$X$2:$X$269,$D307,'Region 20'!$S$2:$S$269,$A307)</f>
        <v>#DIV/0!</v>
      </c>
      <c r="I307" t="e">
        <f>AVERAGEIFS('Region 20'!$W$2:$W$269,'Region 20'!$A$2:$A$269,I$1,'Region 20'!$X$2:$X$269,$D307,'Region 20'!$S$2:$S$269,$A307)</f>
        <v>#DIV/0!</v>
      </c>
      <c r="J307" t="e">
        <f>AVERAGEIFS('Region 20'!$W$2:$W$269,'Region 20'!$A$2:$A$269,J$1,'Region 20'!$X$2:$X$269,$D307,'Region 20'!$S$2:$S$269,$A307)</f>
        <v>#DIV/0!</v>
      </c>
      <c r="K307" t="e">
        <f>AVERAGEIFS('Region 20'!$W$2:$W$269,'Region 20'!$A$2:$A$269,K$1,'Region 20'!$X$2:$X$269,$D307,'Region 20'!$S$2:$S$269,$A307)</f>
        <v>#DIV/0!</v>
      </c>
      <c r="L307" t="e">
        <f>AVERAGEIFS('Region 20'!$W$2:$W$269,'Region 20'!$A$2:$A$269,L$1,'Region 20'!$X$2:$X$269,$D307,'Region 20'!$S$2:$S$269,$A307)</f>
        <v>#DIV/0!</v>
      </c>
      <c r="M307" t="e">
        <f>AVERAGEIFS('Region 20'!$W$2:$W$269,'Region 20'!$A$2:$A$269,M$1,'Region 20'!$X$2:$X$269,$D307,'Region 20'!$S$2:$S$269,$A307)</f>
        <v>#DIV/0!</v>
      </c>
      <c r="N307" t="e">
        <f>AVERAGEIFS('Region 20'!$W$2:$W$269,'Region 20'!$A$2:$A$269,N$1,'Region 20'!$X$2:$X$269,$D307,'Region 20'!$S$2:$S$269,$A307)</f>
        <v>#DIV/0!</v>
      </c>
      <c r="Q307" t="str">
        <f t="shared" si="229"/>
        <v>Wood</v>
      </c>
      <c r="R307" t="str">
        <f t="shared" si="230"/>
        <v>High-rise</v>
      </c>
      <c r="S307">
        <f t="shared" si="231"/>
        <v>20</v>
      </c>
      <c r="T307">
        <f t="shared" si="211"/>
        <v>61.889097744360903</v>
      </c>
      <c r="U307" t="str">
        <f t="shared" si="212"/>
        <v>-</v>
      </c>
      <c r="V307" t="str">
        <f t="shared" si="213"/>
        <v>-</v>
      </c>
      <c r="W307" t="str">
        <f t="shared" si="214"/>
        <v>-</v>
      </c>
      <c r="X307" t="str">
        <f t="shared" si="215"/>
        <v>-</v>
      </c>
      <c r="Y307" t="str">
        <f t="shared" si="216"/>
        <v>-</v>
      </c>
      <c r="Z307" t="str">
        <f t="shared" si="217"/>
        <v>-</v>
      </c>
      <c r="AA307" t="str">
        <f t="shared" si="218"/>
        <v>-</v>
      </c>
      <c r="AB307" t="str">
        <f t="shared" si="219"/>
        <v>-</v>
      </c>
      <c r="AC307" t="str">
        <f t="shared" si="220"/>
        <v>-</v>
      </c>
    </row>
    <row r="308" spans="1:29" x14ac:dyDescent="0.3">
      <c r="A308" t="s">
        <v>67</v>
      </c>
      <c r="B308" t="str">
        <f t="shared" ref="B308:D308" si="271">B204</f>
        <v>High-rise</v>
      </c>
      <c r="C308">
        <f t="shared" si="271"/>
        <v>21</v>
      </c>
      <c r="D308">
        <f t="shared" si="271"/>
        <v>4</v>
      </c>
      <c r="E308" t="e">
        <f>AVERAGEIFS('Region 21'!$W$2:$W$497,'Region 21'!$A$2:$A$497,E$1,'Region 21'!$X$2:$X$497,$D308,'Region 21'!$S$2:$S$497,$A308)</f>
        <v>#DIV/0!</v>
      </c>
      <c r="F308" t="e">
        <f>AVERAGEIFS('Region 21'!$W$2:$W$497,'Region 21'!$A$2:$A$497,F$1,'Region 21'!$X$2:$X$497,$D308,'Region 21'!$S$2:$S$497,$A308)</f>
        <v>#DIV/0!</v>
      </c>
      <c r="G308" t="e">
        <f>AVERAGEIFS('Region 21'!$W$2:$W$497,'Region 21'!$A$2:$A$497,G$1,'Region 21'!$X$2:$X$497,$D308,'Region 21'!$S$2:$S$497,$A308)</f>
        <v>#DIV/0!</v>
      </c>
      <c r="H308" t="e">
        <f>AVERAGEIFS('Region 21'!$W$2:$W$497,'Region 21'!$A$2:$A$497,H$1,'Region 21'!$X$2:$X$497,$D308,'Region 21'!$S$2:$S$497,$A308)</f>
        <v>#DIV/0!</v>
      </c>
      <c r="I308" t="e">
        <f>AVERAGEIFS('Region 21'!$W$2:$W$497,'Region 21'!$A$2:$A$497,I$1,'Region 21'!$X$2:$X$497,$D308,'Region 21'!$S$2:$S$497,$A308)</f>
        <v>#DIV/0!</v>
      </c>
      <c r="J308" t="e">
        <f>AVERAGEIFS('Region 21'!$W$2:$W$497,'Region 21'!$A$2:$A$497,J$1,'Region 21'!$X$2:$X$497,$D308,'Region 21'!$S$2:$S$497,$A308)</f>
        <v>#DIV/0!</v>
      </c>
      <c r="K308" t="e">
        <f>AVERAGEIFS('Region 21'!$W$2:$W$497,'Region 21'!$A$2:$A$497,K$1,'Region 21'!$X$2:$X$497,$D308,'Region 21'!$S$2:$S$497,$A308)</f>
        <v>#DIV/0!</v>
      </c>
      <c r="L308" t="e">
        <f>AVERAGEIFS('Region 21'!$W$2:$W$497,'Region 21'!$A$2:$A$497,L$1,'Region 21'!$X$2:$X$497,$D308,'Region 21'!$S$2:$S$497,$A308)</f>
        <v>#DIV/0!</v>
      </c>
      <c r="M308" t="e">
        <f>AVERAGEIFS('Region 21'!$W$2:$W$497,'Region 21'!$A$2:$A$497,M$1,'Region 21'!$X$2:$X$497,$D308,'Region 21'!$S$2:$S$497,$A308)</f>
        <v>#DIV/0!</v>
      </c>
      <c r="N308" t="e">
        <f>AVERAGEIFS('Region 21'!$W$2:$W$497,'Region 21'!$A$2:$A$497,N$1,'Region 21'!$X$2:$X$497,$D308,'Region 21'!$S$2:$S$497,$A308)</f>
        <v>#DIV/0!</v>
      </c>
      <c r="Q308" t="str">
        <f t="shared" si="229"/>
        <v>Wood</v>
      </c>
      <c r="R308" t="str">
        <f t="shared" si="230"/>
        <v>High-rise</v>
      </c>
      <c r="S308">
        <f t="shared" si="231"/>
        <v>21</v>
      </c>
      <c r="T308" t="str">
        <f t="shared" si="211"/>
        <v>-</v>
      </c>
      <c r="U308" t="str">
        <f t="shared" si="212"/>
        <v>-</v>
      </c>
      <c r="V308" t="str">
        <f t="shared" si="213"/>
        <v>-</v>
      </c>
      <c r="W308" t="str">
        <f t="shared" si="214"/>
        <v>-</v>
      </c>
      <c r="X308" t="str">
        <f t="shared" si="215"/>
        <v>-</v>
      </c>
      <c r="Y308" t="str">
        <f t="shared" si="216"/>
        <v>-</v>
      </c>
      <c r="Z308" t="str">
        <f t="shared" si="217"/>
        <v>-</v>
      </c>
      <c r="AA308" t="str">
        <f t="shared" si="218"/>
        <v>-</v>
      </c>
      <c r="AB308" t="str">
        <f t="shared" si="219"/>
        <v>-</v>
      </c>
      <c r="AC308" t="str">
        <f t="shared" si="220"/>
        <v>-</v>
      </c>
    </row>
    <row r="309" spans="1:29" x14ac:dyDescent="0.3">
      <c r="A309" t="s">
        <v>67</v>
      </c>
      <c r="B309" t="str">
        <f t="shared" ref="B309:D309" si="272">B205</f>
        <v>High-rise</v>
      </c>
      <c r="C309">
        <f t="shared" si="272"/>
        <v>22</v>
      </c>
      <c r="D309">
        <f t="shared" si="272"/>
        <v>4</v>
      </c>
      <c r="E309" t="e">
        <f>AVERAGEIFS('Region 22'!$W$2:$W$510,'Region 22'!$A$2:$A$510,E$1,'Region 22'!$X$2:$X$510,$D309,'Region 22'!$S$2:$S$510,$A309)</f>
        <v>#DIV/0!</v>
      </c>
      <c r="F309" t="e">
        <f>AVERAGEIFS('Region 22'!$W$2:$W$510,'Region 22'!$A$2:$A$510,F$1,'Region 22'!$X$2:$X$510,$D309,'Region 22'!$S$2:$S$510,$A309)</f>
        <v>#DIV/0!</v>
      </c>
      <c r="G309" t="e">
        <f>AVERAGEIFS('Region 22'!$W$2:$W$510,'Region 22'!$A$2:$A$510,G$1,'Region 22'!$X$2:$X$510,$D309,'Region 22'!$S$2:$S$510,$A309)</f>
        <v>#DIV/0!</v>
      </c>
      <c r="H309" t="e">
        <f>AVERAGEIFS('Region 22'!$W$2:$W$510,'Region 22'!$A$2:$A$510,H$1,'Region 22'!$X$2:$X$510,$D309,'Region 22'!$S$2:$S$510,$A309)</f>
        <v>#DIV/0!</v>
      </c>
      <c r="I309" t="e">
        <f>AVERAGEIFS('Region 22'!$W$2:$W$510,'Region 22'!$A$2:$A$510,I$1,'Region 22'!$X$2:$X$510,$D309,'Region 22'!$S$2:$S$510,$A309)</f>
        <v>#DIV/0!</v>
      </c>
      <c r="J309" t="e">
        <f>AVERAGEIFS('Region 22'!$W$2:$W$510,'Region 22'!$A$2:$A$510,J$1,'Region 22'!$X$2:$X$510,$D309,'Region 22'!$S$2:$S$510,$A309)</f>
        <v>#DIV/0!</v>
      </c>
      <c r="K309" t="e">
        <f>AVERAGEIFS('Region 22'!$W$2:$W$510,'Region 22'!$A$2:$A$510,K$1,'Region 22'!$X$2:$X$510,$D309,'Region 22'!$S$2:$S$510,$A309)</f>
        <v>#DIV/0!</v>
      </c>
      <c r="L309" t="e">
        <f>AVERAGEIFS('Region 22'!$W$2:$W$510,'Region 22'!$A$2:$A$510,L$1,'Region 22'!$X$2:$X$510,$D309,'Region 22'!$S$2:$S$510,$A309)</f>
        <v>#DIV/0!</v>
      </c>
      <c r="M309" t="e">
        <f>AVERAGEIFS('Region 22'!$W$2:$W$510,'Region 22'!$A$2:$A$510,M$1,'Region 22'!$X$2:$X$510,$D309,'Region 22'!$S$2:$S$510,$A309)</f>
        <v>#DIV/0!</v>
      </c>
      <c r="N309" t="e">
        <f>AVERAGEIFS('Region 22'!$W$2:$W$510,'Region 22'!$A$2:$A$510,N$1,'Region 22'!$X$2:$X$510,$D309,'Region 22'!$S$2:$S$510,$A309)</f>
        <v>#DIV/0!</v>
      </c>
      <c r="Q309" t="str">
        <f t="shared" si="229"/>
        <v>Wood</v>
      </c>
      <c r="R309" t="str">
        <f t="shared" si="230"/>
        <v>High-rise</v>
      </c>
      <c r="S309">
        <f t="shared" si="231"/>
        <v>22</v>
      </c>
      <c r="T309" t="str">
        <f t="shared" si="211"/>
        <v>-</v>
      </c>
      <c r="U309" t="str">
        <f t="shared" si="212"/>
        <v>-</v>
      </c>
      <c r="V309" t="str">
        <f t="shared" si="213"/>
        <v>-</v>
      </c>
      <c r="W309" t="str">
        <f t="shared" si="214"/>
        <v>-</v>
      </c>
      <c r="X309" t="str">
        <f t="shared" si="215"/>
        <v>-</v>
      </c>
      <c r="Y309" t="str">
        <f t="shared" si="216"/>
        <v>-</v>
      </c>
      <c r="Z309" t="str">
        <f t="shared" si="217"/>
        <v>-</v>
      </c>
      <c r="AA309" t="str">
        <f t="shared" si="218"/>
        <v>-</v>
      </c>
      <c r="AB309" t="str">
        <f t="shared" si="219"/>
        <v>-</v>
      </c>
      <c r="AC309" t="str">
        <f t="shared" si="220"/>
        <v>-</v>
      </c>
    </row>
    <row r="310" spans="1:29" x14ac:dyDescent="0.3">
      <c r="A310" t="s">
        <v>67</v>
      </c>
      <c r="B310" t="str">
        <f t="shared" ref="B310:D310" si="273">B206</f>
        <v>High-rise</v>
      </c>
      <c r="C310">
        <f t="shared" si="273"/>
        <v>23</v>
      </c>
      <c r="D310">
        <f t="shared" si="273"/>
        <v>4</v>
      </c>
      <c r="E310" t="e">
        <f>AVERAGEIFS('Region 23'!$W$2:$W$468,'Region 23'!$A$2:$A$468,E$1,'Region 23'!$X$2:$X$468,$D310,'Region 23'!$S$2:$S$468,$A310)</f>
        <v>#DIV/0!</v>
      </c>
      <c r="F310">
        <f>AVERAGEIFS('Region 23'!$W$2:$W$468,'Region 23'!$A$2:$A$468,F$1,'Region 23'!$X$2:$X$468,$D310,'Region 23'!$S$2:$S$468,$A310)</f>
        <v>18</v>
      </c>
      <c r="G310" t="e">
        <f>AVERAGEIFS('Region 23'!$W$2:$W$468,'Region 23'!$A$2:$A$468,G$1,'Region 23'!$X$2:$X$468,$D310,'Region 23'!$S$2:$S$468,$A310)</f>
        <v>#DIV/0!</v>
      </c>
      <c r="H310" t="e">
        <f>AVERAGEIFS('Region 23'!$W$2:$W$468,'Region 23'!$A$2:$A$468,H$1,'Region 23'!$X$2:$X$468,$D310,'Region 23'!$S$2:$S$468,$A310)</f>
        <v>#DIV/0!</v>
      </c>
      <c r="I310" t="e">
        <f>AVERAGEIFS('Region 23'!$W$2:$W$468,'Region 23'!$A$2:$A$468,I$1,'Region 23'!$X$2:$X$468,$D310,'Region 23'!$S$2:$S$468,$A310)</f>
        <v>#DIV/0!</v>
      </c>
      <c r="J310" t="e">
        <f>AVERAGEIFS('Region 23'!$W$2:$W$468,'Region 23'!$A$2:$A$468,J$1,'Region 23'!$X$2:$X$468,$D310,'Region 23'!$S$2:$S$468,$A310)</f>
        <v>#DIV/0!</v>
      </c>
      <c r="K310" t="e">
        <f>AVERAGEIFS('Region 23'!$W$2:$W$468,'Region 23'!$A$2:$A$468,K$1,'Region 23'!$X$2:$X$468,$D310,'Region 23'!$S$2:$S$468,$A310)</f>
        <v>#DIV/0!</v>
      </c>
      <c r="L310" t="e">
        <f>AVERAGEIFS('Region 23'!$W$2:$W$468,'Region 23'!$A$2:$A$468,L$1,'Region 23'!$X$2:$X$468,$D310,'Region 23'!$S$2:$S$468,$A310)</f>
        <v>#DIV/0!</v>
      </c>
      <c r="M310" t="e">
        <f>AVERAGEIFS('Region 23'!$W$2:$W$468,'Region 23'!$A$2:$A$468,M$1,'Region 23'!$X$2:$X$468,$D310,'Region 23'!$S$2:$S$468,$A310)</f>
        <v>#DIV/0!</v>
      </c>
      <c r="N310" t="e">
        <f>AVERAGEIFS('Region 23'!$W$2:$W$468,'Region 23'!$A$2:$A$468,N$1,'Region 23'!$X$2:$X$468,$D310,'Region 23'!$S$2:$S$468,$A310)</f>
        <v>#DIV/0!</v>
      </c>
      <c r="Q310" t="str">
        <f t="shared" si="229"/>
        <v>Wood</v>
      </c>
      <c r="R310" t="str">
        <f t="shared" si="230"/>
        <v>High-rise</v>
      </c>
      <c r="S310">
        <f t="shared" si="231"/>
        <v>23</v>
      </c>
      <c r="T310" t="str">
        <f t="shared" si="211"/>
        <v>-</v>
      </c>
      <c r="U310">
        <f t="shared" si="212"/>
        <v>18</v>
      </c>
      <c r="V310" t="str">
        <f t="shared" si="213"/>
        <v>-</v>
      </c>
      <c r="W310" t="str">
        <f t="shared" si="214"/>
        <v>-</v>
      </c>
      <c r="X310" t="str">
        <f t="shared" si="215"/>
        <v>-</v>
      </c>
      <c r="Y310" t="str">
        <f t="shared" si="216"/>
        <v>-</v>
      </c>
      <c r="Z310" t="str">
        <f t="shared" si="217"/>
        <v>-</v>
      </c>
      <c r="AA310" t="str">
        <f t="shared" si="218"/>
        <v>-</v>
      </c>
      <c r="AB310" t="str">
        <f t="shared" si="219"/>
        <v>-</v>
      </c>
      <c r="AC310" t="str">
        <f t="shared" si="220"/>
        <v>-</v>
      </c>
    </row>
    <row r="311" spans="1:29" x14ac:dyDescent="0.3">
      <c r="A311" t="s">
        <v>67</v>
      </c>
      <c r="B311" t="str">
        <f t="shared" ref="B311:D311" si="274">B207</f>
        <v>High-rise</v>
      </c>
      <c r="C311">
        <f t="shared" si="274"/>
        <v>24</v>
      </c>
      <c r="D311">
        <f t="shared" si="274"/>
        <v>4</v>
      </c>
      <c r="E311" t="e">
        <f>AVERAGEIFS('Region 24'!$W$2:$W$454,'Region 24'!$A$2:$A$454,E$1,'Region 24'!$X$2:$X$454,$D311,'Region 24'!$S$2:$S$454,$A311)</f>
        <v>#DIV/0!</v>
      </c>
      <c r="F311" t="e">
        <f>AVERAGEIFS('Region 24'!$W$2:$W$454,'Region 24'!$A$2:$A$454,F$1,'Region 24'!$X$2:$X$454,$D311,'Region 24'!$S$2:$S$454,$A311)</f>
        <v>#DIV/0!</v>
      </c>
      <c r="G311" t="e">
        <f>AVERAGEIFS('Region 24'!$W$2:$W$454,'Region 24'!$A$2:$A$454,G$1,'Region 24'!$X$2:$X$454,$D311,'Region 24'!$S$2:$S$454,$A311)</f>
        <v>#DIV/0!</v>
      </c>
      <c r="H311" t="e">
        <f>AVERAGEIFS('Region 24'!$W$2:$W$454,'Region 24'!$A$2:$A$454,H$1,'Region 24'!$X$2:$X$454,$D311,'Region 24'!$S$2:$S$454,$A311)</f>
        <v>#DIV/0!</v>
      </c>
      <c r="I311">
        <f>AVERAGEIFS('Region 24'!$W$2:$W$454,'Region 24'!$A$2:$A$454,I$1,'Region 24'!$X$2:$X$454,$D311,'Region 24'!$S$2:$S$454,$A311)</f>
        <v>280.66615943866765</v>
      </c>
      <c r="J311" t="e">
        <f>AVERAGEIFS('Region 24'!$W$2:$W$454,'Region 24'!$A$2:$A$454,J$1,'Region 24'!$X$2:$X$454,$D311,'Region 24'!$S$2:$S$454,$A311)</f>
        <v>#DIV/0!</v>
      </c>
      <c r="K311">
        <f>AVERAGEIFS('Region 24'!$W$2:$W$454,'Region 24'!$A$2:$A$454,K$1,'Region 24'!$X$2:$X$454,$D311,'Region 24'!$S$2:$S$454,$A311)</f>
        <v>72.653646076690649</v>
      </c>
      <c r="L311" t="e">
        <f>AVERAGEIFS('Region 24'!$W$2:$W$454,'Region 24'!$A$2:$A$454,L$1,'Region 24'!$X$2:$X$454,$D311,'Region 24'!$S$2:$S$454,$A311)</f>
        <v>#DIV/0!</v>
      </c>
      <c r="M311" t="e">
        <f>AVERAGEIFS('Region 24'!$W$2:$W$454,'Region 24'!$A$2:$A$454,M$1,'Region 24'!$X$2:$X$454,$D311,'Region 24'!$S$2:$S$454,$A311)</f>
        <v>#DIV/0!</v>
      </c>
      <c r="N311" t="e">
        <f>AVERAGEIFS('Region 24'!$W$2:$W$454,'Region 24'!$A$2:$A$454,N$1,'Region 24'!$X$2:$X$454,$D311,'Region 24'!$S$2:$S$454,$A311)</f>
        <v>#DIV/0!</v>
      </c>
      <c r="Q311" t="str">
        <f t="shared" si="229"/>
        <v>Wood</v>
      </c>
      <c r="R311" t="str">
        <f t="shared" si="230"/>
        <v>High-rise</v>
      </c>
      <c r="S311">
        <f t="shared" si="231"/>
        <v>24</v>
      </c>
      <c r="T311" t="str">
        <f t="shared" si="211"/>
        <v>-</v>
      </c>
      <c r="U311" t="str">
        <f t="shared" si="212"/>
        <v>-</v>
      </c>
      <c r="V311" t="str">
        <f t="shared" si="213"/>
        <v>-</v>
      </c>
      <c r="W311" t="str">
        <f t="shared" si="214"/>
        <v>-</v>
      </c>
      <c r="X311">
        <f t="shared" si="215"/>
        <v>280.66615943866765</v>
      </c>
      <c r="Y311" t="str">
        <f t="shared" si="216"/>
        <v>-</v>
      </c>
      <c r="Z311">
        <f t="shared" si="217"/>
        <v>72.653646076690649</v>
      </c>
      <c r="AA311" t="str">
        <f t="shared" si="218"/>
        <v>-</v>
      </c>
      <c r="AB311" t="str">
        <f t="shared" si="219"/>
        <v>-</v>
      </c>
      <c r="AC311" t="str">
        <f t="shared" si="220"/>
        <v>-</v>
      </c>
    </row>
    <row r="312" spans="1:29" x14ac:dyDescent="0.3">
      <c r="A312" t="s">
        <v>67</v>
      </c>
      <c r="B312" t="str">
        <f t="shared" ref="B312:D312" si="275">B208</f>
        <v>High-rise</v>
      </c>
      <c r="C312">
        <f t="shared" si="275"/>
        <v>25</v>
      </c>
      <c r="D312">
        <f t="shared" si="275"/>
        <v>4</v>
      </c>
      <c r="E312" t="e">
        <f>AVERAGEIFS('Region 25'!$W$2:$W$499,'Region 25'!$A$2:$A$499,E$1,'Region 25'!$X$2:$X$499,$D312,'Region 25'!$S$2:$S$499,$A312)</f>
        <v>#DIV/0!</v>
      </c>
      <c r="F312" t="e">
        <f>AVERAGEIFS('Region 25'!$W$2:$W$499,'Region 25'!$A$2:$A$499,F$1,'Region 25'!$X$2:$X$499,$D312,'Region 25'!$S$2:$S$499,$A312)</f>
        <v>#DIV/0!</v>
      </c>
      <c r="G312" t="e">
        <f>AVERAGEIFS('Region 25'!$W$2:$W$499,'Region 25'!$A$2:$A$499,G$1,'Region 25'!$X$2:$X$499,$D312,'Region 25'!$S$2:$S$499,$A312)</f>
        <v>#DIV/0!</v>
      </c>
      <c r="H312" t="e">
        <f>AVERAGEIFS('Region 25'!$W$2:$W$499,'Region 25'!$A$2:$A$499,H$1,'Region 25'!$X$2:$X$499,$D312,'Region 25'!$S$2:$S$499,$A312)</f>
        <v>#DIV/0!</v>
      </c>
      <c r="I312" t="e">
        <f>AVERAGEIFS('Region 25'!$W$2:$W$499,'Region 25'!$A$2:$A$499,I$1,'Region 25'!$X$2:$X$499,$D312,'Region 25'!$S$2:$S$499,$A312)</f>
        <v>#DIV/0!</v>
      </c>
      <c r="J312" t="e">
        <f>AVERAGEIFS('Region 25'!$W$2:$W$499,'Region 25'!$A$2:$A$499,J$1,'Region 25'!$X$2:$X$499,$D312,'Region 25'!$S$2:$S$499,$A312)</f>
        <v>#DIV/0!</v>
      </c>
      <c r="K312" t="e">
        <f>AVERAGEIFS('Region 25'!$W$2:$W$499,'Region 25'!$A$2:$A$499,K$1,'Region 25'!$X$2:$X$499,$D312,'Region 25'!$S$2:$S$499,$A312)</f>
        <v>#DIV/0!</v>
      </c>
      <c r="L312" t="e">
        <f>AVERAGEIFS('Region 25'!$W$2:$W$499,'Region 25'!$A$2:$A$499,L$1,'Region 25'!$X$2:$X$499,$D312,'Region 25'!$S$2:$S$499,$A312)</f>
        <v>#DIV/0!</v>
      </c>
      <c r="M312" t="e">
        <f>AVERAGEIFS('Region 25'!$W$2:$W$499,'Region 25'!$A$2:$A$499,M$1,'Region 25'!$X$2:$X$499,$D312,'Region 25'!$S$2:$S$499,$A312)</f>
        <v>#DIV/0!</v>
      </c>
      <c r="N312" t="e">
        <f>AVERAGEIFS('Region 25'!$W$2:$W$499,'Region 25'!$A$2:$A$499,N$1,'Region 25'!$X$2:$X$499,$D312,'Region 25'!$S$2:$S$499,$A312)</f>
        <v>#DIV/0!</v>
      </c>
      <c r="Q312" t="str">
        <f t="shared" si="229"/>
        <v>Wood</v>
      </c>
      <c r="R312" t="str">
        <f t="shared" si="230"/>
        <v>High-rise</v>
      </c>
      <c r="S312">
        <f t="shared" si="231"/>
        <v>25</v>
      </c>
      <c r="T312" t="str">
        <f t="shared" si="211"/>
        <v>-</v>
      </c>
      <c r="U312" t="str">
        <f t="shared" si="212"/>
        <v>-</v>
      </c>
      <c r="V312" t="str">
        <f t="shared" si="213"/>
        <v>-</v>
      </c>
      <c r="W312" t="str">
        <f t="shared" si="214"/>
        <v>-</v>
      </c>
      <c r="X312" t="str">
        <f t="shared" si="215"/>
        <v>-</v>
      </c>
      <c r="Y312" t="str">
        <f t="shared" si="216"/>
        <v>-</v>
      </c>
      <c r="Z312" t="str">
        <f t="shared" si="217"/>
        <v>-</v>
      </c>
      <c r="AA312" t="str">
        <f t="shared" si="218"/>
        <v>-</v>
      </c>
      <c r="AB312" t="str">
        <f t="shared" si="219"/>
        <v>-</v>
      </c>
      <c r="AC312" t="str">
        <f t="shared" si="220"/>
        <v>-</v>
      </c>
    </row>
    <row r="313" spans="1:29" x14ac:dyDescent="0.3">
      <c r="A313" t="s">
        <v>67</v>
      </c>
      <c r="B313" t="str">
        <f t="shared" ref="B313:D313" si="276">B209</f>
        <v>High-rise</v>
      </c>
      <c r="C313">
        <f t="shared" si="276"/>
        <v>26</v>
      </c>
      <c r="D313">
        <f t="shared" si="276"/>
        <v>4</v>
      </c>
      <c r="E313" t="e">
        <f ca="1">AVERAGEIFS('Region 26'!$W$2:$W$500,'Region 26'!$A$2:$A$500,E$1,'Region 26'!$X$2:$X$500,$D313,'Region 26'!$S$2:$S$500,$A313)</f>
        <v>#DIV/0!</v>
      </c>
      <c r="F313" t="e">
        <f ca="1">AVERAGEIFS('Region 26'!$W$2:$W$500,'Region 26'!$A$2:$A$500,F$1,'Region 26'!$X$2:$X$500,$D313,'Region 26'!$S$2:$S$500,$A313)</f>
        <v>#DIV/0!</v>
      </c>
      <c r="G313" t="e">
        <f ca="1">AVERAGEIFS('Region 26'!$W$2:$W$500,'Region 26'!$A$2:$A$500,G$1,'Region 26'!$X$2:$X$500,$D313,'Region 26'!$S$2:$S$500,$A313)</f>
        <v>#DIV/0!</v>
      </c>
      <c r="H313" t="e">
        <f ca="1">AVERAGEIFS('Region 26'!$W$2:$W$500,'Region 26'!$A$2:$A$500,H$1,'Region 26'!$X$2:$X$500,$D313,'Region 26'!$S$2:$S$500,$A313)</f>
        <v>#DIV/0!</v>
      </c>
      <c r="I313" t="e">
        <f ca="1">AVERAGEIFS('Region 26'!$W$2:$W$500,'Region 26'!$A$2:$A$500,I$1,'Region 26'!$X$2:$X$500,$D313,'Region 26'!$S$2:$S$500,$A313)</f>
        <v>#DIV/0!</v>
      </c>
      <c r="J313" t="e">
        <f ca="1">AVERAGEIFS('Region 26'!$W$2:$W$500,'Region 26'!$A$2:$A$500,J$1,'Region 26'!$X$2:$X$500,$D313,'Region 26'!$S$2:$S$500,$A313)</f>
        <v>#DIV/0!</v>
      </c>
      <c r="K313" t="e">
        <f ca="1">AVERAGEIFS('Region 26'!$W$2:$W$500,'Region 26'!$A$2:$A$500,K$1,'Region 26'!$X$2:$X$500,$D313,'Region 26'!$S$2:$S$500,$A313)</f>
        <v>#DIV/0!</v>
      </c>
      <c r="L313" t="e">
        <f ca="1">AVERAGEIFS('Region 26'!$W$2:$W$500,'Region 26'!$A$2:$A$500,L$1,'Region 26'!$X$2:$X$500,$D313,'Region 26'!$S$2:$S$500,$A313)</f>
        <v>#DIV/0!</v>
      </c>
      <c r="M313" t="e">
        <f ca="1">AVERAGEIFS('Region 26'!$W$2:$W$500,'Region 26'!$A$2:$A$500,M$1,'Region 26'!$X$2:$X$500,$D313,'Region 26'!$S$2:$S$500,$A313)</f>
        <v>#DIV/0!</v>
      </c>
      <c r="N313" t="e">
        <f ca="1">AVERAGEIFS('Region 26'!$W$2:$W$500,'Region 26'!$A$2:$A$500,N$1,'Region 26'!$X$2:$X$500,$D313,'Region 26'!$S$2:$S$500,$A313)</f>
        <v>#DIV/0!</v>
      </c>
      <c r="Q313" t="str">
        <f t="shared" si="229"/>
        <v>Wood</v>
      </c>
      <c r="R313" t="str">
        <f t="shared" si="230"/>
        <v>High-rise</v>
      </c>
      <c r="S313">
        <f t="shared" si="231"/>
        <v>26</v>
      </c>
      <c r="T313" t="str">
        <f t="shared" ca="1" si="211"/>
        <v>-</v>
      </c>
      <c r="U313" t="str">
        <f t="shared" ca="1" si="212"/>
        <v>-</v>
      </c>
      <c r="V313" t="str">
        <f t="shared" ca="1" si="213"/>
        <v>-</v>
      </c>
      <c r="W313" t="str">
        <f t="shared" ca="1" si="214"/>
        <v>-</v>
      </c>
      <c r="X313" t="str">
        <f t="shared" ca="1" si="215"/>
        <v>-</v>
      </c>
      <c r="Y313" t="str">
        <f t="shared" ca="1" si="216"/>
        <v>-</v>
      </c>
      <c r="Z313" t="str">
        <f t="shared" ca="1" si="217"/>
        <v>-</v>
      </c>
      <c r="AA313" t="str">
        <f t="shared" ca="1" si="218"/>
        <v>-</v>
      </c>
      <c r="AB313" t="str">
        <f t="shared" ca="1" si="219"/>
        <v>-</v>
      </c>
      <c r="AC313" t="str">
        <f t="shared" ca="1" si="220"/>
        <v>-</v>
      </c>
    </row>
    <row r="314" spans="1:29" x14ac:dyDescent="0.3">
      <c r="A314" t="s">
        <v>414</v>
      </c>
      <c r="B314" t="str">
        <f>B210</f>
        <v>Detached</v>
      </c>
      <c r="C314">
        <f>C106</f>
        <v>1</v>
      </c>
      <c r="D314">
        <f>D106</f>
        <v>1</v>
      </c>
      <c r="E314" t="e">
        <f>AVERAGEIFS('Region 1'!$W$2:$W$498,'Region 1'!$A$2:$A$498,E$1,'Region 1'!$X$2:$X$498,$D314,'Region 1'!$S$2:$S$498,$A314)</f>
        <v>#DIV/0!</v>
      </c>
      <c r="F314" t="e">
        <f>AVERAGEIFS('Region 1'!$W$2:$W$498,'Region 1'!$A$2:$A$498,F$1,'Region 1'!$X$2:$X$498,$D314,'Region 1'!$S$2:$S$498,$A314)</f>
        <v>#DIV/0!</v>
      </c>
      <c r="G314" t="e">
        <f>AVERAGEIFS('Region 1'!$W$2:$W$498,'Region 1'!$A$2:$A$498,G$1,'Region 1'!$X$2:$X$498,$D314,'Region 1'!$S$2:$S$498,$A314)</f>
        <v>#DIV/0!</v>
      </c>
      <c r="H314" t="e">
        <f>AVERAGEIFS('Region 1'!$W$2:$W$498,'Region 1'!$A$2:$A$498,H$1,'Region 1'!$X$2:$X$498,$D314,'Region 1'!$S$2:$S$498,$A314)</f>
        <v>#DIV/0!</v>
      </c>
      <c r="I314" t="e">
        <f>AVERAGEIFS('Region 1'!$W$2:$W$498,'Region 1'!$A$2:$A$498,I$1,'Region 1'!$X$2:$X$498,$D314,'Region 1'!$S$2:$S$498,$A314)</f>
        <v>#DIV/0!</v>
      </c>
      <c r="J314" t="e">
        <f>AVERAGEIFS('Region 1'!$W$2:$W$498,'Region 1'!$A$2:$A$498,J$1,'Region 1'!$X$2:$X$498,$D314,'Region 1'!$S$2:$S$498,$A314)</f>
        <v>#DIV/0!</v>
      </c>
      <c r="K314" t="e">
        <f>AVERAGEIFS('Region 1'!$W$2:$W$498,'Region 1'!$A$2:$A$498,K$1,'Region 1'!$X$2:$X$498,$D314,'Region 1'!$S$2:$S$498,$A314)</f>
        <v>#DIV/0!</v>
      </c>
      <c r="L314" t="e">
        <f>AVERAGEIFS('Region 1'!$W$2:$W$498,'Region 1'!$A$2:$A$498,L$1,'Region 1'!$X$2:$X$498,$D314,'Region 1'!$S$2:$S$498,$A314)</f>
        <v>#DIV/0!</v>
      </c>
      <c r="M314" t="e">
        <f>AVERAGEIFS('Region 1'!$W$2:$W$498,'Region 1'!$A$2:$A$498,M$1,'Region 1'!$X$2:$X$498,$D314,'Region 1'!$S$2:$S$498,$A314)</f>
        <v>#DIV/0!</v>
      </c>
      <c r="N314" t="e">
        <f>AVERAGEIFS('Region 1'!$W$2:$W$498,'Region 1'!$A$2:$A$498,N$1,'Region 1'!$X$2:$X$498,$D314,'Region 1'!$S$2:$S$498,$A314)</f>
        <v>#DIV/0!</v>
      </c>
      <c r="Q314" t="str">
        <f t="shared" si="229"/>
        <v>Copper</v>
      </c>
      <c r="R314" t="str">
        <f t="shared" si="230"/>
        <v>Detached</v>
      </c>
      <c r="S314">
        <f t="shared" si="231"/>
        <v>1</v>
      </c>
      <c r="T314" t="str">
        <f t="shared" si="211"/>
        <v>-</v>
      </c>
      <c r="U314" t="str">
        <f t="shared" si="212"/>
        <v>-</v>
      </c>
      <c r="V314" t="str">
        <f t="shared" si="213"/>
        <v>-</v>
      </c>
      <c r="W314" t="str">
        <f t="shared" si="214"/>
        <v>-</v>
      </c>
      <c r="X314" t="str">
        <f t="shared" si="215"/>
        <v>-</v>
      </c>
      <c r="Y314" t="str">
        <f t="shared" si="216"/>
        <v>-</v>
      </c>
      <c r="Z314" t="str">
        <f t="shared" si="217"/>
        <v>-</v>
      </c>
      <c r="AA314" t="str">
        <f t="shared" si="218"/>
        <v>-</v>
      </c>
      <c r="AB314" t="str">
        <f t="shared" si="219"/>
        <v>-</v>
      </c>
      <c r="AC314" t="str">
        <f t="shared" si="220"/>
        <v>-</v>
      </c>
    </row>
    <row r="315" spans="1:29" x14ac:dyDescent="0.3">
      <c r="A315" t="s">
        <v>414</v>
      </c>
      <c r="B315" t="str">
        <f t="shared" ref="B315:B378" si="277">B211</f>
        <v>Detached</v>
      </c>
      <c r="C315">
        <f t="shared" ref="C315:D315" si="278">C107</f>
        <v>2</v>
      </c>
      <c r="D315">
        <f t="shared" si="278"/>
        <v>1</v>
      </c>
      <c r="E315">
        <f>AVERAGEIFS('Region 2'!$W$2:$W$498,'Region 2'!$A$2:$A$498,E$1,'Region 2'!$X$2:$X$498,$D315,'Region 2'!$S$2:$S$498,$A315)</f>
        <v>1.128673130286399</v>
      </c>
      <c r="F315">
        <f>AVERAGEIFS('Region 2'!$W$2:$W$498,'Region 2'!$A$2:$A$498,F$1,'Region 2'!$X$2:$X$498,$D315,'Region 2'!$S$2:$S$498,$A315)</f>
        <v>0.47552447552447552</v>
      </c>
      <c r="G315" t="e">
        <f>AVERAGEIFS('Region 2'!$W$2:$W$498,'Region 2'!$A$2:$A$498,G$1,'Region 2'!$X$2:$X$498,$D315,'Region 2'!$S$2:$S$498,$A315)</f>
        <v>#DIV/0!</v>
      </c>
      <c r="H315" t="e">
        <f>AVERAGEIFS('Region 2'!$W$2:$W$498,'Region 2'!$A$2:$A$498,H$1,'Region 2'!$X$2:$X$498,$D315,'Region 2'!$S$2:$S$498,$A315)</f>
        <v>#DIV/0!</v>
      </c>
      <c r="I315" t="e">
        <f>AVERAGEIFS('Region 2'!$W$2:$W$498,'Region 2'!$A$2:$A$498,I$1,'Region 2'!$X$2:$X$498,$D315,'Region 2'!$S$2:$S$498,$A315)</f>
        <v>#DIV/0!</v>
      </c>
      <c r="J315" t="e">
        <f>AVERAGEIFS('Region 2'!$W$2:$W$498,'Region 2'!$A$2:$A$498,J$1,'Region 2'!$X$2:$X$498,$D315,'Region 2'!$S$2:$S$498,$A315)</f>
        <v>#DIV/0!</v>
      </c>
      <c r="K315" t="e">
        <f>AVERAGEIFS('Region 2'!$W$2:$W$498,'Region 2'!$A$2:$A$498,K$1,'Region 2'!$X$2:$X$498,$D315,'Region 2'!$S$2:$S$498,$A315)</f>
        <v>#DIV/0!</v>
      </c>
      <c r="L315" t="e">
        <f>AVERAGEIFS('Region 2'!$W$2:$W$498,'Region 2'!$A$2:$A$498,L$1,'Region 2'!$X$2:$X$498,$D315,'Region 2'!$S$2:$S$498,$A315)</f>
        <v>#DIV/0!</v>
      </c>
      <c r="M315" t="e">
        <f>AVERAGEIFS('Region 2'!$W$2:$W$498,'Region 2'!$A$2:$A$498,M$1,'Region 2'!$X$2:$X$498,$D315,'Region 2'!$S$2:$S$498,$A315)</f>
        <v>#DIV/0!</v>
      </c>
      <c r="N315" t="e">
        <f>AVERAGEIFS('Region 2'!$W$2:$W$498,'Region 2'!$A$2:$A$498,N$1,'Region 2'!$X$2:$X$498,$D315,'Region 2'!$S$2:$S$498,$A315)</f>
        <v>#DIV/0!</v>
      </c>
      <c r="Q315" t="str">
        <f t="shared" si="229"/>
        <v>Copper</v>
      </c>
      <c r="R315" t="str">
        <f t="shared" si="230"/>
        <v>Detached</v>
      </c>
      <c r="S315">
        <f t="shared" si="231"/>
        <v>2</v>
      </c>
      <c r="T315">
        <f t="shared" si="211"/>
        <v>1.128673130286399</v>
      </c>
      <c r="U315">
        <f t="shared" si="212"/>
        <v>0.47552447552447552</v>
      </c>
      <c r="V315" t="str">
        <f t="shared" si="213"/>
        <v>-</v>
      </c>
      <c r="W315" t="str">
        <f t="shared" si="214"/>
        <v>-</v>
      </c>
      <c r="X315" t="str">
        <f t="shared" si="215"/>
        <v>-</v>
      </c>
      <c r="Y315" t="str">
        <f t="shared" si="216"/>
        <v>-</v>
      </c>
      <c r="Z315" t="str">
        <f t="shared" si="217"/>
        <v>-</v>
      </c>
      <c r="AA315" t="str">
        <f t="shared" si="218"/>
        <v>-</v>
      </c>
      <c r="AB315" t="str">
        <f t="shared" si="219"/>
        <v>-</v>
      </c>
      <c r="AC315" t="str">
        <f t="shared" si="220"/>
        <v>-</v>
      </c>
    </row>
    <row r="316" spans="1:29" x14ac:dyDescent="0.3">
      <c r="A316" t="s">
        <v>414</v>
      </c>
      <c r="B316" t="str">
        <f t="shared" si="277"/>
        <v>Detached</v>
      </c>
      <c r="C316">
        <f t="shared" ref="C316:D316" si="279">C108</f>
        <v>3</v>
      </c>
      <c r="D316">
        <f t="shared" si="279"/>
        <v>1</v>
      </c>
      <c r="E316" t="e">
        <f ca="1">AVERAGEIFS('Region 3'!$W$2:$W$500,'Region 3'!$A$2:$A$500,E$1,'Region 3'!$X$2:$X$500,$D316,'Region 3'!$S$2:$S$500,$A316)</f>
        <v>#DIV/0!</v>
      </c>
      <c r="F316" t="e">
        <f ca="1">AVERAGEIFS('Region 3'!$W$2:$W$500,'Region 3'!$A$2:$A$500,F$1,'Region 3'!$X$2:$X$500,$D316,'Region 3'!$S$2:$S$500,$A316)</f>
        <v>#DIV/0!</v>
      </c>
      <c r="G316" t="e">
        <f ca="1">AVERAGEIFS('Region 3'!$W$2:$W$500,'Region 3'!$A$2:$A$500,G$1,'Region 3'!$X$2:$X$500,$D316,'Region 3'!$S$2:$S$500,$A316)</f>
        <v>#DIV/0!</v>
      </c>
      <c r="H316" t="e">
        <f ca="1">AVERAGEIFS('Region 3'!$W$2:$W$500,'Region 3'!$A$2:$A$500,H$1,'Region 3'!$X$2:$X$500,$D316,'Region 3'!$S$2:$S$500,$A316)</f>
        <v>#DIV/0!</v>
      </c>
      <c r="I316" t="e">
        <f ca="1">AVERAGEIFS('Region 3'!$W$2:$W$500,'Region 3'!$A$2:$A$500,I$1,'Region 3'!$X$2:$X$500,$D316,'Region 3'!$S$2:$S$500,$A316)</f>
        <v>#DIV/0!</v>
      </c>
      <c r="J316" t="e">
        <f ca="1">AVERAGEIFS('Region 3'!$W$2:$W$500,'Region 3'!$A$2:$A$500,J$1,'Region 3'!$X$2:$X$500,$D316,'Region 3'!$S$2:$S$500,$A316)</f>
        <v>#DIV/0!</v>
      </c>
      <c r="K316" t="e">
        <f ca="1">AVERAGEIFS('Region 3'!$W$2:$W$500,'Region 3'!$A$2:$A$500,K$1,'Region 3'!$X$2:$X$500,$D316,'Region 3'!$S$2:$S$500,$A316)</f>
        <v>#DIV/0!</v>
      </c>
      <c r="L316" t="e">
        <f ca="1">AVERAGEIFS('Region 3'!$W$2:$W$500,'Region 3'!$A$2:$A$500,L$1,'Region 3'!$X$2:$X$500,$D316,'Region 3'!$S$2:$S$500,$A316)</f>
        <v>#DIV/0!</v>
      </c>
      <c r="M316" t="e">
        <f ca="1">AVERAGEIFS('Region 3'!$W$2:$W$500,'Region 3'!$A$2:$A$500,M$1,'Region 3'!$X$2:$X$500,$D316,'Region 3'!$S$2:$S$500,$A316)</f>
        <v>#DIV/0!</v>
      </c>
      <c r="N316" t="e">
        <f ca="1">AVERAGEIFS('Region 3'!$W$2:$W$500,'Region 3'!$A$2:$A$500,N$1,'Region 3'!$X$2:$X$500,$D316,'Region 3'!$S$2:$S$500,$A316)</f>
        <v>#DIV/0!</v>
      </c>
      <c r="Q316" t="str">
        <f t="shared" si="229"/>
        <v>Copper</v>
      </c>
      <c r="R316" t="str">
        <f t="shared" si="230"/>
        <v>Detached</v>
      </c>
      <c r="S316">
        <f t="shared" si="231"/>
        <v>3</v>
      </c>
      <c r="T316" t="str">
        <f t="shared" ca="1" si="211"/>
        <v>-</v>
      </c>
      <c r="U316" t="str">
        <f t="shared" ca="1" si="212"/>
        <v>-</v>
      </c>
      <c r="V316" t="str">
        <f t="shared" ca="1" si="213"/>
        <v>-</v>
      </c>
      <c r="W316" t="str">
        <f t="shared" ca="1" si="214"/>
        <v>-</v>
      </c>
      <c r="X316" t="str">
        <f t="shared" ca="1" si="215"/>
        <v>-</v>
      </c>
      <c r="Y316" t="str">
        <f t="shared" ca="1" si="216"/>
        <v>-</v>
      </c>
      <c r="Z316" t="str">
        <f t="shared" ca="1" si="217"/>
        <v>-</v>
      </c>
      <c r="AA316" t="str">
        <f t="shared" ca="1" si="218"/>
        <v>-</v>
      </c>
      <c r="AB316" t="str">
        <f t="shared" ca="1" si="219"/>
        <v>-</v>
      </c>
      <c r="AC316" t="str">
        <f t="shared" ca="1" si="220"/>
        <v>-</v>
      </c>
    </row>
    <row r="317" spans="1:29" x14ac:dyDescent="0.3">
      <c r="A317" t="s">
        <v>414</v>
      </c>
      <c r="B317" t="str">
        <f t="shared" si="277"/>
        <v>Detached</v>
      </c>
      <c r="C317">
        <f t="shared" ref="C317:D317" si="280">C109</f>
        <v>4</v>
      </c>
      <c r="D317">
        <f t="shared" si="280"/>
        <v>1</v>
      </c>
      <c r="E317" t="e">
        <f>AVERAGEIFS('Region 4'!$W$2:$W$10,'Region 4'!$A$2:$A$10,E$1,'Region 4'!$X$2:$X$10,$D317,'Region 4'!$S$2:$S$10,$A317)</f>
        <v>#DIV/0!</v>
      </c>
      <c r="F317" t="e">
        <f>AVERAGEIFS('Region 4'!$W$2:$W$10,'Region 4'!$A$2:$A$10,F$1,'Region 4'!$X$2:$X$10,$D317,'Region 4'!$S$2:$S$10,$A317)</f>
        <v>#DIV/0!</v>
      </c>
      <c r="G317" t="e">
        <f>AVERAGEIFS('Region 4'!$W$2:$W$10,'Region 4'!$A$2:$A$10,G$1,'Region 4'!$X$2:$X$10,$D317,'Region 4'!$S$2:$S$10,$A317)</f>
        <v>#DIV/0!</v>
      </c>
      <c r="H317" t="e">
        <f>AVERAGEIFS('Region 4'!$W$2:$W$10,'Region 4'!$A$2:$A$10,H$1,'Region 4'!$X$2:$X$10,$D317,'Region 4'!$S$2:$S$10,$A317)</f>
        <v>#DIV/0!</v>
      </c>
      <c r="I317" t="e">
        <f>AVERAGEIFS('Region 4'!$W$2:$W$10,'Region 4'!$A$2:$A$10,I$1,'Region 4'!$X$2:$X$10,$D317,'Region 4'!$S$2:$S$10,$A317)</f>
        <v>#DIV/0!</v>
      </c>
      <c r="J317" t="e">
        <f>AVERAGEIFS('Region 4'!$W$2:$W$10,'Region 4'!$A$2:$A$10,J$1,'Region 4'!$X$2:$X$10,$D317,'Region 4'!$S$2:$S$10,$A317)</f>
        <v>#DIV/0!</v>
      </c>
      <c r="K317" t="e">
        <f>AVERAGEIFS('Region 4'!$W$2:$W$10,'Region 4'!$A$2:$A$10,K$1,'Region 4'!$X$2:$X$10,$D317,'Region 4'!$S$2:$S$10,$A317)</f>
        <v>#DIV/0!</v>
      </c>
      <c r="L317" t="e">
        <f>AVERAGEIFS('Region 4'!$W$2:$W$10,'Region 4'!$A$2:$A$10,L$1,'Region 4'!$X$2:$X$10,$D317,'Region 4'!$S$2:$S$10,$A317)</f>
        <v>#DIV/0!</v>
      </c>
      <c r="M317" t="e">
        <f>AVERAGEIFS('Region 4'!$W$2:$W$10,'Region 4'!$A$2:$A$10,M$1,'Region 4'!$X$2:$X$10,$D317,'Region 4'!$S$2:$S$10,$A317)</f>
        <v>#DIV/0!</v>
      </c>
      <c r="N317" t="e">
        <f>AVERAGEIFS('Region 4'!$W$2:$W$10,'Region 4'!$A$2:$A$10,N$1,'Region 4'!$X$2:$X$10,$D317,'Region 4'!$S$2:$S$10,$A317)</f>
        <v>#DIV/0!</v>
      </c>
      <c r="Q317" t="str">
        <f t="shared" si="229"/>
        <v>Copper</v>
      </c>
      <c r="R317" t="str">
        <f t="shared" si="230"/>
        <v>Detached</v>
      </c>
      <c r="S317">
        <f t="shared" si="231"/>
        <v>4</v>
      </c>
      <c r="T317" t="str">
        <f t="shared" si="211"/>
        <v>-</v>
      </c>
      <c r="U317" t="str">
        <f t="shared" si="212"/>
        <v>-</v>
      </c>
      <c r="V317" t="str">
        <f t="shared" si="213"/>
        <v>-</v>
      </c>
      <c r="W317" t="str">
        <f t="shared" si="214"/>
        <v>-</v>
      </c>
      <c r="X317" t="str">
        <f t="shared" si="215"/>
        <v>-</v>
      </c>
      <c r="Y317" t="str">
        <f t="shared" si="216"/>
        <v>-</v>
      </c>
      <c r="Z317" t="str">
        <f t="shared" si="217"/>
        <v>-</v>
      </c>
      <c r="AA317" t="str">
        <f t="shared" si="218"/>
        <v>-</v>
      </c>
      <c r="AB317" t="str">
        <f t="shared" si="219"/>
        <v>-</v>
      </c>
      <c r="AC317" t="str">
        <f t="shared" si="220"/>
        <v>-</v>
      </c>
    </row>
    <row r="318" spans="1:29" x14ac:dyDescent="0.3">
      <c r="A318" t="s">
        <v>414</v>
      </c>
      <c r="B318" t="str">
        <f t="shared" si="277"/>
        <v>Detached</v>
      </c>
      <c r="C318">
        <f t="shared" ref="C318:D318" si="281">C110</f>
        <v>5</v>
      </c>
      <c r="D318">
        <f t="shared" si="281"/>
        <v>1</v>
      </c>
      <c r="E318" t="e">
        <f>AVERAGEIFS('Region 5'!$W$2:$W$496,'Region 5'!$A$2:$A$496,E$1,'Region 5'!$X$2:$X$496,$D318,'Region 5'!$S$2:$S$496,$A318)</f>
        <v>#DIV/0!</v>
      </c>
      <c r="F318" t="e">
        <f>AVERAGEIFS('Region 5'!$W$2:$W$496,'Region 5'!$A$2:$A$496,F$1,'Region 5'!$X$2:$X$496,$D318,'Region 5'!$S$2:$S$496,$A318)</f>
        <v>#DIV/0!</v>
      </c>
      <c r="G318" t="e">
        <f>AVERAGEIFS('Region 5'!$W$2:$W$496,'Region 5'!$A$2:$A$496,G$1,'Region 5'!$X$2:$X$496,$D318,'Region 5'!$S$2:$S$496,$A318)</f>
        <v>#DIV/0!</v>
      </c>
      <c r="H318" t="e">
        <f>AVERAGEIFS('Region 5'!$W$2:$W$496,'Region 5'!$A$2:$A$496,H$1,'Region 5'!$X$2:$X$496,$D318,'Region 5'!$S$2:$S$496,$A318)</f>
        <v>#DIV/0!</v>
      </c>
      <c r="I318" t="e">
        <f>AVERAGEIFS('Region 5'!$W$2:$W$496,'Region 5'!$A$2:$A$496,I$1,'Region 5'!$X$2:$X$496,$D318,'Region 5'!$S$2:$S$496,$A318)</f>
        <v>#DIV/0!</v>
      </c>
      <c r="J318" t="e">
        <f>AVERAGEIFS('Region 5'!$W$2:$W$496,'Region 5'!$A$2:$A$496,J$1,'Region 5'!$X$2:$X$496,$D318,'Region 5'!$S$2:$S$496,$A318)</f>
        <v>#DIV/0!</v>
      </c>
      <c r="K318" t="e">
        <f>AVERAGEIFS('Region 5'!$W$2:$W$496,'Region 5'!$A$2:$A$496,K$1,'Region 5'!$X$2:$X$496,$D318,'Region 5'!$S$2:$S$496,$A318)</f>
        <v>#DIV/0!</v>
      </c>
      <c r="L318" t="e">
        <f>AVERAGEIFS('Region 5'!$W$2:$W$496,'Region 5'!$A$2:$A$496,L$1,'Region 5'!$X$2:$X$496,$D318,'Region 5'!$S$2:$S$496,$A318)</f>
        <v>#DIV/0!</v>
      </c>
      <c r="M318" t="e">
        <f>AVERAGEIFS('Region 5'!$W$2:$W$496,'Region 5'!$A$2:$A$496,M$1,'Region 5'!$X$2:$X$496,$D318,'Region 5'!$S$2:$S$496,$A318)</f>
        <v>#DIV/0!</v>
      </c>
      <c r="N318" t="e">
        <f>AVERAGEIFS('Region 5'!$W$2:$W$496,'Region 5'!$A$2:$A$496,N$1,'Region 5'!$X$2:$X$496,$D318,'Region 5'!$S$2:$S$496,$A318)</f>
        <v>#DIV/0!</v>
      </c>
      <c r="Q318" t="str">
        <f t="shared" si="229"/>
        <v>Copper</v>
      </c>
      <c r="R318" t="str">
        <f t="shared" si="230"/>
        <v>Detached</v>
      </c>
      <c r="S318">
        <f t="shared" si="231"/>
        <v>5</v>
      </c>
      <c r="T318" t="str">
        <f t="shared" si="211"/>
        <v>-</v>
      </c>
      <c r="U318" t="str">
        <f t="shared" si="212"/>
        <v>-</v>
      </c>
      <c r="V318" t="str">
        <f t="shared" si="213"/>
        <v>-</v>
      </c>
      <c r="W318" t="str">
        <f t="shared" si="214"/>
        <v>-</v>
      </c>
      <c r="X318" t="str">
        <f t="shared" si="215"/>
        <v>-</v>
      </c>
      <c r="Y318" t="str">
        <f t="shared" si="216"/>
        <v>-</v>
      </c>
      <c r="Z318" t="str">
        <f t="shared" si="217"/>
        <v>-</v>
      </c>
      <c r="AA318" t="str">
        <f t="shared" si="218"/>
        <v>-</v>
      </c>
      <c r="AB318" t="str">
        <f t="shared" si="219"/>
        <v>-</v>
      </c>
      <c r="AC318" t="str">
        <f t="shared" si="220"/>
        <v>-</v>
      </c>
    </row>
    <row r="319" spans="1:29" x14ac:dyDescent="0.3">
      <c r="A319" t="s">
        <v>414</v>
      </c>
      <c r="B319" t="str">
        <f t="shared" si="277"/>
        <v>Detached</v>
      </c>
      <c r="C319">
        <f t="shared" ref="C319:D319" si="282">C111</f>
        <v>6</v>
      </c>
      <c r="D319">
        <f t="shared" si="282"/>
        <v>1</v>
      </c>
      <c r="E319" t="e">
        <f>AVERAGEIFS('Region 6'!$W$2:$W$496,'Region 6'!$A$2:$A$496,E$1,'Region 6'!$X$2:$X$496,$D319,'Region 6'!$S$2:$S$496,$A319)</f>
        <v>#DIV/0!</v>
      </c>
      <c r="F319" t="e">
        <f>AVERAGEIFS('Region 6'!$W$2:$W$496,'Region 6'!$A$2:$A$496,F$1,'Region 6'!$X$2:$X$496,$D319,'Region 6'!$S$2:$S$496,$A319)</f>
        <v>#DIV/0!</v>
      </c>
      <c r="G319" t="e">
        <f>AVERAGEIFS('Region 6'!$W$2:$W$496,'Region 6'!$A$2:$A$496,G$1,'Region 6'!$X$2:$X$496,$D319,'Region 6'!$S$2:$S$496,$A319)</f>
        <v>#DIV/0!</v>
      </c>
      <c r="H319" t="e">
        <f>AVERAGEIFS('Region 6'!$W$2:$W$496,'Region 6'!$A$2:$A$496,H$1,'Region 6'!$X$2:$X$496,$D319,'Region 6'!$S$2:$S$496,$A319)</f>
        <v>#DIV/0!</v>
      </c>
      <c r="I319" t="e">
        <f>AVERAGEIFS('Region 6'!$W$2:$W$496,'Region 6'!$A$2:$A$496,I$1,'Region 6'!$X$2:$X$496,$D319,'Region 6'!$S$2:$S$496,$A319)</f>
        <v>#DIV/0!</v>
      </c>
      <c r="J319" t="e">
        <f>AVERAGEIFS('Region 6'!$W$2:$W$496,'Region 6'!$A$2:$A$496,J$1,'Region 6'!$X$2:$X$496,$D319,'Region 6'!$S$2:$S$496,$A319)</f>
        <v>#DIV/0!</v>
      </c>
      <c r="K319" t="e">
        <f>AVERAGEIFS('Region 6'!$W$2:$W$496,'Region 6'!$A$2:$A$496,K$1,'Region 6'!$X$2:$X$496,$D319,'Region 6'!$S$2:$S$496,$A319)</f>
        <v>#DIV/0!</v>
      </c>
      <c r="L319" t="e">
        <f>AVERAGEIFS('Region 6'!$W$2:$W$496,'Region 6'!$A$2:$A$496,L$1,'Region 6'!$X$2:$X$496,$D319,'Region 6'!$S$2:$S$496,$A319)</f>
        <v>#DIV/0!</v>
      </c>
      <c r="M319" t="e">
        <f>AVERAGEIFS('Region 6'!$W$2:$W$496,'Region 6'!$A$2:$A$496,M$1,'Region 6'!$X$2:$X$496,$D319,'Region 6'!$S$2:$S$496,$A319)</f>
        <v>#DIV/0!</v>
      </c>
      <c r="N319" t="e">
        <f>AVERAGEIFS('Region 6'!$W$2:$W$496,'Region 6'!$A$2:$A$496,N$1,'Region 6'!$X$2:$X$496,$D319,'Region 6'!$S$2:$S$496,$A319)</f>
        <v>#DIV/0!</v>
      </c>
      <c r="Q319" t="str">
        <f t="shared" si="229"/>
        <v>Copper</v>
      </c>
      <c r="R319" t="str">
        <f t="shared" si="230"/>
        <v>Detached</v>
      </c>
      <c r="S319">
        <f t="shared" si="231"/>
        <v>6</v>
      </c>
      <c r="T319" t="str">
        <f t="shared" si="211"/>
        <v>-</v>
      </c>
      <c r="U319" t="str">
        <f t="shared" si="212"/>
        <v>-</v>
      </c>
      <c r="V319" t="str">
        <f t="shared" si="213"/>
        <v>-</v>
      </c>
      <c r="W319" t="str">
        <f t="shared" si="214"/>
        <v>-</v>
      </c>
      <c r="X319" t="str">
        <f t="shared" si="215"/>
        <v>-</v>
      </c>
      <c r="Y319" t="str">
        <f t="shared" si="216"/>
        <v>-</v>
      </c>
      <c r="Z319" t="str">
        <f t="shared" si="217"/>
        <v>-</v>
      </c>
      <c r="AA319" t="str">
        <f t="shared" si="218"/>
        <v>-</v>
      </c>
      <c r="AB319" t="str">
        <f t="shared" si="219"/>
        <v>-</v>
      </c>
      <c r="AC319" t="str">
        <f t="shared" si="220"/>
        <v>-</v>
      </c>
    </row>
    <row r="320" spans="1:29" x14ac:dyDescent="0.3">
      <c r="A320" t="s">
        <v>414</v>
      </c>
      <c r="B320" t="str">
        <f t="shared" si="277"/>
        <v>Detached</v>
      </c>
      <c r="C320">
        <f t="shared" ref="C320:D320" si="283">C112</f>
        <v>7</v>
      </c>
      <c r="D320">
        <f t="shared" si="283"/>
        <v>1</v>
      </c>
      <c r="E320" t="e">
        <f ca="1">AVERAGEIFS('Region 7'!$W$2:$W$500,'Region 7'!$A$2:$A$500,E$1,'Region 7'!$X$2:$X$500,$D320,'Region 7'!$S$2:$S$500,$A320)</f>
        <v>#DIV/0!</v>
      </c>
      <c r="F320" t="e">
        <f ca="1">AVERAGEIFS('Region 7'!$W$2:$W$500,'Region 7'!$A$2:$A$500,F$1,'Region 7'!$X$2:$X$500,$D320,'Region 7'!$S$2:$S$500,$A320)</f>
        <v>#DIV/0!</v>
      </c>
      <c r="G320" t="e">
        <f ca="1">AVERAGEIFS('Region 7'!$W$2:$W$500,'Region 7'!$A$2:$A$500,G$1,'Region 7'!$X$2:$X$500,$D320,'Region 7'!$S$2:$S$500,$A320)</f>
        <v>#DIV/0!</v>
      </c>
      <c r="H320" t="e">
        <f ca="1">AVERAGEIFS('Region 7'!$W$2:$W$500,'Region 7'!$A$2:$A$500,H$1,'Region 7'!$X$2:$X$500,$D320,'Region 7'!$S$2:$S$500,$A320)</f>
        <v>#DIV/0!</v>
      </c>
      <c r="I320" t="e">
        <f ca="1">AVERAGEIFS('Region 7'!$W$2:$W$500,'Region 7'!$A$2:$A$500,I$1,'Region 7'!$X$2:$X$500,$D320,'Region 7'!$S$2:$S$500,$A320)</f>
        <v>#DIV/0!</v>
      </c>
      <c r="J320" t="e">
        <f ca="1">AVERAGEIFS('Region 7'!$W$2:$W$500,'Region 7'!$A$2:$A$500,J$1,'Region 7'!$X$2:$X$500,$D320,'Region 7'!$S$2:$S$500,$A320)</f>
        <v>#DIV/0!</v>
      </c>
      <c r="K320" t="e">
        <f ca="1">AVERAGEIFS('Region 7'!$W$2:$W$500,'Region 7'!$A$2:$A$500,K$1,'Region 7'!$X$2:$X$500,$D320,'Region 7'!$S$2:$S$500,$A320)</f>
        <v>#DIV/0!</v>
      </c>
      <c r="L320" t="e">
        <f ca="1">AVERAGEIFS('Region 7'!$W$2:$W$500,'Region 7'!$A$2:$A$500,L$1,'Region 7'!$X$2:$X$500,$D320,'Region 7'!$S$2:$S$500,$A320)</f>
        <v>#DIV/0!</v>
      </c>
      <c r="M320" t="e">
        <f ca="1">AVERAGEIFS('Region 7'!$W$2:$W$500,'Region 7'!$A$2:$A$500,M$1,'Region 7'!$X$2:$X$500,$D320,'Region 7'!$S$2:$S$500,$A320)</f>
        <v>#DIV/0!</v>
      </c>
      <c r="N320" t="e">
        <f ca="1">AVERAGEIFS('Region 7'!$W$2:$W$500,'Region 7'!$A$2:$A$500,N$1,'Region 7'!$X$2:$X$500,$D320,'Region 7'!$S$2:$S$500,$A320)</f>
        <v>#DIV/0!</v>
      </c>
      <c r="Q320" t="str">
        <f t="shared" si="229"/>
        <v>Copper</v>
      </c>
      <c r="R320" t="str">
        <f t="shared" si="230"/>
        <v>Detached</v>
      </c>
      <c r="S320">
        <f t="shared" si="231"/>
        <v>7</v>
      </c>
      <c r="T320" t="str">
        <f t="shared" ca="1" si="211"/>
        <v>-</v>
      </c>
      <c r="U320" t="str">
        <f t="shared" ca="1" si="212"/>
        <v>-</v>
      </c>
      <c r="V320" t="str">
        <f t="shared" ca="1" si="213"/>
        <v>-</v>
      </c>
      <c r="W320" t="str">
        <f t="shared" ca="1" si="214"/>
        <v>-</v>
      </c>
      <c r="X320" t="str">
        <f t="shared" ca="1" si="215"/>
        <v>-</v>
      </c>
      <c r="Y320" t="str">
        <f t="shared" ca="1" si="216"/>
        <v>-</v>
      </c>
      <c r="Z320" t="str">
        <f t="shared" ca="1" si="217"/>
        <v>-</v>
      </c>
      <c r="AA320" t="str">
        <f t="shared" ca="1" si="218"/>
        <v>-</v>
      </c>
      <c r="AB320" t="str">
        <f t="shared" ca="1" si="219"/>
        <v>-</v>
      </c>
      <c r="AC320" t="str">
        <f t="shared" ca="1" si="220"/>
        <v>-</v>
      </c>
    </row>
    <row r="321" spans="1:29" x14ac:dyDescent="0.3">
      <c r="A321" t="s">
        <v>414</v>
      </c>
      <c r="B321" t="str">
        <f t="shared" si="277"/>
        <v>Detached</v>
      </c>
      <c r="C321">
        <f t="shared" ref="C321:D321" si="284">C113</f>
        <v>8</v>
      </c>
      <c r="D321">
        <f t="shared" si="284"/>
        <v>1</v>
      </c>
      <c r="E321" t="e">
        <f>AVERAGEIFS('Region 8'!$W$2:$W$497,'Region 8'!$A$2:$A$497,E$1,'Region 8'!$X$2:$X$497,$D321,'Region 8'!$S$2:$S$497,$A321)</f>
        <v>#DIV/0!</v>
      </c>
      <c r="F321" t="e">
        <f>AVERAGEIFS('Region 8'!$W$2:$W$497,'Region 8'!$A$2:$A$497,F$1,'Region 8'!$X$2:$X$497,$D321,'Region 8'!$S$2:$S$497,$A321)</f>
        <v>#DIV/0!</v>
      </c>
      <c r="G321" t="e">
        <f>AVERAGEIFS('Region 8'!$W$2:$W$497,'Region 8'!$A$2:$A$497,G$1,'Region 8'!$X$2:$X$497,$D321,'Region 8'!$S$2:$S$497,$A321)</f>
        <v>#DIV/0!</v>
      </c>
      <c r="H321" t="e">
        <f>AVERAGEIFS('Region 8'!$W$2:$W$497,'Region 8'!$A$2:$A$497,H$1,'Region 8'!$X$2:$X$497,$D321,'Region 8'!$S$2:$S$497,$A321)</f>
        <v>#DIV/0!</v>
      </c>
      <c r="I321" t="e">
        <f>AVERAGEIFS('Region 8'!$W$2:$W$497,'Region 8'!$A$2:$A$497,I$1,'Region 8'!$X$2:$X$497,$D321,'Region 8'!$S$2:$S$497,$A321)</f>
        <v>#DIV/0!</v>
      </c>
      <c r="J321" t="e">
        <f>AVERAGEIFS('Region 8'!$W$2:$W$497,'Region 8'!$A$2:$A$497,J$1,'Region 8'!$X$2:$X$497,$D321,'Region 8'!$S$2:$S$497,$A321)</f>
        <v>#DIV/0!</v>
      </c>
      <c r="K321" t="e">
        <f>AVERAGEIFS('Region 8'!$W$2:$W$497,'Region 8'!$A$2:$A$497,K$1,'Region 8'!$X$2:$X$497,$D321,'Region 8'!$S$2:$S$497,$A321)</f>
        <v>#DIV/0!</v>
      </c>
      <c r="L321" t="e">
        <f>AVERAGEIFS('Region 8'!$W$2:$W$497,'Region 8'!$A$2:$A$497,L$1,'Region 8'!$X$2:$X$497,$D321,'Region 8'!$S$2:$S$497,$A321)</f>
        <v>#DIV/0!</v>
      </c>
      <c r="M321" t="e">
        <f>AVERAGEIFS('Region 8'!$W$2:$W$497,'Region 8'!$A$2:$A$497,M$1,'Region 8'!$X$2:$X$497,$D321,'Region 8'!$S$2:$S$497,$A321)</f>
        <v>#DIV/0!</v>
      </c>
      <c r="N321" t="e">
        <f>AVERAGEIFS('Region 8'!$W$2:$W$497,'Region 8'!$A$2:$A$497,N$1,'Region 8'!$X$2:$X$497,$D321,'Region 8'!$S$2:$S$497,$A321)</f>
        <v>#DIV/0!</v>
      </c>
      <c r="Q321" t="str">
        <f t="shared" si="229"/>
        <v>Copper</v>
      </c>
      <c r="R321" t="str">
        <f t="shared" si="230"/>
        <v>Detached</v>
      </c>
      <c r="S321">
        <f t="shared" si="231"/>
        <v>8</v>
      </c>
      <c r="T321" t="str">
        <f t="shared" si="211"/>
        <v>-</v>
      </c>
      <c r="U321" t="str">
        <f t="shared" si="212"/>
        <v>-</v>
      </c>
      <c r="V321" t="str">
        <f t="shared" si="213"/>
        <v>-</v>
      </c>
      <c r="W321" t="str">
        <f t="shared" si="214"/>
        <v>-</v>
      </c>
      <c r="X321" t="str">
        <f t="shared" si="215"/>
        <v>-</v>
      </c>
      <c r="Y321" t="str">
        <f t="shared" si="216"/>
        <v>-</v>
      </c>
      <c r="Z321" t="str">
        <f t="shared" si="217"/>
        <v>-</v>
      </c>
      <c r="AA321" t="str">
        <f t="shared" si="218"/>
        <v>-</v>
      </c>
      <c r="AB321" t="str">
        <f t="shared" si="219"/>
        <v>-</v>
      </c>
      <c r="AC321" t="str">
        <f t="shared" si="220"/>
        <v>-</v>
      </c>
    </row>
    <row r="322" spans="1:29" x14ac:dyDescent="0.3">
      <c r="A322" t="s">
        <v>414</v>
      </c>
      <c r="B322" t="str">
        <f t="shared" si="277"/>
        <v>Detached</v>
      </c>
      <c r="C322">
        <f t="shared" ref="C322:D322" si="285">C114</f>
        <v>9</v>
      </c>
      <c r="D322">
        <f t="shared" si="285"/>
        <v>1</v>
      </c>
      <c r="E322" t="e">
        <f ca="1">AVERAGEIFS('Region 9'!$W$2:$W$500,'Region 9'!$A$2:$A$500,E$1,'Region 9'!$X$2:$X$500,$D322,'Region 9'!$S$2:$S$500,$A322)</f>
        <v>#DIV/0!</v>
      </c>
      <c r="F322" t="e">
        <f ca="1">AVERAGEIFS('Region 9'!$W$2:$W$500,'Region 9'!$A$2:$A$500,F$1,'Region 9'!$X$2:$X$500,$D322,'Region 9'!$S$2:$S$500,$A322)</f>
        <v>#DIV/0!</v>
      </c>
      <c r="G322" t="e">
        <f ca="1">AVERAGEIFS('Region 9'!$W$2:$W$500,'Region 9'!$A$2:$A$500,G$1,'Region 9'!$X$2:$X$500,$D322,'Region 9'!$S$2:$S$500,$A322)</f>
        <v>#DIV/0!</v>
      </c>
      <c r="H322" t="e">
        <f ca="1">AVERAGEIFS('Region 9'!$W$2:$W$500,'Region 9'!$A$2:$A$500,H$1,'Region 9'!$X$2:$X$500,$D322,'Region 9'!$S$2:$S$500,$A322)</f>
        <v>#DIV/0!</v>
      </c>
      <c r="I322" t="e">
        <f ca="1">AVERAGEIFS('Region 9'!$W$2:$W$500,'Region 9'!$A$2:$A$500,I$1,'Region 9'!$X$2:$X$500,$D322,'Region 9'!$S$2:$S$500,$A322)</f>
        <v>#DIV/0!</v>
      </c>
      <c r="J322" t="e">
        <f ca="1">AVERAGEIFS('Region 9'!$W$2:$W$500,'Region 9'!$A$2:$A$500,J$1,'Region 9'!$X$2:$X$500,$D322,'Region 9'!$S$2:$S$500,$A322)</f>
        <v>#DIV/0!</v>
      </c>
      <c r="K322" t="e">
        <f ca="1">AVERAGEIFS('Region 9'!$W$2:$W$500,'Region 9'!$A$2:$A$500,K$1,'Region 9'!$X$2:$X$500,$D322,'Region 9'!$S$2:$S$500,$A322)</f>
        <v>#DIV/0!</v>
      </c>
      <c r="L322" t="e">
        <f ca="1">AVERAGEIFS('Region 9'!$W$2:$W$500,'Region 9'!$A$2:$A$500,L$1,'Region 9'!$X$2:$X$500,$D322,'Region 9'!$S$2:$S$500,$A322)</f>
        <v>#DIV/0!</v>
      </c>
      <c r="M322" t="e">
        <f ca="1">AVERAGEIFS('Region 9'!$W$2:$W$500,'Region 9'!$A$2:$A$500,M$1,'Region 9'!$X$2:$X$500,$D322,'Region 9'!$S$2:$S$500,$A322)</f>
        <v>#DIV/0!</v>
      </c>
      <c r="N322" t="e">
        <f ca="1">AVERAGEIFS('Region 9'!$W$2:$W$500,'Region 9'!$A$2:$A$500,N$1,'Region 9'!$X$2:$X$500,$D322,'Region 9'!$S$2:$S$500,$A322)</f>
        <v>#DIV/0!</v>
      </c>
      <c r="Q322" t="str">
        <f t="shared" si="229"/>
        <v>Copper</v>
      </c>
      <c r="R322" t="str">
        <f t="shared" si="230"/>
        <v>Detached</v>
      </c>
      <c r="S322">
        <f t="shared" si="231"/>
        <v>9</v>
      </c>
      <c r="T322" t="str">
        <f t="shared" ca="1" si="211"/>
        <v>-</v>
      </c>
      <c r="U322" t="str">
        <f t="shared" ca="1" si="212"/>
        <v>-</v>
      </c>
      <c r="V322" t="str">
        <f t="shared" ca="1" si="213"/>
        <v>-</v>
      </c>
      <c r="W322" t="str">
        <f t="shared" ca="1" si="214"/>
        <v>-</v>
      </c>
      <c r="X322" t="str">
        <f t="shared" ca="1" si="215"/>
        <v>-</v>
      </c>
      <c r="Y322" t="str">
        <f t="shared" ca="1" si="216"/>
        <v>-</v>
      </c>
      <c r="Z322" t="str">
        <f t="shared" ca="1" si="217"/>
        <v>-</v>
      </c>
      <c r="AA322" t="str">
        <f t="shared" ca="1" si="218"/>
        <v>-</v>
      </c>
      <c r="AB322" t="str">
        <f t="shared" ca="1" si="219"/>
        <v>-</v>
      </c>
      <c r="AC322" t="str">
        <f t="shared" ca="1" si="220"/>
        <v>-</v>
      </c>
    </row>
    <row r="323" spans="1:29" x14ac:dyDescent="0.3">
      <c r="A323" t="s">
        <v>414</v>
      </c>
      <c r="B323" t="str">
        <f t="shared" si="277"/>
        <v>Detached</v>
      </c>
      <c r="C323">
        <f t="shared" ref="C323:D323" si="286">C115</f>
        <v>10</v>
      </c>
      <c r="D323">
        <f t="shared" si="286"/>
        <v>1</v>
      </c>
      <c r="E323">
        <f>AVERAGEIFS('Region 10'!$W$2:$W$500,'Region 10'!$A$2:$A$500,E$1,'Region 10'!$X$2:$X$500,$D323,'Region 10'!$S$2:$S$500,$A323)</f>
        <v>0.76585365853658538</v>
      </c>
      <c r="F323" t="e">
        <f>AVERAGEIFS('Region 10'!$W$2:$W$500,'Region 10'!$A$2:$A$500,F$1,'Region 10'!$X$2:$X$500,$D323,'Region 10'!$S$2:$S$500,$A323)</f>
        <v>#DIV/0!</v>
      </c>
      <c r="G323" t="e">
        <f>AVERAGEIFS('Region 10'!$W$2:$W$500,'Region 10'!$A$2:$A$500,G$1,'Region 10'!$X$2:$X$500,$D323,'Region 10'!$S$2:$S$500,$A323)</f>
        <v>#DIV/0!</v>
      </c>
      <c r="H323" t="e">
        <f>AVERAGEIFS('Region 10'!$W$2:$W$500,'Region 10'!$A$2:$A$500,H$1,'Region 10'!$X$2:$X$500,$D323,'Region 10'!$S$2:$S$500,$A323)</f>
        <v>#DIV/0!</v>
      </c>
      <c r="I323" t="e">
        <f>AVERAGEIFS('Region 10'!$W$2:$W$500,'Region 10'!$A$2:$A$500,I$1,'Region 10'!$X$2:$X$500,$D323,'Region 10'!$S$2:$S$500,$A323)</f>
        <v>#DIV/0!</v>
      </c>
      <c r="J323" t="e">
        <f>AVERAGEIFS('Region 10'!$W$2:$W$500,'Region 10'!$A$2:$A$500,J$1,'Region 10'!$X$2:$X$500,$D323,'Region 10'!$S$2:$S$500,$A323)</f>
        <v>#DIV/0!</v>
      </c>
      <c r="K323" t="e">
        <f>AVERAGEIFS('Region 10'!$W$2:$W$500,'Region 10'!$A$2:$A$500,K$1,'Region 10'!$X$2:$X$500,$D323,'Region 10'!$S$2:$S$500,$A323)</f>
        <v>#DIV/0!</v>
      </c>
      <c r="L323" t="e">
        <f>AVERAGEIFS('Region 10'!$W$2:$W$500,'Region 10'!$A$2:$A$500,L$1,'Region 10'!$X$2:$X$500,$D323,'Region 10'!$S$2:$S$500,$A323)</f>
        <v>#DIV/0!</v>
      </c>
      <c r="M323" t="e">
        <f>AVERAGEIFS('Region 10'!$W$2:$W$500,'Region 10'!$A$2:$A$500,M$1,'Region 10'!$X$2:$X$500,$D323,'Region 10'!$S$2:$S$500,$A323)</f>
        <v>#DIV/0!</v>
      </c>
      <c r="N323" t="e">
        <f>AVERAGEIFS('Region 10'!$W$2:$W$500,'Region 10'!$A$2:$A$500,N$1,'Region 10'!$X$2:$X$500,$D323,'Region 10'!$S$2:$S$500,$A323)</f>
        <v>#DIV/0!</v>
      </c>
      <c r="Q323" t="str">
        <f t="shared" si="229"/>
        <v>Copper</v>
      </c>
      <c r="R323" t="str">
        <f t="shared" si="230"/>
        <v>Detached</v>
      </c>
      <c r="S323">
        <f t="shared" si="231"/>
        <v>10</v>
      </c>
      <c r="T323">
        <f t="shared" ref="T323:T386" si="287">IF(ISNUMBER(E323),E323,"-")</f>
        <v>0.76585365853658538</v>
      </c>
      <c r="U323" t="str">
        <f t="shared" ref="U323:U386" si="288">IF(ISNUMBER(F323),F323,"-")</f>
        <v>-</v>
      </c>
      <c r="V323" t="str">
        <f t="shared" ref="V323:V386" si="289">IF(ISNUMBER(G323),G323,"-")</f>
        <v>-</v>
      </c>
      <c r="W323" t="str">
        <f t="shared" ref="W323:W386" si="290">IF(ISNUMBER(H323),H323,"-")</f>
        <v>-</v>
      </c>
      <c r="X323" t="str">
        <f t="shared" ref="X323:X386" si="291">IF(ISNUMBER(I323),I323,"-")</f>
        <v>-</v>
      </c>
      <c r="Y323" t="str">
        <f t="shared" ref="Y323:Y386" si="292">IF(ISNUMBER(J323),J323,"-")</f>
        <v>-</v>
      </c>
      <c r="Z323" t="str">
        <f t="shared" ref="Z323:Z386" si="293">IF(ISNUMBER(K323),K323,"-")</f>
        <v>-</v>
      </c>
      <c r="AA323" t="str">
        <f t="shared" ref="AA323:AA386" si="294">IF(ISNUMBER(L323),L323,"-")</f>
        <v>-</v>
      </c>
      <c r="AB323" t="str">
        <f t="shared" ref="AB323:AB386" si="295">IF(ISNUMBER(M323),M323,"-")</f>
        <v>-</v>
      </c>
      <c r="AC323" t="str">
        <f t="shared" ref="AC323:AC386" si="296">IF(ISNUMBER(N323),N323,"-")</f>
        <v>-</v>
      </c>
    </row>
    <row r="324" spans="1:29" x14ac:dyDescent="0.3">
      <c r="A324" t="s">
        <v>414</v>
      </c>
      <c r="B324" t="str">
        <f t="shared" si="277"/>
        <v>Detached</v>
      </c>
      <c r="C324">
        <f t="shared" ref="C324:D324" si="297">C116</f>
        <v>11</v>
      </c>
      <c r="D324">
        <f t="shared" si="297"/>
        <v>1</v>
      </c>
      <c r="E324" t="e">
        <f>AVERAGEIFS('Region 11'!$W$2:$W$391,'Region 11'!$A$2:$A$391,E$1,'Region 11'!$X$2:$X$391,$D324,'Region 11'!$S$2:$S$391,$A324)</f>
        <v>#DIV/0!</v>
      </c>
      <c r="F324" t="e">
        <f>AVERAGEIFS('Region 11'!$W$2:$W$391,'Region 11'!$A$2:$A$391,F$1,'Region 11'!$X$2:$X$391,$D324,'Region 11'!$S$2:$S$391,$A324)</f>
        <v>#DIV/0!</v>
      </c>
      <c r="G324">
        <f>AVERAGEIFS('Region 11'!$W$2:$W$391,'Region 11'!$A$2:$A$391,G$1,'Region 11'!$X$2:$X$391,$D324,'Region 11'!$S$2:$S$391,$A324)</f>
        <v>6.7340067340067337E-3</v>
      </c>
      <c r="H324" t="e">
        <f>AVERAGEIFS('Region 11'!$W$2:$W$391,'Region 11'!$A$2:$A$391,H$1,'Region 11'!$X$2:$X$391,$D324,'Region 11'!$S$2:$S$391,$A324)</f>
        <v>#DIV/0!</v>
      </c>
      <c r="I324">
        <f>AVERAGEIFS('Region 11'!$W$2:$W$391,'Region 11'!$A$2:$A$391,I$1,'Region 11'!$X$2:$X$391,$D324,'Region 11'!$S$2:$S$391,$A324)</f>
        <v>0.32294617563739375</v>
      </c>
      <c r="J324" t="e">
        <f>AVERAGEIFS('Region 11'!$W$2:$W$391,'Region 11'!$A$2:$A$391,J$1,'Region 11'!$X$2:$X$391,$D324,'Region 11'!$S$2:$S$391,$A324)</f>
        <v>#DIV/0!</v>
      </c>
      <c r="K324">
        <f>AVERAGEIFS('Region 11'!$W$2:$W$391,'Region 11'!$A$2:$A$391,K$1,'Region 11'!$X$2:$X$391,$D324,'Region 11'!$S$2:$S$391,$A324)</f>
        <v>9</v>
      </c>
      <c r="L324" t="e">
        <f>AVERAGEIFS('Region 11'!$W$2:$W$391,'Region 11'!$A$2:$A$391,L$1,'Region 11'!$X$2:$X$391,$D324,'Region 11'!$S$2:$S$391,$A324)</f>
        <v>#DIV/0!</v>
      </c>
      <c r="M324" t="e">
        <f>AVERAGEIFS('Region 11'!$W$2:$W$391,'Region 11'!$A$2:$A$391,M$1,'Region 11'!$X$2:$X$391,$D324,'Region 11'!$S$2:$S$391,$A324)</f>
        <v>#DIV/0!</v>
      </c>
      <c r="N324" t="e">
        <f>AVERAGEIFS('Region 11'!$W$2:$W$391,'Region 11'!$A$2:$A$391,N$1,'Region 11'!$X$2:$X$391,$D324,'Region 11'!$S$2:$S$391,$A324)</f>
        <v>#DIV/0!</v>
      </c>
      <c r="Q324" t="str">
        <f t="shared" si="229"/>
        <v>Copper</v>
      </c>
      <c r="R324" t="str">
        <f t="shared" si="230"/>
        <v>Detached</v>
      </c>
      <c r="S324">
        <f t="shared" si="231"/>
        <v>11</v>
      </c>
      <c r="T324" t="str">
        <f t="shared" si="287"/>
        <v>-</v>
      </c>
      <c r="U324" t="str">
        <f t="shared" si="288"/>
        <v>-</v>
      </c>
      <c r="V324">
        <f t="shared" si="289"/>
        <v>6.7340067340067337E-3</v>
      </c>
      <c r="W324" t="str">
        <f t="shared" si="290"/>
        <v>-</v>
      </c>
      <c r="X324">
        <f t="shared" si="291"/>
        <v>0.32294617563739375</v>
      </c>
      <c r="Y324" t="str">
        <f t="shared" si="292"/>
        <v>-</v>
      </c>
      <c r="Z324">
        <f t="shared" si="293"/>
        <v>9</v>
      </c>
      <c r="AA324" t="str">
        <f t="shared" si="294"/>
        <v>-</v>
      </c>
      <c r="AB324" t="str">
        <f t="shared" si="295"/>
        <v>-</v>
      </c>
      <c r="AC324" t="str">
        <f t="shared" si="296"/>
        <v>-</v>
      </c>
    </row>
    <row r="325" spans="1:29" x14ac:dyDescent="0.3">
      <c r="A325" t="s">
        <v>414</v>
      </c>
      <c r="B325" t="str">
        <f t="shared" si="277"/>
        <v>Detached</v>
      </c>
      <c r="C325">
        <f t="shared" ref="C325:D325" si="298">C117</f>
        <v>12</v>
      </c>
      <c r="D325">
        <f t="shared" si="298"/>
        <v>1</v>
      </c>
      <c r="E325" t="e">
        <f>AVERAGEIFS('Region 12'!$W$2:$W$459,'Region 12'!$A$2:$A$459,E$1,'Region 12'!$X$2:$X$459,$D325,'Region 12'!$S$2:$S$459,$A325)</f>
        <v>#DIV/0!</v>
      </c>
      <c r="F325" t="e">
        <f>AVERAGEIFS('Region 12'!$W$2:$W$459,'Region 12'!$A$2:$A$459,F$1,'Region 12'!$X$2:$X$459,$D325,'Region 12'!$S$2:$S$459,$A325)</f>
        <v>#DIV/0!</v>
      </c>
      <c r="G325" t="e">
        <f>AVERAGEIFS('Region 12'!$W$2:$W$459,'Region 12'!$A$2:$A$459,G$1,'Region 12'!$X$2:$X$459,$D325,'Region 12'!$S$2:$S$459,$A325)</f>
        <v>#DIV/0!</v>
      </c>
      <c r="H325" t="e">
        <f>AVERAGEIFS('Region 12'!$W$2:$W$459,'Region 12'!$A$2:$A$459,H$1,'Region 12'!$X$2:$X$459,$D325,'Region 12'!$S$2:$S$459,$A325)</f>
        <v>#DIV/0!</v>
      </c>
      <c r="I325" t="e">
        <f>AVERAGEIFS('Region 12'!$W$2:$W$459,'Region 12'!$A$2:$A$459,I$1,'Region 12'!$X$2:$X$459,$D325,'Region 12'!$S$2:$S$459,$A325)</f>
        <v>#DIV/0!</v>
      </c>
      <c r="J325" t="e">
        <f>AVERAGEIFS('Region 12'!$W$2:$W$459,'Region 12'!$A$2:$A$459,J$1,'Region 12'!$X$2:$X$459,$D325,'Region 12'!$S$2:$S$459,$A325)</f>
        <v>#DIV/0!</v>
      </c>
      <c r="K325" t="e">
        <f>AVERAGEIFS('Region 12'!$W$2:$W$459,'Region 12'!$A$2:$A$459,K$1,'Region 12'!$X$2:$X$459,$D325,'Region 12'!$S$2:$S$459,$A325)</f>
        <v>#DIV/0!</v>
      </c>
      <c r="L325" t="e">
        <f>AVERAGEIFS('Region 12'!$W$2:$W$459,'Region 12'!$A$2:$A$459,L$1,'Region 12'!$X$2:$X$459,$D325,'Region 12'!$S$2:$S$459,$A325)</f>
        <v>#DIV/0!</v>
      </c>
      <c r="M325" t="e">
        <f>AVERAGEIFS('Region 12'!$W$2:$W$459,'Region 12'!$A$2:$A$459,M$1,'Region 12'!$X$2:$X$459,$D325,'Region 12'!$S$2:$S$459,$A325)</f>
        <v>#DIV/0!</v>
      </c>
      <c r="N325" t="e">
        <f>AVERAGEIFS('Region 12'!$W$2:$W$459,'Region 12'!$A$2:$A$459,N$1,'Region 12'!$X$2:$X$459,$D325,'Region 12'!$S$2:$S$459,$A325)</f>
        <v>#DIV/0!</v>
      </c>
      <c r="Q325" t="str">
        <f t="shared" si="229"/>
        <v>Copper</v>
      </c>
      <c r="R325" t="str">
        <f t="shared" si="230"/>
        <v>Detached</v>
      </c>
      <c r="S325">
        <f t="shared" si="231"/>
        <v>12</v>
      </c>
      <c r="T325" t="str">
        <f t="shared" si="287"/>
        <v>-</v>
      </c>
      <c r="U325" t="str">
        <f t="shared" si="288"/>
        <v>-</v>
      </c>
      <c r="V325" t="str">
        <f t="shared" si="289"/>
        <v>-</v>
      </c>
      <c r="W325" t="str">
        <f t="shared" si="290"/>
        <v>-</v>
      </c>
      <c r="X325" t="str">
        <f t="shared" si="291"/>
        <v>-</v>
      </c>
      <c r="Y325" t="str">
        <f t="shared" si="292"/>
        <v>-</v>
      </c>
      <c r="Z325" t="str">
        <f t="shared" si="293"/>
        <v>-</v>
      </c>
      <c r="AA325" t="str">
        <f t="shared" si="294"/>
        <v>-</v>
      </c>
      <c r="AB325" t="str">
        <f t="shared" si="295"/>
        <v>-</v>
      </c>
      <c r="AC325" t="str">
        <f t="shared" si="296"/>
        <v>-</v>
      </c>
    </row>
    <row r="326" spans="1:29" x14ac:dyDescent="0.3">
      <c r="A326" t="s">
        <v>414</v>
      </c>
      <c r="B326" t="str">
        <f t="shared" si="277"/>
        <v>Detached</v>
      </c>
      <c r="C326">
        <f t="shared" ref="C326:D326" si="299">C118</f>
        <v>13</v>
      </c>
      <c r="D326">
        <f t="shared" si="299"/>
        <v>1</v>
      </c>
      <c r="E326" t="e">
        <f>AVERAGEIFS('Region 13'!$W$2:$W$500,'Region 13'!$A$2:$A$500,E$1,'Region 13'!$X$2:$X$500,$D326,'Region 13'!$S$2:$S$500,$A326)</f>
        <v>#DIV/0!</v>
      </c>
      <c r="F326" t="e">
        <f>AVERAGEIFS('Region 13'!$W$2:$W$500,'Region 13'!$A$2:$A$500,F$1,'Region 13'!$X$2:$X$500,$D326,'Region 13'!$S$2:$S$500,$A326)</f>
        <v>#DIV/0!</v>
      </c>
      <c r="G326" t="e">
        <f>AVERAGEIFS('Region 13'!$W$2:$W$500,'Region 13'!$A$2:$A$500,G$1,'Region 13'!$X$2:$X$500,$D326,'Region 13'!$S$2:$S$500,$A326)</f>
        <v>#DIV/0!</v>
      </c>
      <c r="H326" t="e">
        <f>AVERAGEIFS('Region 13'!$W$2:$W$500,'Region 13'!$A$2:$A$500,H$1,'Region 13'!$X$2:$X$500,$D326,'Region 13'!$S$2:$S$500,$A326)</f>
        <v>#DIV/0!</v>
      </c>
      <c r="I326" t="e">
        <f>AVERAGEIFS('Region 13'!$W$2:$W$500,'Region 13'!$A$2:$A$500,I$1,'Region 13'!$X$2:$X$500,$D326,'Region 13'!$S$2:$S$500,$A326)</f>
        <v>#DIV/0!</v>
      </c>
      <c r="J326" t="e">
        <f>AVERAGEIFS('Region 13'!$W$2:$W$500,'Region 13'!$A$2:$A$500,J$1,'Region 13'!$X$2:$X$500,$D326,'Region 13'!$S$2:$S$500,$A326)</f>
        <v>#DIV/0!</v>
      </c>
      <c r="K326" t="e">
        <f>AVERAGEIFS('Region 13'!$W$2:$W$500,'Region 13'!$A$2:$A$500,K$1,'Region 13'!$X$2:$X$500,$D326,'Region 13'!$S$2:$S$500,$A326)</f>
        <v>#DIV/0!</v>
      </c>
      <c r="L326" t="e">
        <f>AVERAGEIFS('Region 13'!$W$2:$W$500,'Region 13'!$A$2:$A$500,L$1,'Region 13'!$X$2:$X$500,$D326,'Region 13'!$S$2:$S$500,$A326)</f>
        <v>#DIV/0!</v>
      </c>
      <c r="M326" t="e">
        <f>AVERAGEIFS('Region 13'!$W$2:$W$500,'Region 13'!$A$2:$A$500,M$1,'Region 13'!$X$2:$X$500,$D326,'Region 13'!$S$2:$S$500,$A326)</f>
        <v>#DIV/0!</v>
      </c>
      <c r="N326" t="e">
        <f>AVERAGEIFS('Region 13'!$W$2:$W$500,'Region 13'!$A$2:$A$500,N$1,'Region 13'!$X$2:$X$500,$D326,'Region 13'!$S$2:$S$500,$A326)</f>
        <v>#DIV/0!</v>
      </c>
      <c r="Q326" t="str">
        <f t="shared" si="229"/>
        <v>Copper</v>
      </c>
      <c r="R326" t="str">
        <f t="shared" si="230"/>
        <v>Detached</v>
      </c>
      <c r="S326">
        <f t="shared" si="231"/>
        <v>13</v>
      </c>
      <c r="T326" t="str">
        <f t="shared" si="287"/>
        <v>-</v>
      </c>
      <c r="U326" t="str">
        <f t="shared" si="288"/>
        <v>-</v>
      </c>
      <c r="V326" t="str">
        <f t="shared" si="289"/>
        <v>-</v>
      </c>
      <c r="W326" t="str">
        <f t="shared" si="290"/>
        <v>-</v>
      </c>
      <c r="X326" t="str">
        <f t="shared" si="291"/>
        <v>-</v>
      </c>
      <c r="Y326" t="str">
        <f t="shared" si="292"/>
        <v>-</v>
      </c>
      <c r="Z326" t="str">
        <f t="shared" si="293"/>
        <v>-</v>
      </c>
      <c r="AA326" t="str">
        <f t="shared" si="294"/>
        <v>-</v>
      </c>
      <c r="AB326" t="str">
        <f t="shared" si="295"/>
        <v>-</v>
      </c>
      <c r="AC326" t="str">
        <f t="shared" si="296"/>
        <v>-</v>
      </c>
    </row>
    <row r="327" spans="1:29" x14ac:dyDescent="0.3">
      <c r="A327" t="s">
        <v>414</v>
      </c>
      <c r="B327" t="str">
        <f t="shared" si="277"/>
        <v>Detached</v>
      </c>
      <c r="C327">
        <f t="shared" ref="C327:D327" si="300">C119</f>
        <v>14</v>
      </c>
      <c r="D327">
        <f t="shared" si="300"/>
        <v>1</v>
      </c>
      <c r="E327" t="e">
        <f ca="1">AVERAGEIFS('Region 14'!$W$2:$W$500,'Region 14'!$A$2:$A$500,E$1,'Region 14'!$X$2:$X$500,$D327,'Region 14'!$S$2:$S$500,$A327)</f>
        <v>#DIV/0!</v>
      </c>
      <c r="F327" t="e">
        <f ca="1">AVERAGEIFS('Region 14'!$W$2:$W$500,'Region 14'!$A$2:$A$500,F$1,'Region 14'!$X$2:$X$500,$D327,'Region 14'!$S$2:$S$500,$A327)</f>
        <v>#DIV/0!</v>
      </c>
      <c r="G327" t="e">
        <f ca="1">AVERAGEIFS('Region 14'!$W$2:$W$500,'Region 14'!$A$2:$A$500,G$1,'Region 14'!$X$2:$X$500,$D327,'Region 14'!$S$2:$S$500,$A327)</f>
        <v>#DIV/0!</v>
      </c>
      <c r="H327" t="e">
        <f ca="1">AVERAGEIFS('Region 14'!$W$2:$W$500,'Region 14'!$A$2:$A$500,H$1,'Region 14'!$X$2:$X$500,$D327,'Region 14'!$S$2:$S$500,$A327)</f>
        <v>#DIV/0!</v>
      </c>
      <c r="I327" t="e">
        <f ca="1">AVERAGEIFS('Region 14'!$W$2:$W$500,'Region 14'!$A$2:$A$500,I$1,'Region 14'!$X$2:$X$500,$D327,'Region 14'!$S$2:$S$500,$A327)</f>
        <v>#DIV/0!</v>
      </c>
      <c r="J327" t="e">
        <f ca="1">AVERAGEIFS('Region 14'!$W$2:$W$500,'Region 14'!$A$2:$A$500,J$1,'Region 14'!$X$2:$X$500,$D327,'Region 14'!$S$2:$S$500,$A327)</f>
        <v>#DIV/0!</v>
      </c>
      <c r="K327" t="e">
        <f ca="1">AVERAGEIFS('Region 14'!$W$2:$W$500,'Region 14'!$A$2:$A$500,K$1,'Region 14'!$X$2:$X$500,$D327,'Region 14'!$S$2:$S$500,$A327)</f>
        <v>#DIV/0!</v>
      </c>
      <c r="L327" t="e">
        <f ca="1">AVERAGEIFS('Region 14'!$W$2:$W$500,'Region 14'!$A$2:$A$500,L$1,'Region 14'!$X$2:$X$500,$D327,'Region 14'!$S$2:$S$500,$A327)</f>
        <v>#DIV/0!</v>
      </c>
      <c r="M327" t="e">
        <f ca="1">AVERAGEIFS('Region 14'!$W$2:$W$500,'Region 14'!$A$2:$A$500,M$1,'Region 14'!$X$2:$X$500,$D327,'Region 14'!$S$2:$S$500,$A327)</f>
        <v>#DIV/0!</v>
      </c>
      <c r="N327" t="e">
        <f ca="1">AVERAGEIFS('Region 14'!$W$2:$W$500,'Region 14'!$A$2:$A$500,N$1,'Region 14'!$X$2:$X$500,$D327,'Region 14'!$S$2:$S$500,$A327)</f>
        <v>#DIV/0!</v>
      </c>
      <c r="Q327" t="str">
        <f t="shared" si="229"/>
        <v>Copper</v>
      </c>
      <c r="R327" t="str">
        <f t="shared" si="230"/>
        <v>Detached</v>
      </c>
      <c r="S327">
        <f t="shared" si="231"/>
        <v>14</v>
      </c>
      <c r="T327" t="str">
        <f t="shared" ca="1" si="287"/>
        <v>-</v>
      </c>
      <c r="U327" t="str">
        <f t="shared" ca="1" si="288"/>
        <v>-</v>
      </c>
      <c r="V327" t="str">
        <f t="shared" ca="1" si="289"/>
        <v>-</v>
      </c>
      <c r="W327" t="str">
        <f t="shared" ca="1" si="290"/>
        <v>-</v>
      </c>
      <c r="X327" t="str">
        <f t="shared" ca="1" si="291"/>
        <v>-</v>
      </c>
      <c r="Y327" t="str">
        <f t="shared" ca="1" si="292"/>
        <v>-</v>
      </c>
      <c r="Z327" t="str">
        <f t="shared" ca="1" si="293"/>
        <v>-</v>
      </c>
      <c r="AA327" t="str">
        <f t="shared" ca="1" si="294"/>
        <v>-</v>
      </c>
      <c r="AB327" t="str">
        <f t="shared" ca="1" si="295"/>
        <v>-</v>
      </c>
      <c r="AC327" t="str">
        <f t="shared" ca="1" si="296"/>
        <v>-</v>
      </c>
    </row>
    <row r="328" spans="1:29" x14ac:dyDescent="0.3">
      <c r="A328" t="s">
        <v>414</v>
      </c>
      <c r="B328" t="str">
        <f t="shared" si="277"/>
        <v>Detached</v>
      </c>
      <c r="C328">
        <f t="shared" ref="C328:D328" si="301">C120</f>
        <v>15</v>
      </c>
      <c r="D328">
        <f t="shared" si="301"/>
        <v>1</v>
      </c>
      <c r="E328" t="e">
        <f ca="1">AVERAGEIFS('Region 15'!$W$2:$W$500,'Region 15'!$A$2:$A$500,E$1,'Region 15'!$X$2:$X$500,$D328,'Region 15'!$S$2:$S$500,$A328)</f>
        <v>#DIV/0!</v>
      </c>
      <c r="F328" t="e">
        <f ca="1">AVERAGEIFS('Region 15'!$W$2:$W$500,'Region 15'!$A$2:$A$500,F$1,'Region 15'!$X$2:$X$500,$D328,'Region 15'!$S$2:$S$500,$A328)</f>
        <v>#DIV/0!</v>
      </c>
      <c r="G328" t="e">
        <f ca="1">AVERAGEIFS('Region 15'!$W$2:$W$500,'Region 15'!$A$2:$A$500,G$1,'Region 15'!$X$2:$X$500,$D328,'Region 15'!$S$2:$S$500,$A328)</f>
        <v>#DIV/0!</v>
      </c>
      <c r="H328" t="e">
        <f ca="1">AVERAGEIFS('Region 15'!$W$2:$W$500,'Region 15'!$A$2:$A$500,H$1,'Region 15'!$X$2:$X$500,$D328,'Region 15'!$S$2:$S$500,$A328)</f>
        <v>#DIV/0!</v>
      </c>
      <c r="I328" t="e">
        <f ca="1">AVERAGEIFS('Region 15'!$W$2:$W$500,'Region 15'!$A$2:$A$500,I$1,'Region 15'!$X$2:$X$500,$D328,'Region 15'!$S$2:$S$500,$A328)</f>
        <v>#DIV/0!</v>
      </c>
      <c r="J328" t="e">
        <f ca="1">AVERAGEIFS('Region 15'!$W$2:$W$500,'Region 15'!$A$2:$A$500,J$1,'Region 15'!$X$2:$X$500,$D328,'Region 15'!$S$2:$S$500,$A328)</f>
        <v>#DIV/0!</v>
      </c>
      <c r="K328" t="e">
        <f ca="1">AVERAGEIFS('Region 15'!$W$2:$W$500,'Region 15'!$A$2:$A$500,K$1,'Region 15'!$X$2:$X$500,$D328,'Region 15'!$S$2:$S$500,$A328)</f>
        <v>#DIV/0!</v>
      </c>
      <c r="L328" t="e">
        <f ca="1">AVERAGEIFS('Region 15'!$W$2:$W$500,'Region 15'!$A$2:$A$500,L$1,'Region 15'!$X$2:$X$500,$D328,'Region 15'!$S$2:$S$500,$A328)</f>
        <v>#DIV/0!</v>
      </c>
      <c r="M328" t="e">
        <f ca="1">AVERAGEIFS('Region 15'!$W$2:$W$500,'Region 15'!$A$2:$A$500,M$1,'Region 15'!$X$2:$X$500,$D328,'Region 15'!$S$2:$S$500,$A328)</f>
        <v>#DIV/0!</v>
      </c>
      <c r="N328" t="e">
        <f ca="1">AVERAGEIFS('Region 15'!$W$2:$W$500,'Region 15'!$A$2:$A$500,N$1,'Region 15'!$X$2:$X$500,$D328,'Region 15'!$S$2:$S$500,$A328)</f>
        <v>#DIV/0!</v>
      </c>
      <c r="Q328" t="str">
        <f t="shared" si="229"/>
        <v>Copper</v>
      </c>
      <c r="R328" t="str">
        <f t="shared" si="230"/>
        <v>Detached</v>
      </c>
      <c r="S328">
        <f t="shared" si="231"/>
        <v>15</v>
      </c>
      <c r="T328" t="str">
        <f t="shared" ca="1" si="287"/>
        <v>-</v>
      </c>
      <c r="U328" t="str">
        <f t="shared" ca="1" si="288"/>
        <v>-</v>
      </c>
      <c r="V328" t="str">
        <f t="shared" ca="1" si="289"/>
        <v>-</v>
      </c>
      <c r="W328" t="str">
        <f t="shared" ca="1" si="290"/>
        <v>-</v>
      </c>
      <c r="X328" t="str">
        <f t="shared" ca="1" si="291"/>
        <v>-</v>
      </c>
      <c r="Y328" t="str">
        <f t="shared" ca="1" si="292"/>
        <v>-</v>
      </c>
      <c r="Z328" t="str">
        <f t="shared" ca="1" si="293"/>
        <v>-</v>
      </c>
      <c r="AA328" t="str">
        <f t="shared" ca="1" si="294"/>
        <v>-</v>
      </c>
      <c r="AB328" t="str">
        <f t="shared" ca="1" si="295"/>
        <v>-</v>
      </c>
      <c r="AC328" t="str">
        <f t="shared" ca="1" si="296"/>
        <v>-</v>
      </c>
    </row>
    <row r="329" spans="1:29" x14ac:dyDescent="0.3">
      <c r="A329" t="s">
        <v>414</v>
      </c>
      <c r="B329" t="str">
        <f t="shared" si="277"/>
        <v>Detached</v>
      </c>
      <c r="C329">
        <f t="shared" ref="C329:D329" si="302">C121</f>
        <v>16</v>
      </c>
      <c r="D329">
        <f t="shared" si="302"/>
        <v>1</v>
      </c>
      <c r="E329" t="e">
        <f ca="1">AVERAGEIFS('Region 16'!$W$2:$W$500,'Region 16'!$A$2:$A$500,E$1,'Region 16'!$X$2:$X$500,$D329,'Region 16'!$S$2:$S$500,$A329)</f>
        <v>#DIV/0!</v>
      </c>
      <c r="F329" t="e">
        <f ca="1">AVERAGEIFS('Region 16'!$W$2:$W$500,'Region 16'!$A$2:$A$500,F$1,'Region 16'!$X$2:$X$500,$D329,'Region 16'!$S$2:$S$500,$A329)</f>
        <v>#DIV/0!</v>
      </c>
      <c r="G329" t="e">
        <f ca="1">AVERAGEIFS('Region 16'!$W$2:$W$500,'Region 16'!$A$2:$A$500,G$1,'Region 16'!$X$2:$X$500,$D329,'Region 16'!$S$2:$S$500,$A329)</f>
        <v>#DIV/0!</v>
      </c>
      <c r="H329" t="e">
        <f ca="1">AVERAGEIFS('Region 16'!$W$2:$W$500,'Region 16'!$A$2:$A$500,H$1,'Region 16'!$X$2:$X$500,$D329,'Region 16'!$S$2:$S$500,$A329)</f>
        <v>#DIV/0!</v>
      </c>
      <c r="I329" t="e">
        <f ca="1">AVERAGEIFS('Region 16'!$W$2:$W$500,'Region 16'!$A$2:$A$500,I$1,'Region 16'!$X$2:$X$500,$D329,'Region 16'!$S$2:$S$500,$A329)</f>
        <v>#DIV/0!</v>
      </c>
      <c r="J329" t="e">
        <f ca="1">AVERAGEIFS('Region 16'!$W$2:$W$500,'Region 16'!$A$2:$A$500,J$1,'Region 16'!$X$2:$X$500,$D329,'Region 16'!$S$2:$S$500,$A329)</f>
        <v>#DIV/0!</v>
      </c>
      <c r="K329" t="e">
        <f ca="1">AVERAGEIFS('Region 16'!$W$2:$W$500,'Region 16'!$A$2:$A$500,K$1,'Region 16'!$X$2:$X$500,$D329,'Region 16'!$S$2:$S$500,$A329)</f>
        <v>#DIV/0!</v>
      </c>
      <c r="L329" t="e">
        <f ca="1">AVERAGEIFS('Region 16'!$W$2:$W$500,'Region 16'!$A$2:$A$500,L$1,'Region 16'!$X$2:$X$500,$D329,'Region 16'!$S$2:$S$500,$A329)</f>
        <v>#DIV/0!</v>
      </c>
      <c r="M329" t="e">
        <f ca="1">AVERAGEIFS('Region 16'!$W$2:$W$500,'Region 16'!$A$2:$A$500,M$1,'Region 16'!$X$2:$X$500,$D329,'Region 16'!$S$2:$S$500,$A329)</f>
        <v>#DIV/0!</v>
      </c>
      <c r="N329" t="e">
        <f ca="1">AVERAGEIFS('Region 16'!$W$2:$W$500,'Region 16'!$A$2:$A$500,N$1,'Region 16'!$X$2:$X$500,$D329,'Region 16'!$S$2:$S$500,$A329)</f>
        <v>#DIV/0!</v>
      </c>
      <c r="Q329" t="str">
        <f t="shared" si="229"/>
        <v>Copper</v>
      </c>
      <c r="R329" t="str">
        <f t="shared" si="230"/>
        <v>Detached</v>
      </c>
      <c r="S329">
        <f t="shared" si="231"/>
        <v>16</v>
      </c>
      <c r="T329" t="str">
        <f t="shared" ca="1" si="287"/>
        <v>-</v>
      </c>
      <c r="U329" t="str">
        <f t="shared" ca="1" si="288"/>
        <v>-</v>
      </c>
      <c r="V329" t="str">
        <f t="shared" ca="1" si="289"/>
        <v>-</v>
      </c>
      <c r="W329" t="str">
        <f t="shared" ca="1" si="290"/>
        <v>-</v>
      </c>
      <c r="X329" t="str">
        <f t="shared" ca="1" si="291"/>
        <v>-</v>
      </c>
      <c r="Y329" t="str">
        <f t="shared" ca="1" si="292"/>
        <v>-</v>
      </c>
      <c r="Z329" t="str">
        <f t="shared" ca="1" si="293"/>
        <v>-</v>
      </c>
      <c r="AA329" t="str">
        <f t="shared" ca="1" si="294"/>
        <v>-</v>
      </c>
      <c r="AB329" t="str">
        <f t="shared" ca="1" si="295"/>
        <v>-</v>
      </c>
      <c r="AC329" t="str">
        <f t="shared" ca="1" si="296"/>
        <v>-</v>
      </c>
    </row>
    <row r="330" spans="1:29" x14ac:dyDescent="0.3">
      <c r="A330" t="s">
        <v>414</v>
      </c>
      <c r="B330" t="str">
        <f t="shared" si="277"/>
        <v>Detached</v>
      </c>
      <c r="C330">
        <f t="shared" ref="C330:D330" si="303">C122</f>
        <v>17</v>
      </c>
      <c r="D330">
        <f t="shared" si="303"/>
        <v>1</v>
      </c>
      <c r="E330" t="e">
        <f>AVERAGEIFS('Region 17'!$W$2:$W$498,'Region 17'!$A$2:$A$498,E$1,'Region 17'!$X$2:$X$498,$D330,'Region 17'!$S$2:$S$498,$A330)</f>
        <v>#DIV/0!</v>
      </c>
      <c r="F330" t="e">
        <f>AVERAGEIFS('Region 17'!$W$2:$W$498,'Region 17'!$A$2:$A$498,F$1,'Region 17'!$X$2:$X$498,$D330,'Region 17'!$S$2:$S$498,$A330)</f>
        <v>#DIV/0!</v>
      </c>
      <c r="G330" t="e">
        <f>AVERAGEIFS('Region 17'!$W$2:$W$498,'Region 17'!$A$2:$A$498,G$1,'Region 17'!$X$2:$X$498,$D330,'Region 17'!$S$2:$S$498,$A330)</f>
        <v>#DIV/0!</v>
      </c>
      <c r="H330" t="e">
        <f>AVERAGEIFS('Region 17'!$W$2:$W$498,'Region 17'!$A$2:$A$498,H$1,'Region 17'!$X$2:$X$498,$D330,'Region 17'!$S$2:$S$498,$A330)</f>
        <v>#DIV/0!</v>
      </c>
      <c r="I330" t="e">
        <f>AVERAGEIFS('Region 17'!$W$2:$W$498,'Region 17'!$A$2:$A$498,I$1,'Region 17'!$X$2:$X$498,$D330,'Region 17'!$S$2:$S$498,$A330)</f>
        <v>#DIV/0!</v>
      </c>
      <c r="J330" t="e">
        <f>AVERAGEIFS('Region 17'!$W$2:$W$498,'Region 17'!$A$2:$A$498,J$1,'Region 17'!$X$2:$X$498,$D330,'Region 17'!$S$2:$S$498,$A330)</f>
        <v>#DIV/0!</v>
      </c>
      <c r="K330" t="e">
        <f>AVERAGEIFS('Region 17'!$W$2:$W$498,'Region 17'!$A$2:$A$498,K$1,'Region 17'!$X$2:$X$498,$D330,'Region 17'!$S$2:$S$498,$A330)</f>
        <v>#DIV/0!</v>
      </c>
      <c r="L330" t="e">
        <f>AVERAGEIFS('Region 17'!$W$2:$W$498,'Region 17'!$A$2:$A$498,L$1,'Region 17'!$X$2:$X$498,$D330,'Region 17'!$S$2:$S$498,$A330)</f>
        <v>#DIV/0!</v>
      </c>
      <c r="M330" t="e">
        <f>AVERAGEIFS('Region 17'!$W$2:$W$498,'Region 17'!$A$2:$A$498,M$1,'Region 17'!$X$2:$X$498,$D330,'Region 17'!$S$2:$S$498,$A330)</f>
        <v>#DIV/0!</v>
      </c>
      <c r="N330" t="e">
        <f>AVERAGEIFS('Region 17'!$W$2:$W$498,'Region 17'!$A$2:$A$498,N$1,'Region 17'!$X$2:$X$498,$D330,'Region 17'!$S$2:$S$498,$A330)</f>
        <v>#DIV/0!</v>
      </c>
      <c r="Q330" t="str">
        <f t="shared" si="229"/>
        <v>Copper</v>
      </c>
      <c r="R330" t="str">
        <f t="shared" si="230"/>
        <v>Detached</v>
      </c>
      <c r="S330">
        <f t="shared" si="231"/>
        <v>17</v>
      </c>
      <c r="T330" t="str">
        <f t="shared" si="287"/>
        <v>-</v>
      </c>
      <c r="U330" t="str">
        <f t="shared" si="288"/>
        <v>-</v>
      </c>
      <c r="V330" t="str">
        <f t="shared" si="289"/>
        <v>-</v>
      </c>
      <c r="W330" t="str">
        <f t="shared" si="290"/>
        <v>-</v>
      </c>
      <c r="X330" t="str">
        <f t="shared" si="291"/>
        <v>-</v>
      </c>
      <c r="Y330" t="str">
        <f t="shared" si="292"/>
        <v>-</v>
      </c>
      <c r="Z330" t="str">
        <f t="shared" si="293"/>
        <v>-</v>
      </c>
      <c r="AA330" t="str">
        <f t="shared" si="294"/>
        <v>-</v>
      </c>
      <c r="AB330" t="str">
        <f t="shared" si="295"/>
        <v>-</v>
      </c>
      <c r="AC330" t="str">
        <f t="shared" si="296"/>
        <v>-</v>
      </c>
    </row>
    <row r="331" spans="1:29" x14ac:dyDescent="0.3">
      <c r="A331" t="s">
        <v>414</v>
      </c>
      <c r="B331" t="str">
        <f t="shared" si="277"/>
        <v>Detached</v>
      </c>
      <c r="C331">
        <f t="shared" ref="C331:D331" si="304">C123</f>
        <v>18</v>
      </c>
      <c r="D331">
        <f t="shared" si="304"/>
        <v>1</v>
      </c>
      <c r="E331" t="e">
        <f>AVERAGEIFS('Region 18'!$W$2:$W$468,'Region 18'!$A$2:$A$468,E$1,'Region 18'!$X$2:$X$468,$D331,'Region 18'!$S$2:$S$468,$A331)</f>
        <v>#DIV/0!</v>
      </c>
      <c r="F331" t="e">
        <f>AVERAGEIFS('Region 18'!$W$2:$W$468,'Region 18'!$A$2:$A$468,F$1,'Region 18'!$X$2:$X$468,$D331,'Region 18'!$S$2:$S$468,$A331)</f>
        <v>#DIV/0!</v>
      </c>
      <c r="G331" t="e">
        <f>AVERAGEIFS('Region 18'!$W$2:$W$468,'Region 18'!$A$2:$A$468,G$1,'Region 18'!$X$2:$X$468,$D331,'Region 18'!$S$2:$S$468,$A331)</f>
        <v>#DIV/0!</v>
      </c>
      <c r="H331">
        <f>AVERAGEIFS('Region 18'!$W$2:$W$468,'Region 18'!$A$2:$A$468,H$1,'Region 18'!$X$2:$X$468,$D331,'Region 18'!$S$2:$S$468,$A331)</f>
        <v>3.8336582196231319</v>
      </c>
      <c r="I331">
        <f>AVERAGEIFS('Region 18'!$W$2:$W$468,'Region 18'!$A$2:$A$468,I$1,'Region 18'!$X$2:$X$468,$D331,'Region 18'!$S$2:$S$468,$A331)</f>
        <v>0.20370370370370369</v>
      </c>
      <c r="J331" t="e">
        <f>AVERAGEIFS('Region 18'!$W$2:$W$468,'Region 18'!$A$2:$A$468,J$1,'Region 18'!$X$2:$X$468,$D331,'Region 18'!$S$2:$S$468,$A331)</f>
        <v>#DIV/0!</v>
      </c>
      <c r="K331" t="e">
        <f>AVERAGEIFS('Region 18'!$W$2:$W$468,'Region 18'!$A$2:$A$468,K$1,'Region 18'!$X$2:$X$468,$D331,'Region 18'!$S$2:$S$468,$A331)</f>
        <v>#DIV/0!</v>
      </c>
      <c r="L331" t="e">
        <f>AVERAGEIFS('Region 18'!$W$2:$W$468,'Region 18'!$A$2:$A$468,L$1,'Region 18'!$X$2:$X$468,$D331,'Region 18'!$S$2:$S$468,$A331)</f>
        <v>#DIV/0!</v>
      </c>
      <c r="M331" t="e">
        <f>AVERAGEIFS('Region 18'!$W$2:$W$468,'Region 18'!$A$2:$A$468,M$1,'Region 18'!$X$2:$X$468,$D331,'Region 18'!$S$2:$S$468,$A331)</f>
        <v>#DIV/0!</v>
      </c>
      <c r="N331" t="e">
        <f>AVERAGEIFS('Region 18'!$W$2:$W$468,'Region 18'!$A$2:$A$468,N$1,'Region 18'!$X$2:$X$468,$D331,'Region 18'!$S$2:$S$468,$A331)</f>
        <v>#DIV/0!</v>
      </c>
      <c r="Q331" t="str">
        <f t="shared" ref="Q331:Q394" si="305">A331</f>
        <v>Copper</v>
      </c>
      <c r="R331" t="str">
        <f t="shared" ref="R331:R394" si="306">B331</f>
        <v>Detached</v>
      </c>
      <c r="S331">
        <f t="shared" ref="S331:S394" si="307">C331</f>
        <v>18</v>
      </c>
      <c r="T331" t="str">
        <f t="shared" si="287"/>
        <v>-</v>
      </c>
      <c r="U331" t="str">
        <f t="shared" si="288"/>
        <v>-</v>
      </c>
      <c r="V331" t="str">
        <f t="shared" si="289"/>
        <v>-</v>
      </c>
      <c r="W331">
        <f t="shared" si="290"/>
        <v>3.8336582196231319</v>
      </c>
      <c r="X331">
        <f t="shared" si="291"/>
        <v>0.20370370370370369</v>
      </c>
      <c r="Y331" t="str">
        <f t="shared" si="292"/>
        <v>-</v>
      </c>
      <c r="Z331" t="str">
        <f t="shared" si="293"/>
        <v>-</v>
      </c>
      <c r="AA331" t="str">
        <f t="shared" si="294"/>
        <v>-</v>
      </c>
      <c r="AB331" t="str">
        <f t="shared" si="295"/>
        <v>-</v>
      </c>
      <c r="AC331" t="str">
        <f t="shared" si="296"/>
        <v>-</v>
      </c>
    </row>
    <row r="332" spans="1:29" x14ac:dyDescent="0.3">
      <c r="A332" t="s">
        <v>414</v>
      </c>
      <c r="B332" t="str">
        <f t="shared" si="277"/>
        <v>Detached</v>
      </c>
      <c r="C332">
        <f t="shared" ref="C332:D332" si="308">C124</f>
        <v>19</v>
      </c>
      <c r="D332">
        <f t="shared" si="308"/>
        <v>1</v>
      </c>
      <c r="E332" t="e">
        <f>AVERAGEIFS('Region 19'!$W$2:$W$494,'Region 19'!$A$2:$A$494,E$1,'Region 19'!$X$2:$X$494,$D332,'Region 19'!$S$2:$S$494,$A332)</f>
        <v>#DIV/0!</v>
      </c>
      <c r="F332" t="e">
        <f>AVERAGEIFS('Region 19'!$W$2:$W$494,'Region 19'!$A$2:$A$494,F$1,'Region 19'!$X$2:$X$494,$D332,'Region 19'!$S$2:$S$494,$A332)</f>
        <v>#DIV/0!</v>
      </c>
      <c r="G332" t="e">
        <f>AVERAGEIFS('Region 19'!$W$2:$W$494,'Region 19'!$A$2:$A$494,G$1,'Region 19'!$X$2:$X$494,$D332,'Region 19'!$S$2:$S$494,$A332)</f>
        <v>#DIV/0!</v>
      </c>
      <c r="H332" t="e">
        <f>AVERAGEIFS('Region 19'!$W$2:$W$494,'Region 19'!$A$2:$A$494,H$1,'Region 19'!$X$2:$X$494,$D332,'Region 19'!$S$2:$S$494,$A332)</f>
        <v>#DIV/0!</v>
      </c>
      <c r="I332" t="e">
        <f>AVERAGEIFS('Region 19'!$W$2:$W$494,'Region 19'!$A$2:$A$494,I$1,'Region 19'!$X$2:$X$494,$D332,'Region 19'!$S$2:$S$494,$A332)</f>
        <v>#DIV/0!</v>
      </c>
      <c r="J332" t="e">
        <f>AVERAGEIFS('Region 19'!$W$2:$W$494,'Region 19'!$A$2:$A$494,J$1,'Region 19'!$X$2:$X$494,$D332,'Region 19'!$S$2:$S$494,$A332)</f>
        <v>#DIV/0!</v>
      </c>
      <c r="K332" t="e">
        <f>AVERAGEIFS('Region 19'!$W$2:$W$494,'Region 19'!$A$2:$A$494,K$1,'Region 19'!$X$2:$X$494,$D332,'Region 19'!$S$2:$S$494,$A332)</f>
        <v>#DIV/0!</v>
      </c>
      <c r="L332" t="e">
        <f>AVERAGEIFS('Region 19'!$W$2:$W$494,'Region 19'!$A$2:$A$494,L$1,'Region 19'!$X$2:$X$494,$D332,'Region 19'!$S$2:$S$494,$A332)</f>
        <v>#DIV/0!</v>
      </c>
      <c r="M332" t="e">
        <f>AVERAGEIFS('Region 19'!$W$2:$W$494,'Region 19'!$A$2:$A$494,M$1,'Region 19'!$X$2:$X$494,$D332,'Region 19'!$S$2:$S$494,$A332)</f>
        <v>#DIV/0!</v>
      </c>
      <c r="N332" t="e">
        <f>AVERAGEIFS('Region 19'!$W$2:$W$494,'Region 19'!$A$2:$A$494,N$1,'Region 19'!$X$2:$X$494,$D332,'Region 19'!$S$2:$S$494,$A332)</f>
        <v>#DIV/0!</v>
      </c>
      <c r="Q332" t="str">
        <f t="shared" si="305"/>
        <v>Copper</v>
      </c>
      <c r="R332" t="str">
        <f t="shared" si="306"/>
        <v>Detached</v>
      </c>
      <c r="S332">
        <f t="shared" si="307"/>
        <v>19</v>
      </c>
      <c r="T332" t="str">
        <f t="shared" si="287"/>
        <v>-</v>
      </c>
      <c r="U332" t="str">
        <f t="shared" si="288"/>
        <v>-</v>
      </c>
      <c r="V332" t="str">
        <f t="shared" si="289"/>
        <v>-</v>
      </c>
      <c r="W332" t="str">
        <f t="shared" si="290"/>
        <v>-</v>
      </c>
      <c r="X332" t="str">
        <f t="shared" si="291"/>
        <v>-</v>
      </c>
      <c r="Y332" t="str">
        <f t="shared" si="292"/>
        <v>-</v>
      </c>
      <c r="Z332" t="str">
        <f t="shared" si="293"/>
        <v>-</v>
      </c>
      <c r="AA332" t="str">
        <f t="shared" si="294"/>
        <v>-</v>
      </c>
      <c r="AB332" t="str">
        <f t="shared" si="295"/>
        <v>-</v>
      </c>
      <c r="AC332" t="str">
        <f t="shared" si="296"/>
        <v>-</v>
      </c>
    </row>
    <row r="333" spans="1:29" x14ac:dyDescent="0.3">
      <c r="A333" t="s">
        <v>414</v>
      </c>
      <c r="B333" t="str">
        <f t="shared" si="277"/>
        <v>Detached</v>
      </c>
      <c r="C333">
        <f t="shared" ref="C333:D333" si="309">C125</f>
        <v>20</v>
      </c>
      <c r="D333">
        <f t="shared" si="309"/>
        <v>1</v>
      </c>
      <c r="E333" t="e">
        <f>AVERAGEIFS('Region 20'!$W$2:$W$269,'Region 20'!$A$2:$A$269,E$1,'Region 20'!$X$2:$X$269,$D333,'Region 20'!$S$2:$S$269,$A333)</f>
        <v>#DIV/0!</v>
      </c>
      <c r="F333" t="e">
        <f>AVERAGEIFS('Region 20'!$W$2:$W$269,'Region 20'!$A$2:$A$269,F$1,'Region 20'!$X$2:$X$269,$D333,'Region 20'!$S$2:$S$269,$A333)</f>
        <v>#DIV/0!</v>
      </c>
      <c r="G333" t="e">
        <f>AVERAGEIFS('Region 20'!$W$2:$W$269,'Region 20'!$A$2:$A$269,G$1,'Region 20'!$X$2:$X$269,$D333,'Region 20'!$S$2:$S$269,$A333)</f>
        <v>#DIV/0!</v>
      </c>
      <c r="H333" t="e">
        <f>AVERAGEIFS('Region 20'!$W$2:$W$269,'Region 20'!$A$2:$A$269,H$1,'Region 20'!$X$2:$X$269,$D333,'Region 20'!$S$2:$S$269,$A333)</f>
        <v>#DIV/0!</v>
      </c>
      <c r="I333" t="e">
        <f>AVERAGEIFS('Region 20'!$W$2:$W$269,'Region 20'!$A$2:$A$269,I$1,'Region 20'!$X$2:$X$269,$D333,'Region 20'!$S$2:$S$269,$A333)</f>
        <v>#DIV/0!</v>
      </c>
      <c r="J333" t="e">
        <f>AVERAGEIFS('Region 20'!$W$2:$W$269,'Region 20'!$A$2:$A$269,J$1,'Region 20'!$X$2:$X$269,$D333,'Region 20'!$S$2:$S$269,$A333)</f>
        <v>#DIV/0!</v>
      </c>
      <c r="K333" t="e">
        <f>AVERAGEIFS('Region 20'!$W$2:$W$269,'Region 20'!$A$2:$A$269,K$1,'Region 20'!$X$2:$X$269,$D333,'Region 20'!$S$2:$S$269,$A333)</f>
        <v>#DIV/0!</v>
      </c>
      <c r="L333" t="e">
        <f>AVERAGEIFS('Region 20'!$W$2:$W$269,'Region 20'!$A$2:$A$269,L$1,'Region 20'!$X$2:$X$269,$D333,'Region 20'!$S$2:$S$269,$A333)</f>
        <v>#DIV/0!</v>
      </c>
      <c r="M333" t="e">
        <f>AVERAGEIFS('Region 20'!$W$2:$W$269,'Region 20'!$A$2:$A$269,M$1,'Region 20'!$X$2:$X$269,$D333,'Region 20'!$S$2:$S$269,$A333)</f>
        <v>#DIV/0!</v>
      </c>
      <c r="N333" t="e">
        <f>AVERAGEIFS('Region 20'!$W$2:$W$269,'Region 20'!$A$2:$A$269,N$1,'Region 20'!$X$2:$X$269,$D333,'Region 20'!$S$2:$S$269,$A333)</f>
        <v>#DIV/0!</v>
      </c>
      <c r="Q333" t="str">
        <f t="shared" si="305"/>
        <v>Copper</v>
      </c>
      <c r="R333" t="str">
        <f t="shared" si="306"/>
        <v>Detached</v>
      </c>
      <c r="S333">
        <f t="shared" si="307"/>
        <v>20</v>
      </c>
      <c r="T333" t="str">
        <f t="shared" si="287"/>
        <v>-</v>
      </c>
      <c r="U333" t="str">
        <f t="shared" si="288"/>
        <v>-</v>
      </c>
      <c r="V333" t="str">
        <f t="shared" si="289"/>
        <v>-</v>
      </c>
      <c r="W333" t="str">
        <f t="shared" si="290"/>
        <v>-</v>
      </c>
      <c r="X333" t="str">
        <f t="shared" si="291"/>
        <v>-</v>
      </c>
      <c r="Y333" t="str">
        <f t="shared" si="292"/>
        <v>-</v>
      </c>
      <c r="Z333" t="str">
        <f t="shared" si="293"/>
        <v>-</v>
      </c>
      <c r="AA333" t="str">
        <f t="shared" si="294"/>
        <v>-</v>
      </c>
      <c r="AB333" t="str">
        <f t="shared" si="295"/>
        <v>-</v>
      </c>
      <c r="AC333" t="str">
        <f t="shared" si="296"/>
        <v>-</v>
      </c>
    </row>
    <row r="334" spans="1:29" x14ac:dyDescent="0.3">
      <c r="A334" t="s">
        <v>414</v>
      </c>
      <c r="B334" t="str">
        <f t="shared" si="277"/>
        <v>Detached</v>
      </c>
      <c r="C334">
        <f t="shared" ref="C334:D334" si="310">C126</f>
        <v>21</v>
      </c>
      <c r="D334">
        <f t="shared" si="310"/>
        <v>1</v>
      </c>
      <c r="E334" t="e">
        <f>AVERAGEIFS('Region 21'!$W$2:$W$497,'Region 21'!$A$2:$A$497,E$1,'Region 21'!$X$2:$X$497,$D334,'Region 21'!$S$2:$S$497,$A334)</f>
        <v>#DIV/0!</v>
      </c>
      <c r="F334" t="e">
        <f>AVERAGEIFS('Region 21'!$W$2:$W$497,'Region 21'!$A$2:$A$497,F$1,'Region 21'!$X$2:$X$497,$D334,'Region 21'!$S$2:$S$497,$A334)</f>
        <v>#DIV/0!</v>
      </c>
      <c r="G334" t="e">
        <f>AVERAGEIFS('Region 21'!$W$2:$W$497,'Region 21'!$A$2:$A$497,G$1,'Region 21'!$X$2:$X$497,$D334,'Region 21'!$S$2:$S$497,$A334)</f>
        <v>#DIV/0!</v>
      </c>
      <c r="H334" t="e">
        <f>AVERAGEIFS('Region 21'!$W$2:$W$497,'Region 21'!$A$2:$A$497,H$1,'Region 21'!$X$2:$X$497,$D334,'Region 21'!$S$2:$S$497,$A334)</f>
        <v>#DIV/0!</v>
      </c>
      <c r="I334" t="e">
        <f>AVERAGEIFS('Region 21'!$W$2:$W$497,'Region 21'!$A$2:$A$497,I$1,'Region 21'!$X$2:$X$497,$D334,'Region 21'!$S$2:$S$497,$A334)</f>
        <v>#DIV/0!</v>
      </c>
      <c r="J334" t="e">
        <f>AVERAGEIFS('Region 21'!$W$2:$W$497,'Region 21'!$A$2:$A$497,J$1,'Region 21'!$X$2:$X$497,$D334,'Region 21'!$S$2:$S$497,$A334)</f>
        <v>#DIV/0!</v>
      </c>
      <c r="K334" t="e">
        <f>AVERAGEIFS('Region 21'!$W$2:$W$497,'Region 21'!$A$2:$A$497,K$1,'Region 21'!$X$2:$X$497,$D334,'Region 21'!$S$2:$S$497,$A334)</f>
        <v>#DIV/0!</v>
      </c>
      <c r="L334" t="e">
        <f>AVERAGEIFS('Region 21'!$W$2:$W$497,'Region 21'!$A$2:$A$497,L$1,'Region 21'!$X$2:$X$497,$D334,'Region 21'!$S$2:$S$497,$A334)</f>
        <v>#DIV/0!</v>
      </c>
      <c r="M334" t="e">
        <f>AVERAGEIFS('Region 21'!$W$2:$W$497,'Region 21'!$A$2:$A$497,M$1,'Region 21'!$X$2:$X$497,$D334,'Region 21'!$S$2:$S$497,$A334)</f>
        <v>#DIV/0!</v>
      </c>
      <c r="N334" t="e">
        <f>AVERAGEIFS('Region 21'!$W$2:$W$497,'Region 21'!$A$2:$A$497,N$1,'Region 21'!$X$2:$X$497,$D334,'Region 21'!$S$2:$S$497,$A334)</f>
        <v>#DIV/0!</v>
      </c>
      <c r="Q334" t="str">
        <f t="shared" si="305"/>
        <v>Copper</v>
      </c>
      <c r="R334" t="str">
        <f t="shared" si="306"/>
        <v>Detached</v>
      </c>
      <c r="S334">
        <f t="shared" si="307"/>
        <v>21</v>
      </c>
      <c r="T334" t="str">
        <f t="shared" si="287"/>
        <v>-</v>
      </c>
      <c r="U334" t="str">
        <f t="shared" si="288"/>
        <v>-</v>
      </c>
      <c r="V334" t="str">
        <f t="shared" si="289"/>
        <v>-</v>
      </c>
      <c r="W334" t="str">
        <f t="shared" si="290"/>
        <v>-</v>
      </c>
      <c r="X334" t="str">
        <f t="shared" si="291"/>
        <v>-</v>
      </c>
      <c r="Y334" t="str">
        <f t="shared" si="292"/>
        <v>-</v>
      </c>
      <c r="Z334" t="str">
        <f t="shared" si="293"/>
        <v>-</v>
      </c>
      <c r="AA334" t="str">
        <f t="shared" si="294"/>
        <v>-</v>
      </c>
      <c r="AB334" t="str">
        <f t="shared" si="295"/>
        <v>-</v>
      </c>
      <c r="AC334" t="str">
        <f t="shared" si="296"/>
        <v>-</v>
      </c>
    </row>
    <row r="335" spans="1:29" x14ac:dyDescent="0.3">
      <c r="A335" t="s">
        <v>414</v>
      </c>
      <c r="B335" t="str">
        <f t="shared" si="277"/>
        <v>Detached</v>
      </c>
      <c r="C335">
        <f t="shared" ref="C335:D335" si="311">C127</f>
        <v>22</v>
      </c>
      <c r="D335">
        <f t="shared" si="311"/>
        <v>1</v>
      </c>
      <c r="E335" t="e">
        <f>AVERAGEIFS('Region 22'!$W$2:$W$510,'Region 22'!$A$2:$A$510,E$1,'Region 22'!$X$2:$X$510,$D335,'Region 22'!$S$2:$S$510,$A335)</f>
        <v>#DIV/0!</v>
      </c>
      <c r="F335" t="e">
        <f>AVERAGEIFS('Region 22'!$W$2:$W$510,'Region 22'!$A$2:$A$510,F$1,'Region 22'!$X$2:$X$510,$D335,'Region 22'!$S$2:$S$510,$A335)</f>
        <v>#DIV/0!</v>
      </c>
      <c r="G335" t="e">
        <f>AVERAGEIFS('Region 22'!$W$2:$W$510,'Region 22'!$A$2:$A$510,G$1,'Region 22'!$X$2:$X$510,$D335,'Region 22'!$S$2:$S$510,$A335)</f>
        <v>#DIV/0!</v>
      </c>
      <c r="H335" t="e">
        <f>AVERAGEIFS('Region 22'!$W$2:$W$510,'Region 22'!$A$2:$A$510,H$1,'Region 22'!$X$2:$X$510,$D335,'Region 22'!$S$2:$S$510,$A335)</f>
        <v>#DIV/0!</v>
      </c>
      <c r="I335" t="e">
        <f>AVERAGEIFS('Region 22'!$W$2:$W$510,'Region 22'!$A$2:$A$510,I$1,'Region 22'!$X$2:$X$510,$D335,'Region 22'!$S$2:$S$510,$A335)</f>
        <v>#DIV/0!</v>
      </c>
      <c r="J335" t="e">
        <f>AVERAGEIFS('Region 22'!$W$2:$W$510,'Region 22'!$A$2:$A$510,J$1,'Region 22'!$X$2:$X$510,$D335,'Region 22'!$S$2:$S$510,$A335)</f>
        <v>#DIV/0!</v>
      </c>
      <c r="K335" t="e">
        <f>AVERAGEIFS('Region 22'!$W$2:$W$510,'Region 22'!$A$2:$A$510,K$1,'Region 22'!$X$2:$X$510,$D335,'Region 22'!$S$2:$S$510,$A335)</f>
        <v>#DIV/0!</v>
      </c>
      <c r="L335" t="e">
        <f>AVERAGEIFS('Region 22'!$W$2:$W$510,'Region 22'!$A$2:$A$510,L$1,'Region 22'!$X$2:$X$510,$D335,'Region 22'!$S$2:$S$510,$A335)</f>
        <v>#DIV/0!</v>
      </c>
      <c r="M335" t="e">
        <f>AVERAGEIFS('Region 22'!$W$2:$W$510,'Region 22'!$A$2:$A$510,M$1,'Region 22'!$X$2:$X$510,$D335,'Region 22'!$S$2:$S$510,$A335)</f>
        <v>#DIV/0!</v>
      </c>
      <c r="N335" t="e">
        <f>AVERAGEIFS('Region 22'!$W$2:$W$510,'Region 22'!$A$2:$A$510,N$1,'Region 22'!$X$2:$X$510,$D335,'Region 22'!$S$2:$S$510,$A335)</f>
        <v>#DIV/0!</v>
      </c>
      <c r="Q335" t="str">
        <f t="shared" si="305"/>
        <v>Copper</v>
      </c>
      <c r="R335" t="str">
        <f t="shared" si="306"/>
        <v>Detached</v>
      </c>
      <c r="S335">
        <f t="shared" si="307"/>
        <v>22</v>
      </c>
      <c r="T335" t="str">
        <f t="shared" si="287"/>
        <v>-</v>
      </c>
      <c r="U335" t="str">
        <f t="shared" si="288"/>
        <v>-</v>
      </c>
      <c r="V335" t="str">
        <f t="shared" si="289"/>
        <v>-</v>
      </c>
      <c r="W335" t="str">
        <f t="shared" si="290"/>
        <v>-</v>
      </c>
      <c r="X335" t="str">
        <f t="shared" si="291"/>
        <v>-</v>
      </c>
      <c r="Y335" t="str">
        <f t="shared" si="292"/>
        <v>-</v>
      </c>
      <c r="Z335" t="str">
        <f t="shared" si="293"/>
        <v>-</v>
      </c>
      <c r="AA335" t="str">
        <f t="shared" si="294"/>
        <v>-</v>
      </c>
      <c r="AB335" t="str">
        <f t="shared" si="295"/>
        <v>-</v>
      </c>
      <c r="AC335" t="str">
        <f t="shared" si="296"/>
        <v>-</v>
      </c>
    </row>
    <row r="336" spans="1:29" x14ac:dyDescent="0.3">
      <c r="A336" t="s">
        <v>414</v>
      </c>
      <c r="B336" t="str">
        <f t="shared" si="277"/>
        <v>Detached</v>
      </c>
      <c r="C336">
        <f t="shared" ref="C336:D336" si="312">C128</f>
        <v>23</v>
      </c>
      <c r="D336">
        <f t="shared" si="312"/>
        <v>1</v>
      </c>
      <c r="E336" t="e">
        <f>AVERAGEIFS('Region 23'!$W$2:$W$468,'Region 23'!$A$2:$A$468,E$1,'Region 23'!$X$2:$X$468,$D336,'Region 23'!$S$2:$S$468,$A336)</f>
        <v>#DIV/0!</v>
      </c>
      <c r="F336" t="e">
        <f>AVERAGEIFS('Region 23'!$W$2:$W$468,'Region 23'!$A$2:$A$468,F$1,'Region 23'!$X$2:$X$468,$D336,'Region 23'!$S$2:$S$468,$A336)</f>
        <v>#DIV/0!</v>
      </c>
      <c r="G336" t="e">
        <f>AVERAGEIFS('Region 23'!$W$2:$W$468,'Region 23'!$A$2:$A$468,G$1,'Region 23'!$X$2:$X$468,$D336,'Region 23'!$S$2:$S$468,$A336)</f>
        <v>#DIV/0!</v>
      </c>
      <c r="H336" t="e">
        <f>AVERAGEIFS('Region 23'!$W$2:$W$468,'Region 23'!$A$2:$A$468,H$1,'Region 23'!$X$2:$X$468,$D336,'Region 23'!$S$2:$S$468,$A336)</f>
        <v>#DIV/0!</v>
      </c>
      <c r="I336" t="e">
        <f>AVERAGEIFS('Region 23'!$W$2:$W$468,'Region 23'!$A$2:$A$468,I$1,'Region 23'!$X$2:$X$468,$D336,'Region 23'!$S$2:$S$468,$A336)</f>
        <v>#DIV/0!</v>
      </c>
      <c r="J336" t="e">
        <f>AVERAGEIFS('Region 23'!$W$2:$W$468,'Region 23'!$A$2:$A$468,J$1,'Region 23'!$X$2:$X$468,$D336,'Region 23'!$S$2:$S$468,$A336)</f>
        <v>#DIV/0!</v>
      </c>
      <c r="K336" t="e">
        <f>AVERAGEIFS('Region 23'!$W$2:$W$468,'Region 23'!$A$2:$A$468,K$1,'Region 23'!$X$2:$X$468,$D336,'Region 23'!$S$2:$S$468,$A336)</f>
        <v>#DIV/0!</v>
      </c>
      <c r="L336" t="e">
        <f>AVERAGEIFS('Region 23'!$W$2:$W$468,'Region 23'!$A$2:$A$468,L$1,'Region 23'!$X$2:$X$468,$D336,'Region 23'!$S$2:$S$468,$A336)</f>
        <v>#DIV/0!</v>
      </c>
      <c r="M336" t="e">
        <f>AVERAGEIFS('Region 23'!$W$2:$W$468,'Region 23'!$A$2:$A$468,M$1,'Region 23'!$X$2:$X$468,$D336,'Region 23'!$S$2:$S$468,$A336)</f>
        <v>#DIV/0!</v>
      </c>
      <c r="N336" t="e">
        <f>AVERAGEIFS('Region 23'!$W$2:$W$468,'Region 23'!$A$2:$A$468,N$1,'Region 23'!$X$2:$X$468,$D336,'Region 23'!$S$2:$S$468,$A336)</f>
        <v>#DIV/0!</v>
      </c>
      <c r="Q336" t="str">
        <f t="shared" si="305"/>
        <v>Copper</v>
      </c>
      <c r="R336" t="str">
        <f t="shared" si="306"/>
        <v>Detached</v>
      </c>
      <c r="S336">
        <f t="shared" si="307"/>
        <v>23</v>
      </c>
      <c r="T336" t="str">
        <f t="shared" si="287"/>
        <v>-</v>
      </c>
      <c r="U336" t="str">
        <f t="shared" si="288"/>
        <v>-</v>
      </c>
      <c r="V336" t="str">
        <f t="shared" si="289"/>
        <v>-</v>
      </c>
      <c r="W336" t="str">
        <f t="shared" si="290"/>
        <v>-</v>
      </c>
      <c r="X336" t="str">
        <f t="shared" si="291"/>
        <v>-</v>
      </c>
      <c r="Y336" t="str">
        <f t="shared" si="292"/>
        <v>-</v>
      </c>
      <c r="Z336" t="str">
        <f t="shared" si="293"/>
        <v>-</v>
      </c>
      <c r="AA336" t="str">
        <f t="shared" si="294"/>
        <v>-</v>
      </c>
      <c r="AB336" t="str">
        <f t="shared" si="295"/>
        <v>-</v>
      </c>
      <c r="AC336" t="str">
        <f t="shared" si="296"/>
        <v>-</v>
      </c>
    </row>
    <row r="337" spans="1:29" x14ac:dyDescent="0.3">
      <c r="A337" t="s">
        <v>414</v>
      </c>
      <c r="B337" t="str">
        <f t="shared" si="277"/>
        <v>Detached</v>
      </c>
      <c r="C337">
        <f t="shared" ref="C337:D337" si="313">C129</f>
        <v>24</v>
      </c>
      <c r="D337">
        <f t="shared" si="313"/>
        <v>1</v>
      </c>
      <c r="E337">
        <f>AVERAGEIFS('Region 24'!$W$2:$W$454,'Region 24'!$A$2:$A$454,E$1,'Region 24'!$X$2:$X$454,$D337,'Region 24'!$S$2:$S$454,$A337)</f>
        <v>7.716049382716049E-3</v>
      </c>
      <c r="F337" t="e">
        <f>AVERAGEIFS('Region 24'!$W$2:$W$454,'Region 24'!$A$2:$A$454,F$1,'Region 24'!$X$2:$X$454,$D337,'Region 24'!$S$2:$S$454,$A337)</f>
        <v>#DIV/0!</v>
      </c>
      <c r="G337" t="e">
        <f>AVERAGEIFS('Region 24'!$W$2:$W$454,'Region 24'!$A$2:$A$454,G$1,'Region 24'!$X$2:$X$454,$D337,'Region 24'!$S$2:$S$454,$A337)</f>
        <v>#DIV/0!</v>
      </c>
      <c r="H337">
        <f>AVERAGEIFS('Region 24'!$W$2:$W$454,'Region 24'!$A$2:$A$454,H$1,'Region 24'!$X$2:$X$454,$D337,'Region 24'!$S$2:$S$454,$A337)</f>
        <v>2.4012917115177608</v>
      </c>
      <c r="I337" t="e">
        <f>AVERAGEIFS('Region 24'!$W$2:$W$454,'Region 24'!$A$2:$A$454,I$1,'Region 24'!$X$2:$X$454,$D337,'Region 24'!$S$2:$S$454,$A337)</f>
        <v>#DIV/0!</v>
      </c>
      <c r="J337">
        <f>AVERAGEIFS('Region 24'!$W$2:$W$454,'Region 24'!$A$2:$A$454,J$1,'Region 24'!$X$2:$X$454,$D337,'Region 24'!$S$2:$S$454,$A337)</f>
        <v>0.859375</v>
      </c>
      <c r="K337" t="e">
        <f>AVERAGEIFS('Region 24'!$W$2:$W$454,'Region 24'!$A$2:$A$454,K$1,'Region 24'!$X$2:$X$454,$D337,'Region 24'!$S$2:$S$454,$A337)</f>
        <v>#DIV/0!</v>
      </c>
      <c r="L337" t="e">
        <f>AVERAGEIFS('Region 24'!$W$2:$W$454,'Region 24'!$A$2:$A$454,L$1,'Region 24'!$X$2:$X$454,$D337,'Region 24'!$S$2:$S$454,$A337)</f>
        <v>#DIV/0!</v>
      </c>
      <c r="M337" t="e">
        <f>AVERAGEIFS('Region 24'!$W$2:$W$454,'Region 24'!$A$2:$A$454,M$1,'Region 24'!$X$2:$X$454,$D337,'Region 24'!$S$2:$S$454,$A337)</f>
        <v>#DIV/0!</v>
      </c>
      <c r="N337" t="e">
        <f>AVERAGEIFS('Region 24'!$W$2:$W$454,'Region 24'!$A$2:$A$454,N$1,'Region 24'!$X$2:$X$454,$D337,'Region 24'!$S$2:$S$454,$A337)</f>
        <v>#DIV/0!</v>
      </c>
      <c r="Q337" t="str">
        <f t="shared" si="305"/>
        <v>Copper</v>
      </c>
      <c r="R337" t="str">
        <f t="shared" si="306"/>
        <v>Detached</v>
      </c>
      <c r="S337">
        <f t="shared" si="307"/>
        <v>24</v>
      </c>
      <c r="T337">
        <f t="shared" si="287"/>
        <v>7.716049382716049E-3</v>
      </c>
      <c r="U337" t="str">
        <f t="shared" si="288"/>
        <v>-</v>
      </c>
      <c r="V337" t="str">
        <f t="shared" si="289"/>
        <v>-</v>
      </c>
      <c r="W337">
        <f t="shared" si="290"/>
        <v>2.4012917115177608</v>
      </c>
      <c r="X337" t="str">
        <f t="shared" si="291"/>
        <v>-</v>
      </c>
      <c r="Y337">
        <f t="shared" si="292"/>
        <v>0.859375</v>
      </c>
      <c r="Z337" t="str">
        <f t="shared" si="293"/>
        <v>-</v>
      </c>
      <c r="AA337" t="str">
        <f t="shared" si="294"/>
        <v>-</v>
      </c>
      <c r="AB337" t="str">
        <f t="shared" si="295"/>
        <v>-</v>
      </c>
      <c r="AC337" t="str">
        <f t="shared" si="296"/>
        <v>-</v>
      </c>
    </row>
    <row r="338" spans="1:29" x14ac:dyDescent="0.3">
      <c r="A338" t="s">
        <v>414</v>
      </c>
      <c r="B338" t="str">
        <f t="shared" si="277"/>
        <v>Detached</v>
      </c>
      <c r="C338">
        <f t="shared" ref="C338:D338" si="314">C130</f>
        <v>25</v>
      </c>
      <c r="D338">
        <f t="shared" si="314"/>
        <v>1</v>
      </c>
      <c r="E338" t="e">
        <f>AVERAGEIFS('Region 25'!$W$2:$W$499,'Region 25'!$A$2:$A$499,E$1,'Region 25'!$X$2:$X$499,$D338,'Region 25'!$S$2:$S$499,$A338)</f>
        <v>#DIV/0!</v>
      </c>
      <c r="F338" t="e">
        <f>AVERAGEIFS('Region 25'!$W$2:$W$499,'Region 25'!$A$2:$A$499,F$1,'Region 25'!$X$2:$X$499,$D338,'Region 25'!$S$2:$S$499,$A338)</f>
        <v>#DIV/0!</v>
      </c>
      <c r="G338" t="e">
        <f>AVERAGEIFS('Region 25'!$W$2:$W$499,'Region 25'!$A$2:$A$499,G$1,'Region 25'!$X$2:$X$499,$D338,'Region 25'!$S$2:$S$499,$A338)</f>
        <v>#DIV/0!</v>
      </c>
      <c r="H338" t="e">
        <f>AVERAGEIFS('Region 25'!$W$2:$W$499,'Region 25'!$A$2:$A$499,H$1,'Region 25'!$X$2:$X$499,$D338,'Region 25'!$S$2:$S$499,$A338)</f>
        <v>#DIV/0!</v>
      </c>
      <c r="I338" t="e">
        <f>AVERAGEIFS('Region 25'!$W$2:$W$499,'Region 25'!$A$2:$A$499,I$1,'Region 25'!$X$2:$X$499,$D338,'Region 25'!$S$2:$S$499,$A338)</f>
        <v>#DIV/0!</v>
      </c>
      <c r="J338" t="e">
        <f>AVERAGEIFS('Region 25'!$W$2:$W$499,'Region 25'!$A$2:$A$499,J$1,'Region 25'!$X$2:$X$499,$D338,'Region 25'!$S$2:$S$499,$A338)</f>
        <v>#DIV/0!</v>
      </c>
      <c r="K338" t="e">
        <f>AVERAGEIFS('Region 25'!$W$2:$W$499,'Region 25'!$A$2:$A$499,K$1,'Region 25'!$X$2:$X$499,$D338,'Region 25'!$S$2:$S$499,$A338)</f>
        <v>#DIV/0!</v>
      </c>
      <c r="L338" t="e">
        <f>AVERAGEIFS('Region 25'!$W$2:$W$499,'Region 25'!$A$2:$A$499,L$1,'Region 25'!$X$2:$X$499,$D338,'Region 25'!$S$2:$S$499,$A338)</f>
        <v>#DIV/0!</v>
      </c>
      <c r="M338" t="e">
        <f>AVERAGEIFS('Region 25'!$W$2:$W$499,'Region 25'!$A$2:$A$499,M$1,'Region 25'!$X$2:$X$499,$D338,'Region 25'!$S$2:$S$499,$A338)</f>
        <v>#DIV/0!</v>
      </c>
      <c r="N338" t="e">
        <f>AVERAGEIFS('Region 25'!$W$2:$W$499,'Region 25'!$A$2:$A$499,N$1,'Region 25'!$X$2:$X$499,$D338,'Region 25'!$S$2:$S$499,$A338)</f>
        <v>#DIV/0!</v>
      </c>
      <c r="Q338" t="str">
        <f t="shared" si="305"/>
        <v>Copper</v>
      </c>
      <c r="R338" t="str">
        <f t="shared" si="306"/>
        <v>Detached</v>
      </c>
      <c r="S338">
        <f t="shared" si="307"/>
        <v>25</v>
      </c>
      <c r="T338" t="str">
        <f t="shared" si="287"/>
        <v>-</v>
      </c>
      <c r="U338" t="str">
        <f t="shared" si="288"/>
        <v>-</v>
      </c>
      <c r="V338" t="str">
        <f t="shared" si="289"/>
        <v>-</v>
      </c>
      <c r="W338" t="str">
        <f t="shared" si="290"/>
        <v>-</v>
      </c>
      <c r="X338" t="str">
        <f t="shared" si="291"/>
        <v>-</v>
      </c>
      <c r="Y338" t="str">
        <f t="shared" si="292"/>
        <v>-</v>
      </c>
      <c r="Z338" t="str">
        <f t="shared" si="293"/>
        <v>-</v>
      </c>
      <c r="AA338" t="str">
        <f t="shared" si="294"/>
        <v>-</v>
      </c>
      <c r="AB338" t="str">
        <f t="shared" si="295"/>
        <v>-</v>
      </c>
      <c r="AC338" t="str">
        <f t="shared" si="296"/>
        <v>-</v>
      </c>
    </row>
    <row r="339" spans="1:29" x14ac:dyDescent="0.3">
      <c r="A339" t="s">
        <v>414</v>
      </c>
      <c r="B339" t="str">
        <f t="shared" si="277"/>
        <v>Detached</v>
      </c>
      <c r="C339">
        <f t="shared" ref="C339:D339" si="315">C131</f>
        <v>26</v>
      </c>
      <c r="D339">
        <f t="shared" si="315"/>
        <v>1</v>
      </c>
      <c r="E339" t="e">
        <f ca="1">AVERAGEIFS('Region 26'!$W$2:$W$500,'Region 26'!$A$2:$A$500,E$1,'Region 26'!$X$2:$X$500,$D339,'Region 26'!$S$2:$S$500,$A339)</f>
        <v>#DIV/0!</v>
      </c>
      <c r="F339" t="e">
        <f ca="1">AVERAGEIFS('Region 26'!$W$2:$W$500,'Region 26'!$A$2:$A$500,F$1,'Region 26'!$X$2:$X$500,$D339,'Region 26'!$S$2:$S$500,$A339)</f>
        <v>#DIV/0!</v>
      </c>
      <c r="G339" t="e">
        <f ca="1">AVERAGEIFS('Region 26'!$W$2:$W$500,'Region 26'!$A$2:$A$500,G$1,'Region 26'!$X$2:$X$500,$D339,'Region 26'!$S$2:$S$500,$A339)</f>
        <v>#DIV/0!</v>
      </c>
      <c r="H339" t="e">
        <f ca="1">AVERAGEIFS('Region 26'!$W$2:$W$500,'Region 26'!$A$2:$A$500,H$1,'Region 26'!$X$2:$X$500,$D339,'Region 26'!$S$2:$S$500,$A339)</f>
        <v>#DIV/0!</v>
      </c>
      <c r="I339" t="e">
        <f ca="1">AVERAGEIFS('Region 26'!$W$2:$W$500,'Region 26'!$A$2:$A$500,I$1,'Region 26'!$X$2:$X$500,$D339,'Region 26'!$S$2:$S$500,$A339)</f>
        <v>#DIV/0!</v>
      </c>
      <c r="J339" t="e">
        <f ca="1">AVERAGEIFS('Region 26'!$W$2:$W$500,'Region 26'!$A$2:$A$500,J$1,'Region 26'!$X$2:$X$500,$D339,'Region 26'!$S$2:$S$500,$A339)</f>
        <v>#DIV/0!</v>
      </c>
      <c r="K339" t="e">
        <f ca="1">AVERAGEIFS('Region 26'!$W$2:$W$500,'Region 26'!$A$2:$A$500,K$1,'Region 26'!$X$2:$X$500,$D339,'Region 26'!$S$2:$S$500,$A339)</f>
        <v>#DIV/0!</v>
      </c>
      <c r="L339" t="e">
        <f ca="1">AVERAGEIFS('Region 26'!$W$2:$W$500,'Region 26'!$A$2:$A$500,L$1,'Region 26'!$X$2:$X$500,$D339,'Region 26'!$S$2:$S$500,$A339)</f>
        <v>#DIV/0!</v>
      </c>
      <c r="M339" t="e">
        <f ca="1">AVERAGEIFS('Region 26'!$W$2:$W$500,'Region 26'!$A$2:$A$500,M$1,'Region 26'!$X$2:$X$500,$D339,'Region 26'!$S$2:$S$500,$A339)</f>
        <v>#DIV/0!</v>
      </c>
      <c r="N339" t="e">
        <f ca="1">AVERAGEIFS('Region 26'!$W$2:$W$500,'Region 26'!$A$2:$A$500,N$1,'Region 26'!$X$2:$X$500,$D339,'Region 26'!$S$2:$S$500,$A339)</f>
        <v>#DIV/0!</v>
      </c>
      <c r="Q339" t="str">
        <f t="shared" si="305"/>
        <v>Copper</v>
      </c>
      <c r="R339" t="str">
        <f t="shared" si="306"/>
        <v>Detached</v>
      </c>
      <c r="S339">
        <f t="shared" si="307"/>
        <v>26</v>
      </c>
      <c r="T339" t="str">
        <f t="shared" ca="1" si="287"/>
        <v>-</v>
      </c>
      <c r="U339" t="str">
        <f t="shared" ca="1" si="288"/>
        <v>-</v>
      </c>
      <c r="V339" t="str">
        <f t="shared" ca="1" si="289"/>
        <v>-</v>
      </c>
      <c r="W339" t="str">
        <f t="shared" ca="1" si="290"/>
        <v>-</v>
      </c>
      <c r="X339" t="str">
        <f t="shared" ca="1" si="291"/>
        <v>-</v>
      </c>
      <c r="Y339" t="str">
        <f t="shared" ca="1" si="292"/>
        <v>-</v>
      </c>
      <c r="Z339" t="str">
        <f t="shared" ca="1" si="293"/>
        <v>-</v>
      </c>
      <c r="AA339" t="str">
        <f t="shared" ca="1" si="294"/>
        <v>-</v>
      </c>
      <c r="AB339" t="str">
        <f t="shared" ca="1" si="295"/>
        <v>-</v>
      </c>
      <c r="AC339" t="str">
        <f t="shared" ca="1" si="296"/>
        <v>-</v>
      </c>
    </row>
    <row r="340" spans="1:29" x14ac:dyDescent="0.3">
      <c r="A340" t="s">
        <v>414</v>
      </c>
      <c r="B340" t="str">
        <f t="shared" si="277"/>
        <v>Semi-detached</v>
      </c>
      <c r="C340">
        <f t="shared" ref="C340:D340" si="316">C132</f>
        <v>1</v>
      </c>
      <c r="D340">
        <f t="shared" si="316"/>
        <v>2</v>
      </c>
      <c r="E340" t="e">
        <f>AVERAGEIFS('Region 1'!$W$2:$W$498,'Region 1'!$A$2:$A$498,E$1,'Region 1'!$X$2:$X$498,$D340,'Region 1'!$S$2:$S$498,$A340)</f>
        <v>#DIV/0!</v>
      </c>
      <c r="F340" t="e">
        <f>AVERAGEIFS('Region 1'!$W$2:$W$498,'Region 1'!$A$2:$A$498,F$1,'Region 1'!$X$2:$X$498,$D340,'Region 1'!$S$2:$S$498,$A340)</f>
        <v>#DIV/0!</v>
      </c>
      <c r="G340" t="e">
        <f>AVERAGEIFS('Region 1'!$W$2:$W$498,'Region 1'!$A$2:$A$498,G$1,'Region 1'!$X$2:$X$498,$D340,'Region 1'!$S$2:$S$498,$A340)</f>
        <v>#DIV/0!</v>
      </c>
      <c r="H340" t="e">
        <f>AVERAGEIFS('Region 1'!$W$2:$W$498,'Region 1'!$A$2:$A$498,H$1,'Region 1'!$X$2:$X$498,$D340,'Region 1'!$S$2:$S$498,$A340)</f>
        <v>#DIV/0!</v>
      </c>
      <c r="I340" t="e">
        <f>AVERAGEIFS('Region 1'!$W$2:$W$498,'Region 1'!$A$2:$A$498,I$1,'Region 1'!$X$2:$X$498,$D340,'Region 1'!$S$2:$S$498,$A340)</f>
        <v>#DIV/0!</v>
      </c>
      <c r="J340" t="e">
        <f>AVERAGEIFS('Region 1'!$W$2:$W$498,'Region 1'!$A$2:$A$498,J$1,'Region 1'!$X$2:$X$498,$D340,'Region 1'!$S$2:$S$498,$A340)</f>
        <v>#DIV/0!</v>
      </c>
      <c r="K340" t="e">
        <f>AVERAGEIFS('Region 1'!$W$2:$W$498,'Region 1'!$A$2:$A$498,K$1,'Region 1'!$X$2:$X$498,$D340,'Region 1'!$S$2:$S$498,$A340)</f>
        <v>#DIV/0!</v>
      </c>
      <c r="L340" t="e">
        <f>AVERAGEIFS('Region 1'!$W$2:$W$498,'Region 1'!$A$2:$A$498,L$1,'Region 1'!$X$2:$X$498,$D340,'Region 1'!$S$2:$S$498,$A340)</f>
        <v>#DIV/0!</v>
      </c>
      <c r="M340" t="e">
        <f>AVERAGEIFS('Region 1'!$W$2:$W$498,'Region 1'!$A$2:$A$498,M$1,'Region 1'!$X$2:$X$498,$D340,'Region 1'!$S$2:$S$498,$A340)</f>
        <v>#DIV/0!</v>
      </c>
      <c r="N340" t="e">
        <f>AVERAGEIFS('Region 1'!$W$2:$W$498,'Region 1'!$A$2:$A$498,N$1,'Region 1'!$X$2:$X$498,$D340,'Region 1'!$S$2:$S$498,$A340)</f>
        <v>#DIV/0!</v>
      </c>
      <c r="Q340" t="str">
        <f t="shared" si="305"/>
        <v>Copper</v>
      </c>
      <c r="R340" t="str">
        <f t="shared" si="306"/>
        <v>Semi-detached</v>
      </c>
      <c r="S340">
        <f t="shared" si="307"/>
        <v>1</v>
      </c>
      <c r="T340" t="str">
        <f t="shared" si="287"/>
        <v>-</v>
      </c>
      <c r="U340" t="str">
        <f t="shared" si="288"/>
        <v>-</v>
      </c>
      <c r="V340" t="str">
        <f t="shared" si="289"/>
        <v>-</v>
      </c>
      <c r="W340" t="str">
        <f t="shared" si="290"/>
        <v>-</v>
      </c>
      <c r="X340" t="str">
        <f t="shared" si="291"/>
        <v>-</v>
      </c>
      <c r="Y340" t="str">
        <f t="shared" si="292"/>
        <v>-</v>
      </c>
      <c r="Z340" t="str">
        <f t="shared" si="293"/>
        <v>-</v>
      </c>
      <c r="AA340" t="str">
        <f t="shared" si="294"/>
        <v>-</v>
      </c>
      <c r="AB340" t="str">
        <f t="shared" si="295"/>
        <v>-</v>
      </c>
      <c r="AC340" t="str">
        <f t="shared" si="296"/>
        <v>-</v>
      </c>
    </row>
    <row r="341" spans="1:29" x14ac:dyDescent="0.3">
      <c r="A341" t="s">
        <v>414</v>
      </c>
      <c r="B341" t="str">
        <f t="shared" si="277"/>
        <v>Semi-detached</v>
      </c>
      <c r="C341">
        <f t="shared" ref="C341:D341" si="317">C133</f>
        <v>2</v>
      </c>
      <c r="D341">
        <f t="shared" si="317"/>
        <v>2</v>
      </c>
      <c r="E341" t="e">
        <f>AVERAGEIFS('Region 2'!$W$2:$W$498,'Region 2'!$A$2:$A$498,E$1,'Region 2'!$X$2:$X$498,$D341,'Region 2'!$S$2:$S$498,$A341)</f>
        <v>#DIV/0!</v>
      </c>
      <c r="F341" t="e">
        <f>AVERAGEIFS('Region 2'!$W$2:$W$498,'Region 2'!$A$2:$A$498,F$1,'Region 2'!$X$2:$X$498,$D341,'Region 2'!$S$2:$S$498,$A341)</f>
        <v>#DIV/0!</v>
      </c>
      <c r="G341" t="e">
        <f>AVERAGEIFS('Region 2'!$W$2:$W$498,'Region 2'!$A$2:$A$498,G$1,'Region 2'!$X$2:$X$498,$D341,'Region 2'!$S$2:$S$498,$A341)</f>
        <v>#DIV/0!</v>
      </c>
      <c r="H341" t="e">
        <f>AVERAGEIFS('Region 2'!$W$2:$W$498,'Region 2'!$A$2:$A$498,H$1,'Region 2'!$X$2:$X$498,$D341,'Region 2'!$S$2:$S$498,$A341)</f>
        <v>#DIV/0!</v>
      </c>
      <c r="I341" t="e">
        <f>AVERAGEIFS('Region 2'!$W$2:$W$498,'Region 2'!$A$2:$A$498,I$1,'Region 2'!$X$2:$X$498,$D341,'Region 2'!$S$2:$S$498,$A341)</f>
        <v>#DIV/0!</v>
      </c>
      <c r="J341" t="e">
        <f>AVERAGEIFS('Region 2'!$W$2:$W$498,'Region 2'!$A$2:$A$498,J$1,'Region 2'!$X$2:$X$498,$D341,'Region 2'!$S$2:$S$498,$A341)</f>
        <v>#DIV/0!</v>
      </c>
      <c r="K341" t="e">
        <f>AVERAGEIFS('Region 2'!$W$2:$W$498,'Region 2'!$A$2:$A$498,K$1,'Region 2'!$X$2:$X$498,$D341,'Region 2'!$S$2:$S$498,$A341)</f>
        <v>#DIV/0!</v>
      </c>
      <c r="L341" t="e">
        <f>AVERAGEIFS('Region 2'!$W$2:$W$498,'Region 2'!$A$2:$A$498,L$1,'Region 2'!$X$2:$X$498,$D341,'Region 2'!$S$2:$S$498,$A341)</f>
        <v>#DIV/0!</v>
      </c>
      <c r="M341" t="e">
        <f>AVERAGEIFS('Region 2'!$W$2:$W$498,'Region 2'!$A$2:$A$498,M$1,'Region 2'!$X$2:$X$498,$D341,'Region 2'!$S$2:$S$498,$A341)</f>
        <v>#DIV/0!</v>
      </c>
      <c r="N341" t="e">
        <f>AVERAGEIFS('Region 2'!$W$2:$W$498,'Region 2'!$A$2:$A$498,N$1,'Region 2'!$X$2:$X$498,$D341,'Region 2'!$S$2:$S$498,$A341)</f>
        <v>#DIV/0!</v>
      </c>
      <c r="Q341" t="str">
        <f t="shared" si="305"/>
        <v>Copper</v>
      </c>
      <c r="R341" t="str">
        <f t="shared" si="306"/>
        <v>Semi-detached</v>
      </c>
      <c r="S341">
        <f t="shared" si="307"/>
        <v>2</v>
      </c>
      <c r="T341" t="str">
        <f t="shared" si="287"/>
        <v>-</v>
      </c>
      <c r="U341" t="str">
        <f t="shared" si="288"/>
        <v>-</v>
      </c>
      <c r="V341" t="str">
        <f t="shared" si="289"/>
        <v>-</v>
      </c>
      <c r="W341" t="str">
        <f t="shared" si="290"/>
        <v>-</v>
      </c>
      <c r="X341" t="str">
        <f t="shared" si="291"/>
        <v>-</v>
      </c>
      <c r="Y341" t="str">
        <f t="shared" si="292"/>
        <v>-</v>
      </c>
      <c r="Z341" t="str">
        <f t="shared" si="293"/>
        <v>-</v>
      </c>
      <c r="AA341" t="str">
        <f t="shared" si="294"/>
        <v>-</v>
      </c>
      <c r="AB341" t="str">
        <f t="shared" si="295"/>
        <v>-</v>
      </c>
      <c r="AC341" t="str">
        <f t="shared" si="296"/>
        <v>-</v>
      </c>
    </row>
    <row r="342" spans="1:29" x14ac:dyDescent="0.3">
      <c r="A342" t="s">
        <v>414</v>
      </c>
      <c r="B342" t="str">
        <f t="shared" si="277"/>
        <v>Semi-detached</v>
      </c>
      <c r="C342">
        <f t="shared" ref="C342:D342" si="318">C134</f>
        <v>3</v>
      </c>
      <c r="D342">
        <f t="shared" si="318"/>
        <v>2</v>
      </c>
      <c r="E342" t="e">
        <f ca="1">AVERAGEIFS('Region 3'!$W$2:$W$500,'Region 3'!$A$2:$A$500,E$1,'Region 3'!$X$2:$X$500,$D342,'Region 3'!$S$2:$S$500,$A342)</f>
        <v>#DIV/0!</v>
      </c>
      <c r="F342" t="e">
        <f ca="1">AVERAGEIFS('Region 3'!$W$2:$W$500,'Region 3'!$A$2:$A$500,F$1,'Region 3'!$X$2:$X$500,$D342,'Region 3'!$S$2:$S$500,$A342)</f>
        <v>#DIV/0!</v>
      </c>
      <c r="G342" t="e">
        <f ca="1">AVERAGEIFS('Region 3'!$W$2:$W$500,'Region 3'!$A$2:$A$500,G$1,'Region 3'!$X$2:$X$500,$D342,'Region 3'!$S$2:$S$500,$A342)</f>
        <v>#DIV/0!</v>
      </c>
      <c r="H342" t="e">
        <f ca="1">AVERAGEIFS('Region 3'!$W$2:$W$500,'Region 3'!$A$2:$A$500,H$1,'Region 3'!$X$2:$X$500,$D342,'Region 3'!$S$2:$S$500,$A342)</f>
        <v>#DIV/0!</v>
      </c>
      <c r="I342" t="e">
        <f ca="1">AVERAGEIFS('Region 3'!$W$2:$W$500,'Region 3'!$A$2:$A$500,I$1,'Region 3'!$X$2:$X$500,$D342,'Region 3'!$S$2:$S$500,$A342)</f>
        <v>#DIV/0!</v>
      </c>
      <c r="J342" t="e">
        <f ca="1">AVERAGEIFS('Region 3'!$W$2:$W$500,'Region 3'!$A$2:$A$500,J$1,'Region 3'!$X$2:$X$500,$D342,'Region 3'!$S$2:$S$500,$A342)</f>
        <v>#DIV/0!</v>
      </c>
      <c r="K342" t="e">
        <f ca="1">AVERAGEIFS('Region 3'!$W$2:$W$500,'Region 3'!$A$2:$A$500,K$1,'Region 3'!$X$2:$X$500,$D342,'Region 3'!$S$2:$S$500,$A342)</f>
        <v>#DIV/0!</v>
      </c>
      <c r="L342" t="e">
        <f ca="1">AVERAGEIFS('Region 3'!$W$2:$W$500,'Region 3'!$A$2:$A$500,L$1,'Region 3'!$X$2:$X$500,$D342,'Region 3'!$S$2:$S$500,$A342)</f>
        <v>#DIV/0!</v>
      </c>
      <c r="M342" t="e">
        <f ca="1">AVERAGEIFS('Region 3'!$W$2:$W$500,'Region 3'!$A$2:$A$500,M$1,'Region 3'!$X$2:$X$500,$D342,'Region 3'!$S$2:$S$500,$A342)</f>
        <v>#DIV/0!</v>
      </c>
      <c r="N342" t="e">
        <f ca="1">AVERAGEIFS('Region 3'!$W$2:$W$500,'Region 3'!$A$2:$A$500,N$1,'Region 3'!$X$2:$X$500,$D342,'Region 3'!$S$2:$S$500,$A342)</f>
        <v>#DIV/0!</v>
      </c>
      <c r="Q342" t="str">
        <f t="shared" si="305"/>
        <v>Copper</v>
      </c>
      <c r="R342" t="str">
        <f t="shared" si="306"/>
        <v>Semi-detached</v>
      </c>
      <c r="S342">
        <f t="shared" si="307"/>
        <v>3</v>
      </c>
      <c r="T342" t="str">
        <f t="shared" ca="1" si="287"/>
        <v>-</v>
      </c>
      <c r="U342" t="str">
        <f t="shared" ca="1" si="288"/>
        <v>-</v>
      </c>
      <c r="V342" t="str">
        <f t="shared" ca="1" si="289"/>
        <v>-</v>
      </c>
      <c r="W342" t="str">
        <f t="shared" ca="1" si="290"/>
        <v>-</v>
      </c>
      <c r="X342" t="str">
        <f t="shared" ca="1" si="291"/>
        <v>-</v>
      </c>
      <c r="Y342" t="str">
        <f t="shared" ca="1" si="292"/>
        <v>-</v>
      </c>
      <c r="Z342" t="str">
        <f t="shared" ca="1" si="293"/>
        <v>-</v>
      </c>
      <c r="AA342" t="str">
        <f t="shared" ca="1" si="294"/>
        <v>-</v>
      </c>
      <c r="AB342" t="str">
        <f t="shared" ca="1" si="295"/>
        <v>-</v>
      </c>
      <c r="AC342" t="str">
        <f t="shared" ca="1" si="296"/>
        <v>-</v>
      </c>
    </row>
    <row r="343" spans="1:29" x14ac:dyDescent="0.3">
      <c r="A343" t="s">
        <v>414</v>
      </c>
      <c r="B343" t="str">
        <f t="shared" si="277"/>
        <v>Semi-detached</v>
      </c>
      <c r="C343">
        <f t="shared" ref="C343:D343" si="319">C135</f>
        <v>4</v>
      </c>
      <c r="D343">
        <f t="shared" si="319"/>
        <v>2</v>
      </c>
      <c r="E343" t="e">
        <f>AVERAGEIFS('Region 4'!$W$2:$W$10,'Region 4'!$A$2:$A$10,E$1,'Region 4'!$X$2:$X$10,$D343,'Region 4'!$S$2:$S$10,$A343)</f>
        <v>#DIV/0!</v>
      </c>
      <c r="F343" t="e">
        <f>AVERAGEIFS('Region 4'!$W$2:$W$10,'Region 4'!$A$2:$A$10,F$1,'Region 4'!$X$2:$X$10,$D343,'Region 4'!$S$2:$S$10,$A343)</f>
        <v>#DIV/0!</v>
      </c>
      <c r="G343" t="e">
        <f>AVERAGEIFS('Region 4'!$W$2:$W$10,'Region 4'!$A$2:$A$10,G$1,'Region 4'!$X$2:$X$10,$D343,'Region 4'!$S$2:$S$10,$A343)</f>
        <v>#DIV/0!</v>
      </c>
      <c r="H343" t="e">
        <f>AVERAGEIFS('Region 4'!$W$2:$W$10,'Region 4'!$A$2:$A$10,H$1,'Region 4'!$X$2:$X$10,$D343,'Region 4'!$S$2:$S$10,$A343)</f>
        <v>#DIV/0!</v>
      </c>
      <c r="I343" t="e">
        <f>AVERAGEIFS('Region 4'!$W$2:$W$10,'Region 4'!$A$2:$A$10,I$1,'Region 4'!$X$2:$X$10,$D343,'Region 4'!$S$2:$S$10,$A343)</f>
        <v>#DIV/0!</v>
      </c>
      <c r="J343" t="e">
        <f>AVERAGEIFS('Region 4'!$W$2:$W$10,'Region 4'!$A$2:$A$10,J$1,'Region 4'!$X$2:$X$10,$D343,'Region 4'!$S$2:$S$10,$A343)</f>
        <v>#DIV/0!</v>
      </c>
      <c r="K343" t="e">
        <f>AVERAGEIFS('Region 4'!$W$2:$W$10,'Region 4'!$A$2:$A$10,K$1,'Region 4'!$X$2:$X$10,$D343,'Region 4'!$S$2:$S$10,$A343)</f>
        <v>#DIV/0!</v>
      </c>
      <c r="L343" t="e">
        <f>AVERAGEIFS('Region 4'!$W$2:$W$10,'Region 4'!$A$2:$A$10,L$1,'Region 4'!$X$2:$X$10,$D343,'Region 4'!$S$2:$S$10,$A343)</f>
        <v>#DIV/0!</v>
      </c>
      <c r="M343" t="e">
        <f>AVERAGEIFS('Region 4'!$W$2:$W$10,'Region 4'!$A$2:$A$10,M$1,'Region 4'!$X$2:$X$10,$D343,'Region 4'!$S$2:$S$10,$A343)</f>
        <v>#DIV/0!</v>
      </c>
      <c r="N343" t="e">
        <f>AVERAGEIFS('Region 4'!$W$2:$W$10,'Region 4'!$A$2:$A$10,N$1,'Region 4'!$X$2:$X$10,$D343,'Region 4'!$S$2:$S$10,$A343)</f>
        <v>#DIV/0!</v>
      </c>
      <c r="Q343" t="str">
        <f t="shared" si="305"/>
        <v>Copper</v>
      </c>
      <c r="R343" t="str">
        <f t="shared" si="306"/>
        <v>Semi-detached</v>
      </c>
      <c r="S343">
        <f t="shared" si="307"/>
        <v>4</v>
      </c>
      <c r="T343" t="str">
        <f t="shared" si="287"/>
        <v>-</v>
      </c>
      <c r="U343" t="str">
        <f t="shared" si="288"/>
        <v>-</v>
      </c>
      <c r="V343" t="str">
        <f t="shared" si="289"/>
        <v>-</v>
      </c>
      <c r="W343" t="str">
        <f t="shared" si="290"/>
        <v>-</v>
      </c>
      <c r="X343" t="str">
        <f t="shared" si="291"/>
        <v>-</v>
      </c>
      <c r="Y343" t="str">
        <f t="shared" si="292"/>
        <v>-</v>
      </c>
      <c r="Z343" t="str">
        <f t="shared" si="293"/>
        <v>-</v>
      </c>
      <c r="AA343" t="str">
        <f t="shared" si="294"/>
        <v>-</v>
      </c>
      <c r="AB343" t="str">
        <f t="shared" si="295"/>
        <v>-</v>
      </c>
      <c r="AC343" t="str">
        <f t="shared" si="296"/>
        <v>-</v>
      </c>
    </row>
    <row r="344" spans="1:29" x14ac:dyDescent="0.3">
      <c r="A344" t="s">
        <v>414</v>
      </c>
      <c r="B344" t="str">
        <f t="shared" si="277"/>
        <v>Semi-detached</v>
      </c>
      <c r="C344">
        <f t="shared" ref="C344:D344" si="320">C136</f>
        <v>5</v>
      </c>
      <c r="D344">
        <f t="shared" si="320"/>
        <v>2</v>
      </c>
      <c r="E344" t="e">
        <f>AVERAGEIFS('Region 5'!$W$2:$W$496,'Region 5'!$A$2:$A$496,E$1,'Region 5'!$X$2:$X$496,$D344,'Region 5'!$S$2:$S$496,$A344)</f>
        <v>#DIV/0!</v>
      </c>
      <c r="F344" t="e">
        <f>AVERAGEIFS('Region 5'!$W$2:$W$496,'Region 5'!$A$2:$A$496,F$1,'Region 5'!$X$2:$X$496,$D344,'Region 5'!$S$2:$S$496,$A344)</f>
        <v>#DIV/0!</v>
      </c>
      <c r="G344" t="e">
        <f>AVERAGEIFS('Region 5'!$W$2:$W$496,'Region 5'!$A$2:$A$496,G$1,'Region 5'!$X$2:$X$496,$D344,'Region 5'!$S$2:$S$496,$A344)</f>
        <v>#DIV/0!</v>
      </c>
      <c r="H344" t="e">
        <f>AVERAGEIFS('Region 5'!$W$2:$W$496,'Region 5'!$A$2:$A$496,H$1,'Region 5'!$X$2:$X$496,$D344,'Region 5'!$S$2:$S$496,$A344)</f>
        <v>#DIV/0!</v>
      </c>
      <c r="I344" t="e">
        <f>AVERAGEIFS('Region 5'!$W$2:$W$496,'Region 5'!$A$2:$A$496,I$1,'Region 5'!$X$2:$X$496,$D344,'Region 5'!$S$2:$S$496,$A344)</f>
        <v>#DIV/0!</v>
      </c>
      <c r="J344" t="e">
        <f>AVERAGEIFS('Region 5'!$W$2:$W$496,'Region 5'!$A$2:$A$496,J$1,'Region 5'!$X$2:$X$496,$D344,'Region 5'!$S$2:$S$496,$A344)</f>
        <v>#DIV/0!</v>
      </c>
      <c r="K344" t="e">
        <f>AVERAGEIFS('Region 5'!$W$2:$W$496,'Region 5'!$A$2:$A$496,K$1,'Region 5'!$X$2:$X$496,$D344,'Region 5'!$S$2:$S$496,$A344)</f>
        <v>#DIV/0!</v>
      </c>
      <c r="L344" t="e">
        <f>AVERAGEIFS('Region 5'!$W$2:$W$496,'Region 5'!$A$2:$A$496,L$1,'Region 5'!$X$2:$X$496,$D344,'Region 5'!$S$2:$S$496,$A344)</f>
        <v>#DIV/0!</v>
      </c>
      <c r="M344" t="e">
        <f>AVERAGEIFS('Region 5'!$W$2:$W$496,'Region 5'!$A$2:$A$496,M$1,'Region 5'!$X$2:$X$496,$D344,'Region 5'!$S$2:$S$496,$A344)</f>
        <v>#DIV/0!</v>
      </c>
      <c r="N344" t="e">
        <f>AVERAGEIFS('Region 5'!$W$2:$W$496,'Region 5'!$A$2:$A$496,N$1,'Region 5'!$X$2:$X$496,$D344,'Region 5'!$S$2:$S$496,$A344)</f>
        <v>#DIV/0!</v>
      </c>
      <c r="Q344" t="str">
        <f t="shared" si="305"/>
        <v>Copper</v>
      </c>
      <c r="R344" t="str">
        <f t="shared" si="306"/>
        <v>Semi-detached</v>
      </c>
      <c r="S344">
        <f t="shared" si="307"/>
        <v>5</v>
      </c>
      <c r="T344" t="str">
        <f t="shared" si="287"/>
        <v>-</v>
      </c>
      <c r="U344" t="str">
        <f t="shared" si="288"/>
        <v>-</v>
      </c>
      <c r="V344" t="str">
        <f t="shared" si="289"/>
        <v>-</v>
      </c>
      <c r="W344" t="str">
        <f t="shared" si="290"/>
        <v>-</v>
      </c>
      <c r="X344" t="str">
        <f t="shared" si="291"/>
        <v>-</v>
      </c>
      <c r="Y344" t="str">
        <f t="shared" si="292"/>
        <v>-</v>
      </c>
      <c r="Z344" t="str">
        <f t="shared" si="293"/>
        <v>-</v>
      </c>
      <c r="AA344" t="str">
        <f t="shared" si="294"/>
        <v>-</v>
      </c>
      <c r="AB344" t="str">
        <f t="shared" si="295"/>
        <v>-</v>
      </c>
      <c r="AC344" t="str">
        <f t="shared" si="296"/>
        <v>-</v>
      </c>
    </row>
    <row r="345" spans="1:29" x14ac:dyDescent="0.3">
      <c r="A345" t="s">
        <v>414</v>
      </c>
      <c r="B345" t="str">
        <f t="shared" si="277"/>
        <v>Semi-detached</v>
      </c>
      <c r="C345">
        <f t="shared" ref="C345:D345" si="321">C137</f>
        <v>6</v>
      </c>
      <c r="D345">
        <f t="shared" si="321"/>
        <v>2</v>
      </c>
      <c r="E345" t="e">
        <f>AVERAGEIFS('Region 6'!$W$2:$W$496,'Region 6'!$A$2:$A$496,E$1,'Region 6'!$X$2:$X$496,$D345,'Region 6'!$S$2:$S$496,$A345)</f>
        <v>#DIV/0!</v>
      </c>
      <c r="F345" t="e">
        <f>AVERAGEIFS('Region 6'!$W$2:$W$496,'Region 6'!$A$2:$A$496,F$1,'Region 6'!$X$2:$X$496,$D345,'Region 6'!$S$2:$S$496,$A345)</f>
        <v>#DIV/0!</v>
      </c>
      <c r="G345" t="e">
        <f>AVERAGEIFS('Region 6'!$W$2:$W$496,'Region 6'!$A$2:$A$496,G$1,'Region 6'!$X$2:$X$496,$D345,'Region 6'!$S$2:$S$496,$A345)</f>
        <v>#DIV/0!</v>
      </c>
      <c r="H345" t="e">
        <f>AVERAGEIFS('Region 6'!$W$2:$W$496,'Region 6'!$A$2:$A$496,H$1,'Region 6'!$X$2:$X$496,$D345,'Region 6'!$S$2:$S$496,$A345)</f>
        <v>#DIV/0!</v>
      </c>
      <c r="I345" t="e">
        <f>AVERAGEIFS('Region 6'!$W$2:$W$496,'Region 6'!$A$2:$A$496,I$1,'Region 6'!$X$2:$X$496,$D345,'Region 6'!$S$2:$S$496,$A345)</f>
        <v>#DIV/0!</v>
      </c>
      <c r="J345" t="e">
        <f>AVERAGEIFS('Region 6'!$W$2:$W$496,'Region 6'!$A$2:$A$496,J$1,'Region 6'!$X$2:$X$496,$D345,'Region 6'!$S$2:$S$496,$A345)</f>
        <v>#DIV/0!</v>
      </c>
      <c r="K345" t="e">
        <f>AVERAGEIFS('Region 6'!$W$2:$W$496,'Region 6'!$A$2:$A$496,K$1,'Region 6'!$X$2:$X$496,$D345,'Region 6'!$S$2:$S$496,$A345)</f>
        <v>#DIV/0!</v>
      </c>
      <c r="L345" t="e">
        <f>AVERAGEIFS('Region 6'!$W$2:$W$496,'Region 6'!$A$2:$A$496,L$1,'Region 6'!$X$2:$X$496,$D345,'Region 6'!$S$2:$S$496,$A345)</f>
        <v>#DIV/0!</v>
      </c>
      <c r="M345" t="e">
        <f>AVERAGEIFS('Region 6'!$W$2:$W$496,'Region 6'!$A$2:$A$496,M$1,'Region 6'!$X$2:$X$496,$D345,'Region 6'!$S$2:$S$496,$A345)</f>
        <v>#DIV/0!</v>
      </c>
      <c r="N345" t="e">
        <f>AVERAGEIFS('Region 6'!$W$2:$W$496,'Region 6'!$A$2:$A$496,N$1,'Region 6'!$X$2:$X$496,$D345,'Region 6'!$S$2:$S$496,$A345)</f>
        <v>#DIV/0!</v>
      </c>
      <c r="Q345" t="str">
        <f t="shared" si="305"/>
        <v>Copper</v>
      </c>
      <c r="R345" t="str">
        <f t="shared" si="306"/>
        <v>Semi-detached</v>
      </c>
      <c r="S345">
        <f t="shared" si="307"/>
        <v>6</v>
      </c>
      <c r="T345" t="str">
        <f t="shared" si="287"/>
        <v>-</v>
      </c>
      <c r="U345" t="str">
        <f t="shared" si="288"/>
        <v>-</v>
      </c>
      <c r="V345" t="str">
        <f t="shared" si="289"/>
        <v>-</v>
      </c>
      <c r="W345" t="str">
        <f t="shared" si="290"/>
        <v>-</v>
      </c>
      <c r="X345" t="str">
        <f t="shared" si="291"/>
        <v>-</v>
      </c>
      <c r="Y345" t="str">
        <f t="shared" si="292"/>
        <v>-</v>
      </c>
      <c r="Z345" t="str">
        <f t="shared" si="293"/>
        <v>-</v>
      </c>
      <c r="AA345" t="str">
        <f t="shared" si="294"/>
        <v>-</v>
      </c>
      <c r="AB345" t="str">
        <f t="shared" si="295"/>
        <v>-</v>
      </c>
      <c r="AC345" t="str">
        <f t="shared" si="296"/>
        <v>-</v>
      </c>
    </row>
    <row r="346" spans="1:29" x14ac:dyDescent="0.3">
      <c r="A346" t="s">
        <v>414</v>
      </c>
      <c r="B346" t="str">
        <f t="shared" si="277"/>
        <v>Semi-detached</v>
      </c>
      <c r="C346">
        <f t="shared" ref="C346:D346" si="322">C138</f>
        <v>7</v>
      </c>
      <c r="D346">
        <f t="shared" si="322"/>
        <v>2</v>
      </c>
      <c r="E346" t="e">
        <f ca="1">AVERAGEIFS('Region 7'!$W$2:$W$500,'Region 7'!$A$2:$A$500,E$1,'Region 7'!$X$2:$X$500,$D346,'Region 7'!$S$2:$S$500,$A346)</f>
        <v>#DIV/0!</v>
      </c>
      <c r="F346" t="e">
        <f ca="1">AVERAGEIFS('Region 7'!$W$2:$W$500,'Region 7'!$A$2:$A$500,F$1,'Region 7'!$X$2:$X$500,$D346,'Region 7'!$S$2:$S$500,$A346)</f>
        <v>#DIV/0!</v>
      </c>
      <c r="G346" t="e">
        <f ca="1">AVERAGEIFS('Region 7'!$W$2:$W$500,'Region 7'!$A$2:$A$500,G$1,'Region 7'!$X$2:$X$500,$D346,'Region 7'!$S$2:$S$500,$A346)</f>
        <v>#DIV/0!</v>
      </c>
      <c r="H346" t="e">
        <f ca="1">AVERAGEIFS('Region 7'!$W$2:$W$500,'Region 7'!$A$2:$A$500,H$1,'Region 7'!$X$2:$X$500,$D346,'Region 7'!$S$2:$S$500,$A346)</f>
        <v>#DIV/0!</v>
      </c>
      <c r="I346" t="e">
        <f ca="1">AVERAGEIFS('Region 7'!$W$2:$W$500,'Region 7'!$A$2:$A$500,I$1,'Region 7'!$X$2:$X$500,$D346,'Region 7'!$S$2:$S$500,$A346)</f>
        <v>#DIV/0!</v>
      </c>
      <c r="J346" t="e">
        <f ca="1">AVERAGEIFS('Region 7'!$W$2:$W$500,'Region 7'!$A$2:$A$500,J$1,'Region 7'!$X$2:$X$500,$D346,'Region 7'!$S$2:$S$500,$A346)</f>
        <v>#DIV/0!</v>
      </c>
      <c r="K346" t="e">
        <f ca="1">AVERAGEIFS('Region 7'!$W$2:$W$500,'Region 7'!$A$2:$A$500,K$1,'Region 7'!$X$2:$X$500,$D346,'Region 7'!$S$2:$S$500,$A346)</f>
        <v>#DIV/0!</v>
      </c>
      <c r="L346" t="e">
        <f ca="1">AVERAGEIFS('Region 7'!$W$2:$W$500,'Region 7'!$A$2:$A$500,L$1,'Region 7'!$X$2:$X$500,$D346,'Region 7'!$S$2:$S$500,$A346)</f>
        <v>#DIV/0!</v>
      </c>
      <c r="M346" t="e">
        <f ca="1">AVERAGEIFS('Region 7'!$W$2:$W$500,'Region 7'!$A$2:$A$500,M$1,'Region 7'!$X$2:$X$500,$D346,'Region 7'!$S$2:$S$500,$A346)</f>
        <v>#DIV/0!</v>
      </c>
      <c r="N346" t="e">
        <f ca="1">AVERAGEIFS('Region 7'!$W$2:$W$500,'Region 7'!$A$2:$A$500,N$1,'Region 7'!$X$2:$X$500,$D346,'Region 7'!$S$2:$S$500,$A346)</f>
        <v>#DIV/0!</v>
      </c>
      <c r="Q346" t="str">
        <f t="shared" si="305"/>
        <v>Copper</v>
      </c>
      <c r="R346" t="str">
        <f t="shared" si="306"/>
        <v>Semi-detached</v>
      </c>
      <c r="S346">
        <f t="shared" si="307"/>
        <v>7</v>
      </c>
      <c r="T346" t="str">
        <f t="shared" ca="1" si="287"/>
        <v>-</v>
      </c>
      <c r="U346" t="str">
        <f t="shared" ca="1" si="288"/>
        <v>-</v>
      </c>
      <c r="V346" t="str">
        <f t="shared" ca="1" si="289"/>
        <v>-</v>
      </c>
      <c r="W346" t="str">
        <f t="shared" ca="1" si="290"/>
        <v>-</v>
      </c>
      <c r="X346" t="str">
        <f t="shared" ca="1" si="291"/>
        <v>-</v>
      </c>
      <c r="Y346" t="str">
        <f t="shared" ca="1" si="292"/>
        <v>-</v>
      </c>
      <c r="Z346" t="str">
        <f t="shared" ca="1" si="293"/>
        <v>-</v>
      </c>
      <c r="AA346" t="str">
        <f t="shared" ca="1" si="294"/>
        <v>-</v>
      </c>
      <c r="AB346" t="str">
        <f t="shared" ca="1" si="295"/>
        <v>-</v>
      </c>
      <c r="AC346" t="str">
        <f t="shared" ca="1" si="296"/>
        <v>-</v>
      </c>
    </row>
    <row r="347" spans="1:29" x14ac:dyDescent="0.3">
      <c r="A347" t="s">
        <v>414</v>
      </c>
      <c r="B347" t="str">
        <f t="shared" si="277"/>
        <v>Semi-detached</v>
      </c>
      <c r="C347">
        <f t="shared" ref="C347:D347" si="323">C139</f>
        <v>8</v>
      </c>
      <c r="D347">
        <f t="shared" si="323"/>
        <v>2</v>
      </c>
      <c r="E347" t="e">
        <f>AVERAGEIFS('Region 8'!$W$2:$W$497,'Region 8'!$A$2:$A$497,E$1,'Region 8'!$X$2:$X$497,$D347,'Region 8'!$S$2:$S$497,$A347)</f>
        <v>#DIV/0!</v>
      </c>
      <c r="F347" t="e">
        <f>AVERAGEIFS('Region 8'!$W$2:$W$497,'Region 8'!$A$2:$A$497,F$1,'Region 8'!$X$2:$X$497,$D347,'Region 8'!$S$2:$S$497,$A347)</f>
        <v>#DIV/0!</v>
      </c>
      <c r="G347" t="e">
        <f>AVERAGEIFS('Region 8'!$W$2:$W$497,'Region 8'!$A$2:$A$497,G$1,'Region 8'!$X$2:$X$497,$D347,'Region 8'!$S$2:$S$497,$A347)</f>
        <v>#DIV/0!</v>
      </c>
      <c r="H347" t="e">
        <f>AVERAGEIFS('Region 8'!$W$2:$W$497,'Region 8'!$A$2:$A$497,H$1,'Region 8'!$X$2:$X$497,$D347,'Region 8'!$S$2:$S$497,$A347)</f>
        <v>#DIV/0!</v>
      </c>
      <c r="I347" t="e">
        <f>AVERAGEIFS('Region 8'!$W$2:$W$497,'Region 8'!$A$2:$A$497,I$1,'Region 8'!$X$2:$X$497,$D347,'Region 8'!$S$2:$S$497,$A347)</f>
        <v>#DIV/0!</v>
      </c>
      <c r="J347" t="e">
        <f>AVERAGEIFS('Region 8'!$W$2:$W$497,'Region 8'!$A$2:$A$497,J$1,'Region 8'!$X$2:$X$497,$D347,'Region 8'!$S$2:$S$497,$A347)</f>
        <v>#DIV/0!</v>
      </c>
      <c r="K347" t="e">
        <f>AVERAGEIFS('Region 8'!$W$2:$W$497,'Region 8'!$A$2:$A$497,K$1,'Region 8'!$X$2:$X$497,$D347,'Region 8'!$S$2:$S$497,$A347)</f>
        <v>#DIV/0!</v>
      </c>
      <c r="L347" t="e">
        <f>AVERAGEIFS('Region 8'!$W$2:$W$497,'Region 8'!$A$2:$A$497,L$1,'Region 8'!$X$2:$X$497,$D347,'Region 8'!$S$2:$S$497,$A347)</f>
        <v>#DIV/0!</v>
      </c>
      <c r="M347" t="e">
        <f>AVERAGEIFS('Region 8'!$W$2:$W$497,'Region 8'!$A$2:$A$497,M$1,'Region 8'!$X$2:$X$497,$D347,'Region 8'!$S$2:$S$497,$A347)</f>
        <v>#DIV/0!</v>
      </c>
      <c r="N347" t="e">
        <f>AVERAGEIFS('Region 8'!$W$2:$W$497,'Region 8'!$A$2:$A$497,N$1,'Region 8'!$X$2:$X$497,$D347,'Region 8'!$S$2:$S$497,$A347)</f>
        <v>#DIV/0!</v>
      </c>
      <c r="Q347" t="str">
        <f t="shared" si="305"/>
        <v>Copper</v>
      </c>
      <c r="R347" t="str">
        <f t="shared" si="306"/>
        <v>Semi-detached</v>
      </c>
      <c r="S347">
        <f t="shared" si="307"/>
        <v>8</v>
      </c>
      <c r="T347" t="str">
        <f t="shared" si="287"/>
        <v>-</v>
      </c>
      <c r="U347" t="str">
        <f t="shared" si="288"/>
        <v>-</v>
      </c>
      <c r="V347" t="str">
        <f t="shared" si="289"/>
        <v>-</v>
      </c>
      <c r="W347" t="str">
        <f t="shared" si="290"/>
        <v>-</v>
      </c>
      <c r="X347" t="str">
        <f t="shared" si="291"/>
        <v>-</v>
      </c>
      <c r="Y347" t="str">
        <f t="shared" si="292"/>
        <v>-</v>
      </c>
      <c r="Z347" t="str">
        <f t="shared" si="293"/>
        <v>-</v>
      </c>
      <c r="AA347" t="str">
        <f t="shared" si="294"/>
        <v>-</v>
      </c>
      <c r="AB347" t="str">
        <f t="shared" si="295"/>
        <v>-</v>
      </c>
      <c r="AC347" t="str">
        <f t="shared" si="296"/>
        <v>-</v>
      </c>
    </row>
    <row r="348" spans="1:29" x14ac:dyDescent="0.3">
      <c r="A348" t="s">
        <v>414</v>
      </c>
      <c r="B348" t="str">
        <f t="shared" si="277"/>
        <v>Semi-detached</v>
      </c>
      <c r="C348">
        <f t="shared" ref="C348:D348" si="324">C140</f>
        <v>9</v>
      </c>
      <c r="D348">
        <f t="shared" si="324"/>
        <v>2</v>
      </c>
      <c r="E348" t="e">
        <f ca="1">AVERAGEIFS('Region 9'!$W$2:$W$500,'Region 9'!$A$2:$A$500,E$1,'Region 9'!$X$2:$X$500,$D348,'Region 9'!$S$2:$S$500,$A348)</f>
        <v>#DIV/0!</v>
      </c>
      <c r="F348" t="e">
        <f ca="1">AVERAGEIFS('Region 9'!$W$2:$W$500,'Region 9'!$A$2:$A$500,F$1,'Region 9'!$X$2:$X$500,$D348,'Region 9'!$S$2:$S$500,$A348)</f>
        <v>#DIV/0!</v>
      </c>
      <c r="G348" t="e">
        <f ca="1">AVERAGEIFS('Region 9'!$W$2:$W$500,'Region 9'!$A$2:$A$500,G$1,'Region 9'!$X$2:$X$500,$D348,'Region 9'!$S$2:$S$500,$A348)</f>
        <v>#DIV/0!</v>
      </c>
      <c r="H348" t="e">
        <f ca="1">AVERAGEIFS('Region 9'!$W$2:$W$500,'Region 9'!$A$2:$A$500,H$1,'Region 9'!$X$2:$X$500,$D348,'Region 9'!$S$2:$S$500,$A348)</f>
        <v>#DIV/0!</v>
      </c>
      <c r="I348" t="e">
        <f ca="1">AVERAGEIFS('Region 9'!$W$2:$W$500,'Region 9'!$A$2:$A$500,I$1,'Region 9'!$X$2:$X$500,$D348,'Region 9'!$S$2:$S$500,$A348)</f>
        <v>#DIV/0!</v>
      </c>
      <c r="J348" t="e">
        <f ca="1">AVERAGEIFS('Region 9'!$W$2:$W$500,'Region 9'!$A$2:$A$500,J$1,'Region 9'!$X$2:$X$500,$D348,'Region 9'!$S$2:$S$500,$A348)</f>
        <v>#DIV/0!</v>
      </c>
      <c r="K348" t="e">
        <f ca="1">AVERAGEIFS('Region 9'!$W$2:$W$500,'Region 9'!$A$2:$A$500,K$1,'Region 9'!$X$2:$X$500,$D348,'Region 9'!$S$2:$S$500,$A348)</f>
        <v>#DIV/0!</v>
      </c>
      <c r="L348" t="e">
        <f ca="1">AVERAGEIFS('Region 9'!$W$2:$W$500,'Region 9'!$A$2:$A$500,L$1,'Region 9'!$X$2:$X$500,$D348,'Region 9'!$S$2:$S$500,$A348)</f>
        <v>#DIV/0!</v>
      </c>
      <c r="M348" t="e">
        <f ca="1">AVERAGEIFS('Region 9'!$W$2:$W$500,'Region 9'!$A$2:$A$500,M$1,'Region 9'!$X$2:$X$500,$D348,'Region 9'!$S$2:$S$500,$A348)</f>
        <v>#DIV/0!</v>
      </c>
      <c r="N348" t="e">
        <f ca="1">AVERAGEIFS('Region 9'!$W$2:$W$500,'Region 9'!$A$2:$A$500,N$1,'Region 9'!$X$2:$X$500,$D348,'Region 9'!$S$2:$S$500,$A348)</f>
        <v>#DIV/0!</v>
      </c>
      <c r="Q348" t="str">
        <f t="shared" si="305"/>
        <v>Copper</v>
      </c>
      <c r="R348" t="str">
        <f t="shared" si="306"/>
        <v>Semi-detached</v>
      </c>
      <c r="S348">
        <f t="shared" si="307"/>
        <v>9</v>
      </c>
      <c r="T348" t="str">
        <f t="shared" ca="1" si="287"/>
        <v>-</v>
      </c>
      <c r="U348" t="str">
        <f t="shared" ca="1" si="288"/>
        <v>-</v>
      </c>
      <c r="V348" t="str">
        <f t="shared" ca="1" si="289"/>
        <v>-</v>
      </c>
      <c r="W348" t="str">
        <f t="shared" ca="1" si="290"/>
        <v>-</v>
      </c>
      <c r="X348" t="str">
        <f t="shared" ca="1" si="291"/>
        <v>-</v>
      </c>
      <c r="Y348" t="str">
        <f t="shared" ca="1" si="292"/>
        <v>-</v>
      </c>
      <c r="Z348" t="str">
        <f t="shared" ca="1" si="293"/>
        <v>-</v>
      </c>
      <c r="AA348" t="str">
        <f t="shared" ca="1" si="294"/>
        <v>-</v>
      </c>
      <c r="AB348" t="str">
        <f t="shared" ca="1" si="295"/>
        <v>-</v>
      </c>
      <c r="AC348" t="str">
        <f t="shared" ca="1" si="296"/>
        <v>-</v>
      </c>
    </row>
    <row r="349" spans="1:29" x14ac:dyDescent="0.3">
      <c r="A349" t="s">
        <v>414</v>
      </c>
      <c r="B349" t="str">
        <f t="shared" si="277"/>
        <v>Semi-detached</v>
      </c>
      <c r="C349">
        <f t="shared" ref="C349:D349" si="325">C141</f>
        <v>10</v>
      </c>
      <c r="D349">
        <f t="shared" si="325"/>
        <v>2</v>
      </c>
      <c r="E349" t="e">
        <f>AVERAGEIFS('Region 10'!$W$2:$W$500,'Region 10'!$A$2:$A$500,E$1,'Region 10'!$X$2:$X$500,$D349,'Region 10'!$S$2:$S$500,$A349)</f>
        <v>#DIV/0!</v>
      </c>
      <c r="F349" t="e">
        <f>AVERAGEIFS('Region 10'!$W$2:$W$500,'Region 10'!$A$2:$A$500,F$1,'Region 10'!$X$2:$X$500,$D349,'Region 10'!$S$2:$S$500,$A349)</f>
        <v>#DIV/0!</v>
      </c>
      <c r="G349" t="e">
        <f>AVERAGEIFS('Region 10'!$W$2:$W$500,'Region 10'!$A$2:$A$500,G$1,'Region 10'!$X$2:$X$500,$D349,'Region 10'!$S$2:$S$500,$A349)</f>
        <v>#DIV/0!</v>
      </c>
      <c r="H349" t="e">
        <f>AVERAGEIFS('Region 10'!$W$2:$W$500,'Region 10'!$A$2:$A$500,H$1,'Region 10'!$X$2:$X$500,$D349,'Region 10'!$S$2:$S$500,$A349)</f>
        <v>#DIV/0!</v>
      </c>
      <c r="I349" t="e">
        <f>AVERAGEIFS('Region 10'!$W$2:$W$500,'Region 10'!$A$2:$A$500,I$1,'Region 10'!$X$2:$X$500,$D349,'Region 10'!$S$2:$S$500,$A349)</f>
        <v>#DIV/0!</v>
      </c>
      <c r="J349" t="e">
        <f>AVERAGEIFS('Region 10'!$W$2:$W$500,'Region 10'!$A$2:$A$500,J$1,'Region 10'!$X$2:$X$500,$D349,'Region 10'!$S$2:$S$500,$A349)</f>
        <v>#DIV/0!</v>
      </c>
      <c r="K349" t="e">
        <f>AVERAGEIFS('Region 10'!$W$2:$W$500,'Region 10'!$A$2:$A$500,K$1,'Region 10'!$X$2:$X$500,$D349,'Region 10'!$S$2:$S$500,$A349)</f>
        <v>#DIV/0!</v>
      </c>
      <c r="L349" t="e">
        <f>AVERAGEIFS('Region 10'!$W$2:$W$500,'Region 10'!$A$2:$A$500,L$1,'Region 10'!$X$2:$X$500,$D349,'Region 10'!$S$2:$S$500,$A349)</f>
        <v>#DIV/0!</v>
      </c>
      <c r="M349" t="e">
        <f>AVERAGEIFS('Region 10'!$W$2:$W$500,'Region 10'!$A$2:$A$500,M$1,'Region 10'!$X$2:$X$500,$D349,'Region 10'!$S$2:$S$500,$A349)</f>
        <v>#DIV/0!</v>
      </c>
      <c r="N349" t="e">
        <f>AVERAGEIFS('Region 10'!$W$2:$W$500,'Region 10'!$A$2:$A$500,N$1,'Region 10'!$X$2:$X$500,$D349,'Region 10'!$S$2:$S$500,$A349)</f>
        <v>#DIV/0!</v>
      </c>
      <c r="Q349" t="str">
        <f t="shared" si="305"/>
        <v>Copper</v>
      </c>
      <c r="R349" t="str">
        <f t="shared" si="306"/>
        <v>Semi-detached</v>
      </c>
      <c r="S349">
        <f t="shared" si="307"/>
        <v>10</v>
      </c>
      <c r="T349" t="str">
        <f t="shared" si="287"/>
        <v>-</v>
      </c>
      <c r="U349" t="str">
        <f t="shared" si="288"/>
        <v>-</v>
      </c>
      <c r="V349" t="str">
        <f t="shared" si="289"/>
        <v>-</v>
      </c>
      <c r="W349" t="str">
        <f t="shared" si="290"/>
        <v>-</v>
      </c>
      <c r="X349" t="str">
        <f t="shared" si="291"/>
        <v>-</v>
      </c>
      <c r="Y349" t="str">
        <f t="shared" si="292"/>
        <v>-</v>
      </c>
      <c r="Z349" t="str">
        <f t="shared" si="293"/>
        <v>-</v>
      </c>
      <c r="AA349" t="str">
        <f t="shared" si="294"/>
        <v>-</v>
      </c>
      <c r="AB349" t="str">
        <f t="shared" si="295"/>
        <v>-</v>
      </c>
      <c r="AC349" t="str">
        <f t="shared" si="296"/>
        <v>-</v>
      </c>
    </row>
    <row r="350" spans="1:29" x14ac:dyDescent="0.3">
      <c r="A350" t="s">
        <v>414</v>
      </c>
      <c r="B350" t="str">
        <f t="shared" si="277"/>
        <v>Semi-detached</v>
      </c>
      <c r="C350">
        <f t="shared" ref="C350:D350" si="326">C142</f>
        <v>11</v>
      </c>
      <c r="D350">
        <f t="shared" si="326"/>
        <v>2</v>
      </c>
      <c r="E350" t="e">
        <f>AVERAGEIFS('Region 11'!$W$2:$W$391,'Region 11'!$A$2:$A$391,E$1,'Region 11'!$X$2:$X$391,$D350,'Region 11'!$S$2:$S$391,$A350)</f>
        <v>#DIV/0!</v>
      </c>
      <c r="F350" t="e">
        <f>AVERAGEIFS('Region 11'!$W$2:$W$391,'Region 11'!$A$2:$A$391,F$1,'Region 11'!$X$2:$X$391,$D350,'Region 11'!$S$2:$S$391,$A350)</f>
        <v>#DIV/0!</v>
      </c>
      <c r="G350" t="e">
        <f>AVERAGEIFS('Region 11'!$W$2:$W$391,'Region 11'!$A$2:$A$391,G$1,'Region 11'!$X$2:$X$391,$D350,'Region 11'!$S$2:$S$391,$A350)</f>
        <v>#DIV/0!</v>
      </c>
      <c r="H350" t="e">
        <f>AVERAGEIFS('Region 11'!$W$2:$W$391,'Region 11'!$A$2:$A$391,H$1,'Region 11'!$X$2:$X$391,$D350,'Region 11'!$S$2:$S$391,$A350)</f>
        <v>#DIV/0!</v>
      </c>
      <c r="I350" t="e">
        <f>AVERAGEIFS('Region 11'!$W$2:$W$391,'Region 11'!$A$2:$A$391,I$1,'Region 11'!$X$2:$X$391,$D350,'Region 11'!$S$2:$S$391,$A350)</f>
        <v>#DIV/0!</v>
      </c>
      <c r="J350" t="e">
        <f>AVERAGEIFS('Region 11'!$W$2:$W$391,'Region 11'!$A$2:$A$391,J$1,'Region 11'!$X$2:$X$391,$D350,'Region 11'!$S$2:$S$391,$A350)</f>
        <v>#DIV/0!</v>
      </c>
      <c r="K350" t="e">
        <f>AVERAGEIFS('Region 11'!$W$2:$W$391,'Region 11'!$A$2:$A$391,K$1,'Region 11'!$X$2:$X$391,$D350,'Region 11'!$S$2:$S$391,$A350)</f>
        <v>#DIV/0!</v>
      </c>
      <c r="L350" t="e">
        <f>AVERAGEIFS('Region 11'!$W$2:$W$391,'Region 11'!$A$2:$A$391,L$1,'Region 11'!$X$2:$X$391,$D350,'Region 11'!$S$2:$S$391,$A350)</f>
        <v>#DIV/0!</v>
      </c>
      <c r="M350" t="e">
        <f>AVERAGEIFS('Region 11'!$W$2:$W$391,'Region 11'!$A$2:$A$391,M$1,'Region 11'!$X$2:$X$391,$D350,'Region 11'!$S$2:$S$391,$A350)</f>
        <v>#DIV/0!</v>
      </c>
      <c r="N350" t="e">
        <f>AVERAGEIFS('Region 11'!$W$2:$W$391,'Region 11'!$A$2:$A$391,N$1,'Region 11'!$X$2:$X$391,$D350,'Region 11'!$S$2:$S$391,$A350)</f>
        <v>#DIV/0!</v>
      </c>
      <c r="Q350" t="str">
        <f t="shared" si="305"/>
        <v>Copper</v>
      </c>
      <c r="R350" t="str">
        <f t="shared" si="306"/>
        <v>Semi-detached</v>
      </c>
      <c r="S350">
        <f t="shared" si="307"/>
        <v>11</v>
      </c>
      <c r="T350" t="str">
        <f t="shared" si="287"/>
        <v>-</v>
      </c>
      <c r="U350" t="str">
        <f t="shared" si="288"/>
        <v>-</v>
      </c>
      <c r="V350" t="str">
        <f t="shared" si="289"/>
        <v>-</v>
      </c>
      <c r="W350" t="str">
        <f t="shared" si="290"/>
        <v>-</v>
      </c>
      <c r="X350" t="str">
        <f t="shared" si="291"/>
        <v>-</v>
      </c>
      <c r="Y350" t="str">
        <f t="shared" si="292"/>
        <v>-</v>
      </c>
      <c r="Z350" t="str">
        <f t="shared" si="293"/>
        <v>-</v>
      </c>
      <c r="AA350" t="str">
        <f t="shared" si="294"/>
        <v>-</v>
      </c>
      <c r="AB350" t="str">
        <f t="shared" si="295"/>
        <v>-</v>
      </c>
      <c r="AC350" t="str">
        <f t="shared" si="296"/>
        <v>-</v>
      </c>
    </row>
    <row r="351" spans="1:29" x14ac:dyDescent="0.3">
      <c r="A351" t="s">
        <v>414</v>
      </c>
      <c r="B351" t="str">
        <f t="shared" si="277"/>
        <v>Semi-detached</v>
      </c>
      <c r="C351">
        <f t="shared" ref="C351:D351" si="327">C143</f>
        <v>12</v>
      </c>
      <c r="D351">
        <f t="shared" si="327"/>
        <v>2</v>
      </c>
      <c r="E351" t="e">
        <f>AVERAGEIFS('Region 12'!$W$2:$W$459,'Region 12'!$A$2:$A$459,E$1,'Region 12'!$X$2:$X$459,$D351,'Region 12'!$S$2:$S$459,$A351)</f>
        <v>#DIV/0!</v>
      </c>
      <c r="F351" t="e">
        <f>AVERAGEIFS('Region 12'!$W$2:$W$459,'Region 12'!$A$2:$A$459,F$1,'Region 12'!$X$2:$X$459,$D351,'Region 12'!$S$2:$S$459,$A351)</f>
        <v>#DIV/0!</v>
      </c>
      <c r="G351" t="e">
        <f>AVERAGEIFS('Region 12'!$W$2:$W$459,'Region 12'!$A$2:$A$459,G$1,'Region 12'!$X$2:$X$459,$D351,'Region 12'!$S$2:$S$459,$A351)</f>
        <v>#DIV/0!</v>
      </c>
      <c r="H351" t="e">
        <f>AVERAGEIFS('Region 12'!$W$2:$W$459,'Region 12'!$A$2:$A$459,H$1,'Region 12'!$X$2:$X$459,$D351,'Region 12'!$S$2:$S$459,$A351)</f>
        <v>#DIV/0!</v>
      </c>
      <c r="I351" t="e">
        <f>AVERAGEIFS('Region 12'!$W$2:$W$459,'Region 12'!$A$2:$A$459,I$1,'Region 12'!$X$2:$X$459,$D351,'Region 12'!$S$2:$S$459,$A351)</f>
        <v>#DIV/0!</v>
      </c>
      <c r="J351" t="e">
        <f>AVERAGEIFS('Region 12'!$W$2:$W$459,'Region 12'!$A$2:$A$459,J$1,'Region 12'!$X$2:$X$459,$D351,'Region 12'!$S$2:$S$459,$A351)</f>
        <v>#DIV/0!</v>
      </c>
      <c r="K351" t="e">
        <f>AVERAGEIFS('Region 12'!$W$2:$W$459,'Region 12'!$A$2:$A$459,K$1,'Region 12'!$X$2:$X$459,$D351,'Region 12'!$S$2:$S$459,$A351)</f>
        <v>#DIV/0!</v>
      </c>
      <c r="L351" t="e">
        <f>AVERAGEIFS('Region 12'!$W$2:$W$459,'Region 12'!$A$2:$A$459,L$1,'Region 12'!$X$2:$X$459,$D351,'Region 12'!$S$2:$S$459,$A351)</f>
        <v>#DIV/0!</v>
      </c>
      <c r="M351" t="e">
        <f>AVERAGEIFS('Region 12'!$W$2:$W$459,'Region 12'!$A$2:$A$459,M$1,'Region 12'!$X$2:$X$459,$D351,'Region 12'!$S$2:$S$459,$A351)</f>
        <v>#DIV/0!</v>
      </c>
      <c r="N351" t="e">
        <f>AVERAGEIFS('Region 12'!$W$2:$W$459,'Region 12'!$A$2:$A$459,N$1,'Region 12'!$X$2:$X$459,$D351,'Region 12'!$S$2:$S$459,$A351)</f>
        <v>#DIV/0!</v>
      </c>
      <c r="Q351" t="str">
        <f t="shared" si="305"/>
        <v>Copper</v>
      </c>
      <c r="R351" t="str">
        <f t="shared" si="306"/>
        <v>Semi-detached</v>
      </c>
      <c r="S351">
        <f t="shared" si="307"/>
        <v>12</v>
      </c>
      <c r="T351" t="str">
        <f t="shared" si="287"/>
        <v>-</v>
      </c>
      <c r="U351" t="str">
        <f t="shared" si="288"/>
        <v>-</v>
      </c>
      <c r="V351" t="str">
        <f t="shared" si="289"/>
        <v>-</v>
      </c>
      <c r="W351" t="str">
        <f t="shared" si="290"/>
        <v>-</v>
      </c>
      <c r="X351" t="str">
        <f t="shared" si="291"/>
        <v>-</v>
      </c>
      <c r="Y351" t="str">
        <f t="shared" si="292"/>
        <v>-</v>
      </c>
      <c r="Z351" t="str">
        <f t="shared" si="293"/>
        <v>-</v>
      </c>
      <c r="AA351" t="str">
        <f t="shared" si="294"/>
        <v>-</v>
      </c>
      <c r="AB351" t="str">
        <f t="shared" si="295"/>
        <v>-</v>
      </c>
      <c r="AC351" t="str">
        <f t="shared" si="296"/>
        <v>-</v>
      </c>
    </row>
    <row r="352" spans="1:29" x14ac:dyDescent="0.3">
      <c r="A352" t="s">
        <v>414</v>
      </c>
      <c r="B352" t="str">
        <f t="shared" si="277"/>
        <v>Semi-detached</v>
      </c>
      <c r="C352">
        <f t="shared" ref="C352:D352" si="328">C144</f>
        <v>13</v>
      </c>
      <c r="D352">
        <f t="shared" si="328"/>
        <v>2</v>
      </c>
      <c r="E352" t="e">
        <f>AVERAGEIFS('Region 13'!$W$2:$W$500,'Region 13'!$A$2:$A$500,E$1,'Region 13'!$X$2:$X$500,$D352,'Region 13'!$S$2:$S$500,$A352)</f>
        <v>#DIV/0!</v>
      </c>
      <c r="F352" t="e">
        <f>AVERAGEIFS('Region 13'!$W$2:$W$500,'Region 13'!$A$2:$A$500,F$1,'Region 13'!$X$2:$X$500,$D352,'Region 13'!$S$2:$S$500,$A352)</f>
        <v>#DIV/0!</v>
      </c>
      <c r="G352" t="e">
        <f>AVERAGEIFS('Region 13'!$W$2:$W$500,'Region 13'!$A$2:$A$500,G$1,'Region 13'!$X$2:$X$500,$D352,'Region 13'!$S$2:$S$500,$A352)</f>
        <v>#DIV/0!</v>
      </c>
      <c r="H352" t="e">
        <f>AVERAGEIFS('Region 13'!$W$2:$W$500,'Region 13'!$A$2:$A$500,H$1,'Region 13'!$X$2:$X$500,$D352,'Region 13'!$S$2:$S$500,$A352)</f>
        <v>#DIV/0!</v>
      </c>
      <c r="I352" t="e">
        <f>AVERAGEIFS('Region 13'!$W$2:$W$500,'Region 13'!$A$2:$A$500,I$1,'Region 13'!$X$2:$X$500,$D352,'Region 13'!$S$2:$S$500,$A352)</f>
        <v>#DIV/0!</v>
      </c>
      <c r="J352" t="e">
        <f>AVERAGEIFS('Region 13'!$W$2:$W$500,'Region 13'!$A$2:$A$500,J$1,'Region 13'!$X$2:$X$500,$D352,'Region 13'!$S$2:$S$500,$A352)</f>
        <v>#DIV/0!</v>
      </c>
      <c r="K352" t="e">
        <f>AVERAGEIFS('Region 13'!$W$2:$W$500,'Region 13'!$A$2:$A$500,K$1,'Region 13'!$X$2:$X$500,$D352,'Region 13'!$S$2:$S$500,$A352)</f>
        <v>#DIV/0!</v>
      </c>
      <c r="L352" t="e">
        <f>AVERAGEIFS('Region 13'!$W$2:$W$500,'Region 13'!$A$2:$A$500,L$1,'Region 13'!$X$2:$X$500,$D352,'Region 13'!$S$2:$S$500,$A352)</f>
        <v>#DIV/0!</v>
      </c>
      <c r="M352" t="e">
        <f>AVERAGEIFS('Region 13'!$W$2:$W$500,'Region 13'!$A$2:$A$500,M$1,'Region 13'!$X$2:$X$500,$D352,'Region 13'!$S$2:$S$500,$A352)</f>
        <v>#DIV/0!</v>
      </c>
      <c r="N352" t="e">
        <f>AVERAGEIFS('Region 13'!$W$2:$W$500,'Region 13'!$A$2:$A$500,N$1,'Region 13'!$X$2:$X$500,$D352,'Region 13'!$S$2:$S$500,$A352)</f>
        <v>#DIV/0!</v>
      </c>
      <c r="Q352" t="str">
        <f t="shared" si="305"/>
        <v>Copper</v>
      </c>
      <c r="R352" t="str">
        <f t="shared" si="306"/>
        <v>Semi-detached</v>
      </c>
      <c r="S352">
        <f t="shared" si="307"/>
        <v>13</v>
      </c>
      <c r="T352" t="str">
        <f t="shared" si="287"/>
        <v>-</v>
      </c>
      <c r="U352" t="str">
        <f t="shared" si="288"/>
        <v>-</v>
      </c>
      <c r="V352" t="str">
        <f t="shared" si="289"/>
        <v>-</v>
      </c>
      <c r="W352" t="str">
        <f t="shared" si="290"/>
        <v>-</v>
      </c>
      <c r="X352" t="str">
        <f t="shared" si="291"/>
        <v>-</v>
      </c>
      <c r="Y352" t="str">
        <f t="shared" si="292"/>
        <v>-</v>
      </c>
      <c r="Z352" t="str">
        <f t="shared" si="293"/>
        <v>-</v>
      </c>
      <c r="AA352" t="str">
        <f t="shared" si="294"/>
        <v>-</v>
      </c>
      <c r="AB352" t="str">
        <f t="shared" si="295"/>
        <v>-</v>
      </c>
      <c r="AC352" t="str">
        <f t="shared" si="296"/>
        <v>-</v>
      </c>
    </row>
    <row r="353" spans="1:29" x14ac:dyDescent="0.3">
      <c r="A353" t="s">
        <v>414</v>
      </c>
      <c r="B353" t="str">
        <f t="shared" si="277"/>
        <v>Semi-detached</v>
      </c>
      <c r="C353">
        <f t="shared" ref="C353:D353" si="329">C145</f>
        <v>14</v>
      </c>
      <c r="D353">
        <f t="shared" si="329"/>
        <v>2</v>
      </c>
      <c r="E353" t="e">
        <f ca="1">AVERAGEIFS('Region 14'!$W$2:$W$500,'Region 14'!$A$2:$A$500,E$1,'Region 14'!$X$2:$X$500,$D353,'Region 14'!$S$2:$S$500,$A353)</f>
        <v>#DIV/0!</v>
      </c>
      <c r="F353" t="e">
        <f ca="1">AVERAGEIFS('Region 14'!$W$2:$W$500,'Region 14'!$A$2:$A$500,F$1,'Region 14'!$X$2:$X$500,$D353,'Region 14'!$S$2:$S$500,$A353)</f>
        <v>#DIV/0!</v>
      </c>
      <c r="G353" t="e">
        <f ca="1">AVERAGEIFS('Region 14'!$W$2:$W$500,'Region 14'!$A$2:$A$500,G$1,'Region 14'!$X$2:$X$500,$D353,'Region 14'!$S$2:$S$500,$A353)</f>
        <v>#DIV/0!</v>
      </c>
      <c r="H353" t="e">
        <f ca="1">AVERAGEIFS('Region 14'!$W$2:$W$500,'Region 14'!$A$2:$A$500,H$1,'Region 14'!$X$2:$X$500,$D353,'Region 14'!$S$2:$S$500,$A353)</f>
        <v>#DIV/0!</v>
      </c>
      <c r="I353" t="e">
        <f ca="1">AVERAGEIFS('Region 14'!$W$2:$W$500,'Region 14'!$A$2:$A$500,I$1,'Region 14'!$X$2:$X$500,$D353,'Region 14'!$S$2:$S$500,$A353)</f>
        <v>#DIV/0!</v>
      </c>
      <c r="J353" t="e">
        <f ca="1">AVERAGEIFS('Region 14'!$W$2:$W$500,'Region 14'!$A$2:$A$500,J$1,'Region 14'!$X$2:$X$500,$D353,'Region 14'!$S$2:$S$500,$A353)</f>
        <v>#DIV/0!</v>
      </c>
      <c r="K353" t="e">
        <f ca="1">AVERAGEIFS('Region 14'!$W$2:$W$500,'Region 14'!$A$2:$A$500,K$1,'Region 14'!$X$2:$X$500,$D353,'Region 14'!$S$2:$S$500,$A353)</f>
        <v>#DIV/0!</v>
      </c>
      <c r="L353" t="e">
        <f ca="1">AVERAGEIFS('Region 14'!$W$2:$W$500,'Region 14'!$A$2:$A$500,L$1,'Region 14'!$X$2:$X$500,$D353,'Region 14'!$S$2:$S$500,$A353)</f>
        <v>#DIV/0!</v>
      </c>
      <c r="M353" t="e">
        <f ca="1">AVERAGEIFS('Region 14'!$W$2:$W$500,'Region 14'!$A$2:$A$500,M$1,'Region 14'!$X$2:$X$500,$D353,'Region 14'!$S$2:$S$500,$A353)</f>
        <v>#DIV/0!</v>
      </c>
      <c r="N353" t="e">
        <f ca="1">AVERAGEIFS('Region 14'!$W$2:$W$500,'Region 14'!$A$2:$A$500,N$1,'Region 14'!$X$2:$X$500,$D353,'Region 14'!$S$2:$S$500,$A353)</f>
        <v>#DIV/0!</v>
      </c>
      <c r="Q353" t="str">
        <f t="shared" si="305"/>
        <v>Copper</v>
      </c>
      <c r="R353" t="str">
        <f t="shared" si="306"/>
        <v>Semi-detached</v>
      </c>
      <c r="S353">
        <f t="shared" si="307"/>
        <v>14</v>
      </c>
      <c r="T353" t="str">
        <f t="shared" ca="1" si="287"/>
        <v>-</v>
      </c>
      <c r="U353" t="str">
        <f t="shared" ca="1" si="288"/>
        <v>-</v>
      </c>
      <c r="V353" t="str">
        <f t="shared" ca="1" si="289"/>
        <v>-</v>
      </c>
      <c r="W353" t="str">
        <f t="shared" ca="1" si="290"/>
        <v>-</v>
      </c>
      <c r="X353" t="str">
        <f t="shared" ca="1" si="291"/>
        <v>-</v>
      </c>
      <c r="Y353" t="str">
        <f t="shared" ca="1" si="292"/>
        <v>-</v>
      </c>
      <c r="Z353" t="str">
        <f t="shared" ca="1" si="293"/>
        <v>-</v>
      </c>
      <c r="AA353" t="str">
        <f t="shared" ca="1" si="294"/>
        <v>-</v>
      </c>
      <c r="AB353" t="str">
        <f t="shared" ca="1" si="295"/>
        <v>-</v>
      </c>
      <c r="AC353" t="str">
        <f t="shared" ca="1" si="296"/>
        <v>-</v>
      </c>
    </row>
    <row r="354" spans="1:29" x14ac:dyDescent="0.3">
      <c r="A354" t="s">
        <v>414</v>
      </c>
      <c r="B354" t="str">
        <f t="shared" si="277"/>
        <v>Semi-detached</v>
      </c>
      <c r="C354">
        <f t="shared" ref="C354:D354" si="330">C146</f>
        <v>15</v>
      </c>
      <c r="D354">
        <f t="shared" si="330"/>
        <v>2</v>
      </c>
      <c r="E354" t="e">
        <f ca="1">AVERAGEIFS('Region 15'!$W$2:$W$500,'Region 15'!$A$2:$A$500,E$1,'Region 15'!$X$2:$X$500,$D354,'Region 15'!$S$2:$S$500,$A354)</f>
        <v>#DIV/0!</v>
      </c>
      <c r="F354" t="e">
        <f ca="1">AVERAGEIFS('Region 15'!$W$2:$W$500,'Region 15'!$A$2:$A$500,F$1,'Region 15'!$X$2:$X$500,$D354,'Region 15'!$S$2:$S$500,$A354)</f>
        <v>#DIV/0!</v>
      </c>
      <c r="G354" t="e">
        <f ca="1">AVERAGEIFS('Region 15'!$W$2:$W$500,'Region 15'!$A$2:$A$500,G$1,'Region 15'!$X$2:$X$500,$D354,'Region 15'!$S$2:$S$500,$A354)</f>
        <v>#DIV/0!</v>
      </c>
      <c r="H354" t="e">
        <f ca="1">AVERAGEIFS('Region 15'!$W$2:$W$500,'Region 15'!$A$2:$A$500,H$1,'Region 15'!$X$2:$X$500,$D354,'Region 15'!$S$2:$S$500,$A354)</f>
        <v>#DIV/0!</v>
      </c>
      <c r="I354" t="e">
        <f ca="1">AVERAGEIFS('Region 15'!$W$2:$W$500,'Region 15'!$A$2:$A$500,I$1,'Region 15'!$X$2:$X$500,$D354,'Region 15'!$S$2:$S$500,$A354)</f>
        <v>#DIV/0!</v>
      </c>
      <c r="J354" t="e">
        <f ca="1">AVERAGEIFS('Region 15'!$W$2:$W$500,'Region 15'!$A$2:$A$500,J$1,'Region 15'!$X$2:$X$500,$D354,'Region 15'!$S$2:$S$500,$A354)</f>
        <v>#DIV/0!</v>
      </c>
      <c r="K354" t="e">
        <f ca="1">AVERAGEIFS('Region 15'!$W$2:$W$500,'Region 15'!$A$2:$A$500,K$1,'Region 15'!$X$2:$X$500,$D354,'Region 15'!$S$2:$S$500,$A354)</f>
        <v>#DIV/0!</v>
      </c>
      <c r="L354" t="e">
        <f ca="1">AVERAGEIFS('Region 15'!$W$2:$W$500,'Region 15'!$A$2:$A$500,L$1,'Region 15'!$X$2:$X$500,$D354,'Region 15'!$S$2:$S$500,$A354)</f>
        <v>#DIV/0!</v>
      </c>
      <c r="M354" t="e">
        <f ca="1">AVERAGEIFS('Region 15'!$W$2:$W$500,'Region 15'!$A$2:$A$500,M$1,'Region 15'!$X$2:$X$500,$D354,'Region 15'!$S$2:$S$500,$A354)</f>
        <v>#DIV/0!</v>
      </c>
      <c r="N354" t="e">
        <f ca="1">AVERAGEIFS('Region 15'!$W$2:$W$500,'Region 15'!$A$2:$A$500,N$1,'Region 15'!$X$2:$X$500,$D354,'Region 15'!$S$2:$S$500,$A354)</f>
        <v>#DIV/0!</v>
      </c>
      <c r="Q354" t="str">
        <f t="shared" si="305"/>
        <v>Copper</v>
      </c>
      <c r="R354" t="str">
        <f t="shared" si="306"/>
        <v>Semi-detached</v>
      </c>
      <c r="S354">
        <f t="shared" si="307"/>
        <v>15</v>
      </c>
      <c r="T354" t="str">
        <f t="shared" ca="1" si="287"/>
        <v>-</v>
      </c>
      <c r="U354" t="str">
        <f t="shared" ca="1" si="288"/>
        <v>-</v>
      </c>
      <c r="V354" t="str">
        <f t="shared" ca="1" si="289"/>
        <v>-</v>
      </c>
      <c r="W354" t="str">
        <f t="shared" ca="1" si="290"/>
        <v>-</v>
      </c>
      <c r="X354" t="str">
        <f t="shared" ca="1" si="291"/>
        <v>-</v>
      </c>
      <c r="Y354" t="str">
        <f t="shared" ca="1" si="292"/>
        <v>-</v>
      </c>
      <c r="Z354" t="str">
        <f t="shared" ca="1" si="293"/>
        <v>-</v>
      </c>
      <c r="AA354" t="str">
        <f t="shared" ca="1" si="294"/>
        <v>-</v>
      </c>
      <c r="AB354" t="str">
        <f t="shared" ca="1" si="295"/>
        <v>-</v>
      </c>
      <c r="AC354" t="str">
        <f t="shared" ca="1" si="296"/>
        <v>-</v>
      </c>
    </row>
    <row r="355" spans="1:29" x14ac:dyDescent="0.3">
      <c r="A355" t="s">
        <v>414</v>
      </c>
      <c r="B355" t="str">
        <f t="shared" si="277"/>
        <v>Semi-detached</v>
      </c>
      <c r="C355">
        <f t="shared" ref="C355:D355" si="331">C147</f>
        <v>16</v>
      </c>
      <c r="D355">
        <f t="shared" si="331"/>
        <v>2</v>
      </c>
      <c r="E355" t="e">
        <f ca="1">AVERAGEIFS('Region 16'!$W$2:$W$500,'Region 16'!$A$2:$A$500,E$1,'Region 16'!$X$2:$X$500,$D355,'Region 16'!$S$2:$S$500,$A355)</f>
        <v>#DIV/0!</v>
      </c>
      <c r="F355" t="e">
        <f ca="1">AVERAGEIFS('Region 16'!$W$2:$W$500,'Region 16'!$A$2:$A$500,F$1,'Region 16'!$X$2:$X$500,$D355,'Region 16'!$S$2:$S$500,$A355)</f>
        <v>#DIV/0!</v>
      </c>
      <c r="G355" t="e">
        <f ca="1">AVERAGEIFS('Region 16'!$W$2:$W$500,'Region 16'!$A$2:$A$500,G$1,'Region 16'!$X$2:$X$500,$D355,'Region 16'!$S$2:$S$500,$A355)</f>
        <v>#DIV/0!</v>
      </c>
      <c r="H355" t="e">
        <f ca="1">AVERAGEIFS('Region 16'!$W$2:$W$500,'Region 16'!$A$2:$A$500,H$1,'Region 16'!$X$2:$X$500,$D355,'Region 16'!$S$2:$S$500,$A355)</f>
        <v>#DIV/0!</v>
      </c>
      <c r="I355" t="e">
        <f ca="1">AVERAGEIFS('Region 16'!$W$2:$W$500,'Region 16'!$A$2:$A$500,I$1,'Region 16'!$X$2:$X$500,$D355,'Region 16'!$S$2:$S$500,$A355)</f>
        <v>#DIV/0!</v>
      </c>
      <c r="J355" t="e">
        <f ca="1">AVERAGEIFS('Region 16'!$W$2:$W$500,'Region 16'!$A$2:$A$500,J$1,'Region 16'!$X$2:$X$500,$D355,'Region 16'!$S$2:$S$500,$A355)</f>
        <v>#DIV/0!</v>
      </c>
      <c r="K355" t="e">
        <f ca="1">AVERAGEIFS('Region 16'!$W$2:$W$500,'Region 16'!$A$2:$A$500,K$1,'Region 16'!$X$2:$X$500,$D355,'Region 16'!$S$2:$S$500,$A355)</f>
        <v>#DIV/0!</v>
      </c>
      <c r="L355" t="e">
        <f ca="1">AVERAGEIFS('Region 16'!$W$2:$W$500,'Region 16'!$A$2:$A$500,L$1,'Region 16'!$X$2:$X$500,$D355,'Region 16'!$S$2:$S$500,$A355)</f>
        <v>#DIV/0!</v>
      </c>
      <c r="M355" t="e">
        <f ca="1">AVERAGEIFS('Region 16'!$W$2:$W$500,'Region 16'!$A$2:$A$500,M$1,'Region 16'!$X$2:$X$500,$D355,'Region 16'!$S$2:$S$500,$A355)</f>
        <v>#DIV/0!</v>
      </c>
      <c r="N355" t="e">
        <f ca="1">AVERAGEIFS('Region 16'!$W$2:$W$500,'Region 16'!$A$2:$A$500,N$1,'Region 16'!$X$2:$X$500,$D355,'Region 16'!$S$2:$S$500,$A355)</f>
        <v>#DIV/0!</v>
      </c>
      <c r="Q355" t="str">
        <f t="shared" si="305"/>
        <v>Copper</v>
      </c>
      <c r="R355" t="str">
        <f t="shared" si="306"/>
        <v>Semi-detached</v>
      </c>
      <c r="S355">
        <f t="shared" si="307"/>
        <v>16</v>
      </c>
      <c r="T355" t="str">
        <f t="shared" ca="1" si="287"/>
        <v>-</v>
      </c>
      <c r="U355" t="str">
        <f t="shared" ca="1" si="288"/>
        <v>-</v>
      </c>
      <c r="V355" t="str">
        <f t="shared" ca="1" si="289"/>
        <v>-</v>
      </c>
      <c r="W355" t="str">
        <f t="shared" ca="1" si="290"/>
        <v>-</v>
      </c>
      <c r="X355" t="str">
        <f t="shared" ca="1" si="291"/>
        <v>-</v>
      </c>
      <c r="Y355" t="str">
        <f t="shared" ca="1" si="292"/>
        <v>-</v>
      </c>
      <c r="Z355" t="str">
        <f t="shared" ca="1" si="293"/>
        <v>-</v>
      </c>
      <c r="AA355" t="str">
        <f t="shared" ca="1" si="294"/>
        <v>-</v>
      </c>
      <c r="AB355" t="str">
        <f t="shared" ca="1" si="295"/>
        <v>-</v>
      </c>
      <c r="AC355" t="str">
        <f t="shared" ca="1" si="296"/>
        <v>-</v>
      </c>
    </row>
    <row r="356" spans="1:29" x14ac:dyDescent="0.3">
      <c r="A356" t="s">
        <v>414</v>
      </c>
      <c r="B356" t="str">
        <f t="shared" si="277"/>
        <v>Semi-detached</v>
      </c>
      <c r="C356">
        <f t="shared" ref="C356:D356" si="332">C148</f>
        <v>17</v>
      </c>
      <c r="D356">
        <f t="shared" si="332"/>
        <v>2</v>
      </c>
      <c r="E356" t="e">
        <f>AVERAGEIFS('Region 17'!$W$2:$W$498,'Region 17'!$A$2:$A$498,E$1,'Region 17'!$X$2:$X$498,$D356,'Region 17'!$S$2:$S$498,$A356)</f>
        <v>#DIV/0!</v>
      </c>
      <c r="F356" t="e">
        <f>AVERAGEIFS('Region 17'!$W$2:$W$498,'Region 17'!$A$2:$A$498,F$1,'Region 17'!$X$2:$X$498,$D356,'Region 17'!$S$2:$S$498,$A356)</f>
        <v>#DIV/0!</v>
      </c>
      <c r="G356" t="e">
        <f>AVERAGEIFS('Region 17'!$W$2:$W$498,'Region 17'!$A$2:$A$498,G$1,'Region 17'!$X$2:$X$498,$D356,'Region 17'!$S$2:$S$498,$A356)</f>
        <v>#DIV/0!</v>
      </c>
      <c r="H356" t="e">
        <f>AVERAGEIFS('Region 17'!$W$2:$W$498,'Region 17'!$A$2:$A$498,H$1,'Region 17'!$X$2:$X$498,$D356,'Region 17'!$S$2:$S$498,$A356)</f>
        <v>#DIV/0!</v>
      </c>
      <c r="I356" t="e">
        <f>AVERAGEIFS('Region 17'!$W$2:$W$498,'Region 17'!$A$2:$A$498,I$1,'Region 17'!$X$2:$X$498,$D356,'Region 17'!$S$2:$S$498,$A356)</f>
        <v>#DIV/0!</v>
      </c>
      <c r="J356" t="e">
        <f>AVERAGEIFS('Region 17'!$W$2:$W$498,'Region 17'!$A$2:$A$498,J$1,'Region 17'!$X$2:$X$498,$D356,'Region 17'!$S$2:$S$498,$A356)</f>
        <v>#DIV/0!</v>
      </c>
      <c r="K356" t="e">
        <f>AVERAGEIFS('Region 17'!$W$2:$W$498,'Region 17'!$A$2:$A$498,K$1,'Region 17'!$X$2:$X$498,$D356,'Region 17'!$S$2:$S$498,$A356)</f>
        <v>#DIV/0!</v>
      </c>
      <c r="L356" t="e">
        <f>AVERAGEIFS('Region 17'!$W$2:$W$498,'Region 17'!$A$2:$A$498,L$1,'Region 17'!$X$2:$X$498,$D356,'Region 17'!$S$2:$S$498,$A356)</f>
        <v>#DIV/0!</v>
      </c>
      <c r="M356" t="e">
        <f>AVERAGEIFS('Region 17'!$W$2:$W$498,'Region 17'!$A$2:$A$498,M$1,'Region 17'!$X$2:$X$498,$D356,'Region 17'!$S$2:$S$498,$A356)</f>
        <v>#DIV/0!</v>
      </c>
      <c r="N356" t="e">
        <f>AVERAGEIFS('Region 17'!$W$2:$W$498,'Region 17'!$A$2:$A$498,N$1,'Region 17'!$X$2:$X$498,$D356,'Region 17'!$S$2:$S$498,$A356)</f>
        <v>#DIV/0!</v>
      </c>
      <c r="Q356" t="str">
        <f t="shared" si="305"/>
        <v>Copper</v>
      </c>
      <c r="R356" t="str">
        <f t="shared" si="306"/>
        <v>Semi-detached</v>
      </c>
      <c r="S356">
        <f t="shared" si="307"/>
        <v>17</v>
      </c>
      <c r="T356" t="str">
        <f t="shared" si="287"/>
        <v>-</v>
      </c>
      <c r="U356" t="str">
        <f t="shared" si="288"/>
        <v>-</v>
      </c>
      <c r="V356" t="str">
        <f t="shared" si="289"/>
        <v>-</v>
      </c>
      <c r="W356" t="str">
        <f t="shared" si="290"/>
        <v>-</v>
      </c>
      <c r="X356" t="str">
        <f t="shared" si="291"/>
        <v>-</v>
      </c>
      <c r="Y356" t="str">
        <f t="shared" si="292"/>
        <v>-</v>
      </c>
      <c r="Z356" t="str">
        <f t="shared" si="293"/>
        <v>-</v>
      </c>
      <c r="AA356" t="str">
        <f t="shared" si="294"/>
        <v>-</v>
      </c>
      <c r="AB356" t="str">
        <f t="shared" si="295"/>
        <v>-</v>
      </c>
      <c r="AC356" t="str">
        <f t="shared" si="296"/>
        <v>-</v>
      </c>
    </row>
    <row r="357" spans="1:29" x14ac:dyDescent="0.3">
      <c r="A357" t="s">
        <v>414</v>
      </c>
      <c r="B357" t="str">
        <f t="shared" si="277"/>
        <v>Semi-detached</v>
      </c>
      <c r="C357">
        <f t="shared" ref="C357:D357" si="333">C149</f>
        <v>18</v>
      </c>
      <c r="D357">
        <f t="shared" si="333"/>
        <v>2</v>
      </c>
      <c r="E357" t="e">
        <f>AVERAGEIFS('Region 18'!$W$2:$W$468,'Region 18'!$A$2:$A$468,E$1,'Region 18'!$X$2:$X$468,$D357,'Region 18'!$S$2:$S$468,$A357)</f>
        <v>#DIV/0!</v>
      </c>
      <c r="F357" t="e">
        <f>AVERAGEIFS('Region 18'!$W$2:$W$468,'Region 18'!$A$2:$A$468,F$1,'Region 18'!$X$2:$X$468,$D357,'Region 18'!$S$2:$S$468,$A357)</f>
        <v>#DIV/0!</v>
      </c>
      <c r="G357" t="e">
        <f>AVERAGEIFS('Region 18'!$W$2:$W$468,'Region 18'!$A$2:$A$468,G$1,'Region 18'!$X$2:$X$468,$D357,'Region 18'!$S$2:$S$468,$A357)</f>
        <v>#DIV/0!</v>
      </c>
      <c r="H357" t="e">
        <f>AVERAGEIFS('Region 18'!$W$2:$W$468,'Region 18'!$A$2:$A$468,H$1,'Region 18'!$X$2:$X$468,$D357,'Region 18'!$S$2:$S$468,$A357)</f>
        <v>#DIV/0!</v>
      </c>
      <c r="I357" t="e">
        <f>AVERAGEIFS('Region 18'!$W$2:$W$468,'Region 18'!$A$2:$A$468,I$1,'Region 18'!$X$2:$X$468,$D357,'Region 18'!$S$2:$S$468,$A357)</f>
        <v>#DIV/0!</v>
      </c>
      <c r="J357" t="e">
        <f>AVERAGEIFS('Region 18'!$W$2:$W$468,'Region 18'!$A$2:$A$468,J$1,'Region 18'!$X$2:$X$468,$D357,'Region 18'!$S$2:$S$468,$A357)</f>
        <v>#DIV/0!</v>
      </c>
      <c r="K357" t="e">
        <f>AVERAGEIFS('Region 18'!$W$2:$W$468,'Region 18'!$A$2:$A$468,K$1,'Region 18'!$X$2:$X$468,$D357,'Region 18'!$S$2:$S$468,$A357)</f>
        <v>#DIV/0!</v>
      </c>
      <c r="L357" t="e">
        <f>AVERAGEIFS('Region 18'!$W$2:$W$468,'Region 18'!$A$2:$A$468,L$1,'Region 18'!$X$2:$X$468,$D357,'Region 18'!$S$2:$S$468,$A357)</f>
        <v>#DIV/0!</v>
      </c>
      <c r="M357" t="e">
        <f>AVERAGEIFS('Region 18'!$W$2:$W$468,'Region 18'!$A$2:$A$468,M$1,'Region 18'!$X$2:$X$468,$D357,'Region 18'!$S$2:$S$468,$A357)</f>
        <v>#DIV/0!</v>
      </c>
      <c r="N357" t="e">
        <f>AVERAGEIFS('Region 18'!$W$2:$W$468,'Region 18'!$A$2:$A$468,N$1,'Region 18'!$X$2:$X$468,$D357,'Region 18'!$S$2:$S$468,$A357)</f>
        <v>#DIV/0!</v>
      </c>
      <c r="Q357" t="str">
        <f t="shared" si="305"/>
        <v>Copper</v>
      </c>
      <c r="R357" t="str">
        <f t="shared" si="306"/>
        <v>Semi-detached</v>
      </c>
      <c r="S357">
        <f t="shared" si="307"/>
        <v>18</v>
      </c>
      <c r="T357" t="str">
        <f t="shared" si="287"/>
        <v>-</v>
      </c>
      <c r="U357" t="str">
        <f t="shared" si="288"/>
        <v>-</v>
      </c>
      <c r="V357" t="str">
        <f t="shared" si="289"/>
        <v>-</v>
      </c>
      <c r="W357" t="str">
        <f t="shared" si="290"/>
        <v>-</v>
      </c>
      <c r="X357" t="str">
        <f t="shared" si="291"/>
        <v>-</v>
      </c>
      <c r="Y357" t="str">
        <f t="shared" si="292"/>
        <v>-</v>
      </c>
      <c r="Z357" t="str">
        <f t="shared" si="293"/>
        <v>-</v>
      </c>
      <c r="AA357" t="str">
        <f t="shared" si="294"/>
        <v>-</v>
      </c>
      <c r="AB357" t="str">
        <f t="shared" si="295"/>
        <v>-</v>
      </c>
      <c r="AC357" t="str">
        <f t="shared" si="296"/>
        <v>-</v>
      </c>
    </row>
    <row r="358" spans="1:29" x14ac:dyDescent="0.3">
      <c r="A358" t="s">
        <v>414</v>
      </c>
      <c r="B358" t="str">
        <f t="shared" si="277"/>
        <v>Semi-detached</v>
      </c>
      <c r="C358">
        <f t="shared" ref="C358:D358" si="334">C150</f>
        <v>19</v>
      </c>
      <c r="D358">
        <f t="shared" si="334"/>
        <v>2</v>
      </c>
      <c r="E358" t="e">
        <f>AVERAGEIFS('Region 19'!$W$2:$W$494,'Region 19'!$A$2:$A$494,E$1,'Region 19'!$X$2:$X$494,$D358,'Region 19'!$S$2:$S$494,$A358)</f>
        <v>#DIV/0!</v>
      </c>
      <c r="F358" t="e">
        <f>AVERAGEIFS('Region 19'!$W$2:$W$494,'Region 19'!$A$2:$A$494,F$1,'Region 19'!$X$2:$X$494,$D358,'Region 19'!$S$2:$S$494,$A358)</f>
        <v>#DIV/0!</v>
      </c>
      <c r="G358" t="e">
        <f>AVERAGEIFS('Region 19'!$W$2:$W$494,'Region 19'!$A$2:$A$494,G$1,'Region 19'!$X$2:$X$494,$D358,'Region 19'!$S$2:$S$494,$A358)</f>
        <v>#DIV/0!</v>
      </c>
      <c r="H358" t="e">
        <f>AVERAGEIFS('Region 19'!$W$2:$W$494,'Region 19'!$A$2:$A$494,H$1,'Region 19'!$X$2:$X$494,$D358,'Region 19'!$S$2:$S$494,$A358)</f>
        <v>#DIV/0!</v>
      </c>
      <c r="I358" t="e">
        <f>AVERAGEIFS('Region 19'!$W$2:$W$494,'Region 19'!$A$2:$A$494,I$1,'Region 19'!$X$2:$X$494,$D358,'Region 19'!$S$2:$S$494,$A358)</f>
        <v>#DIV/0!</v>
      </c>
      <c r="J358" t="e">
        <f>AVERAGEIFS('Region 19'!$W$2:$W$494,'Region 19'!$A$2:$A$494,J$1,'Region 19'!$X$2:$X$494,$D358,'Region 19'!$S$2:$S$494,$A358)</f>
        <v>#DIV/0!</v>
      </c>
      <c r="K358" t="e">
        <f>AVERAGEIFS('Region 19'!$W$2:$W$494,'Region 19'!$A$2:$A$494,K$1,'Region 19'!$X$2:$X$494,$D358,'Region 19'!$S$2:$S$494,$A358)</f>
        <v>#DIV/0!</v>
      </c>
      <c r="L358" t="e">
        <f>AVERAGEIFS('Region 19'!$W$2:$W$494,'Region 19'!$A$2:$A$494,L$1,'Region 19'!$X$2:$X$494,$D358,'Region 19'!$S$2:$S$494,$A358)</f>
        <v>#DIV/0!</v>
      </c>
      <c r="M358" t="e">
        <f>AVERAGEIFS('Region 19'!$W$2:$W$494,'Region 19'!$A$2:$A$494,M$1,'Region 19'!$X$2:$X$494,$D358,'Region 19'!$S$2:$S$494,$A358)</f>
        <v>#DIV/0!</v>
      </c>
      <c r="N358" t="e">
        <f>AVERAGEIFS('Region 19'!$W$2:$W$494,'Region 19'!$A$2:$A$494,N$1,'Region 19'!$X$2:$X$494,$D358,'Region 19'!$S$2:$S$494,$A358)</f>
        <v>#DIV/0!</v>
      </c>
      <c r="Q358" t="str">
        <f t="shared" si="305"/>
        <v>Copper</v>
      </c>
      <c r="R358" t="str">
        <f t="shared" si="306"/>
        <v>Semi-detached</v>
      </c>
      <c r="S358">
        <f t="shared" si="307"/>
        <v>19</v>
      </c>
      <c r="T358" t="str">
        <f t="shared" si="287"/>
        <v>-</v>
      </c>
      <c r="U358" t="str">
        <f t="shared" si="288"/>
        <v>-</v>
      </c>
      <c r="V358" t="str">
        <f t="shared" si="289"/>
        <v>-</v>
      </c>
      <c r="W358" t="str">
        <f t="shared" si="290"/>
        <v>-</v>
      </c>
      <c r="X358" t="str">
        <f t="shared" si="291"/>
        <v>-</v>
      </c>
      <c r="Y358" t="str">
        <f t="shared" si="292"/>
        <v>-</v>
      </c>
      <c r="Z358" t="str">
        <f t="shared" si="293"/>
        <v>-</v>
      </c>
      <c r="AA358" t="str">
        <f t="shared" si="294"/>
        <v>-</v>
      </c>
      <c r="AB358" t="str">
        <f t="shared" si="295"/>
        <v>-</v>
      </c>
      <c r="AC358" t="str">
        <f t="shared" si="296"/>
        <v>-</v>
      </c>
    </row>
    <row r="359" spans="1:29" x14ac:dyDescent="0.3">
      <c r="A359" t="s">
        <v>414</v>
      </c>
      <c r="B359" t="str">
        <f t="shared" si="277"/>
        <v>Semi-detached</v>
      </c>
      <c r="C359">
        <f t="shared" ref="C359:D359" si="335">C151</f>
        <v>20</v>
      </c>
      <c r="D359">
        <f t="shared" si="335"/>
        <v>2</v>
      </c>
      <c r="E359" t="e">
        <f>AVERAGEIFS('Region 20'!$W$2:$W$269,'Region 20'!$A$2:$A$269,E$1,'Region 20'!$X$2:$X$269,$D359,'Region 20'!$S$2:$S$269,$A359)</f>
        <v>#DIV/0!</v>
      </c>
      <c r="F359" t="e">
        <f>AVERAGEIFS('Region 20'!$W$2:$W$269,'Region 20'!$A$2:$A$269,F$1,'Region 20'!$X$2:$X$269,$D359,'Region 20'!$S$2:$S$269,$A359)</f>
        <v>#DIV/0!</v>
      </c>
      <c r="G359" t="e">
        <f>AVERAGEIFS('Region 20'!$W$2:$W$269,'Region 20'!$A$2:$A$269,G$1,'Region 20'!$X$2:$X$269,$D359,'Region 20'!$S$2:$S$269,$A359)</f>
        <v>#DIV/0!</v>
      </c>
      <c r="H359" t="e">
        <f>AVERAGEIFS('Region 20'!$W$2:$W$269,'Region 20'!$A$2:$A$269,H$1,'Region 20'!$X$2:$X$269,$D359,'Region 20'!$S$2:$S$269,$A359)</f>
        <v>#DIV/0!</v>
      </c>
      <c r="I359" t="e">
        <f>AVERAGEIFS('Region 20'!$W$2:$W$269,'Region 20'!$A$2:$A$269,I$1,'Region 20'!$X$2:$X$269,$D359,'Region 20'!$S$2:$S$269,$A359)</f>
        <v>#DIV/0!</v>
      </c>
      <c r="J359" t="e">
        <f>AVERAGEIFS('Region 20'!$W$2:$W$269,'Region 20'!$A$2:$A$269,J$1,'Region 20'!$X$2:$X$269,$D359,'Region 20'!$S$2:$S$269,$A359)</f>
        <v>#DIV/0!</v>
      </c>
      <c r="K359" t="e">
        <f>AVERAGEIFS('Region 20'!$W$2:$W$269,'Region 20'!$A$2:$A$269,K$1,'Region 20'!$X$2:$X$269,$D359,'Region 20'!$S$2:$S$269,$A359)</f>
        <v>#DIV/0!</v>
      </c>
      <c r="L359" t="e">
        <f>AVERAGEIFS('Region 20'!$W$2:$W$269,'Region 20'!$A$2:$A$269,L$1,'Region 20'!$X$2:$X$269,$D359,'Region 20'!$S$2:$S$269,$A359)</f>
        <v>#DIV/0!</v>
      </c>
      <c r="M359" t="e">
        <f>AVERAGEIFS('Region 20'!$W$2:$W$269,'Region 20'!$A$2:$A$269,M$1,'Region 20'!$X$2:$X$269,$D359,'Region 20'!$S$2:$S$269,$A359)</f>
        <v>#DIV/0!</v>
      </c>
      <c r="N359" t="e">
        <f>AVERAGEIFS('Region 20'!$W$2:$W$269,'Region 20'!$A$2:$A$269,N$1,'Region 20'!$X$2:$X$269,$D359,'Region 20'!$S$2:$S$269,$A359)</f>
        <v>#DIV/0!</v>
      </c>
      <c r="Q359" t="str">
        <f t="shared" si="305"/>
        <v>Copper</v>
      </c>
      <c r="R359" t="str">
        <f t="shared" si="306"/>
        <v>Semi-detached</v>
      </c>
      <c r="S359">
        <f t="shared" si="307"/>
        <v>20</v>
      </c>
      <c r="T359" t="str">
        <f t="shared" si="287"/>
        <v>-</v>
      </c>
      <c r="U359" t="str">
        <f t="shared" si="288"/>
        <v>-</v>
      </c>
      <c r="V359" t="str">
        <f t="shared" si="289"/>
        <v>-</v>
      </c>
      <c r="W359" t="str">
        <f t="shared" si="290"/>
        <v>-</v>
      </c>
      <c r="X359" t="str">
        <f t="shared" si="291"/>
        <v>-</v>
      </c>
      <c r="Y359" t="str">
        <f t="shared" si="292"/>
        <v>-</v>
      </c>
      <c r="Z359" t="str">
        <f t="shared" si="293"/>
        <v>-</v>
      </c>
      <c r="AA359" t="str">
        <f t="shared" si="294"/>
        <v>-</v>
      </c>
      <c r="AB359" t="str">
        <f t="shared" si="295"/>
        <v>-</v>
      </c>
      <c r="AC359" t="str">
        <f t="shared" si="296"/>
        <v>-</v>
      </c>
    </row>
    <row r="360" spans="1:29" x14ac:dyDescent="0.3">
      <c r="A360" t="s">
        <v>414</v>
      </c>
      <c r="B360" t="str">
        <f t="shared" si="277"/>
        <v>Semi-detached</v>
      </c>
      <c r="C360">
        <f t="shared" ref="C360:D360" si="336">C152</f>
        <v>21</v>
      </c>
      <c r="D360">
        <f t="shared" si="336"/>
        <v>2</v>
      </c>
      <c r="E360" t="e">
        <f>AVERAGEIFS('Region 21'!$W$2:$W$497,'Region 21'!$A$2:$A$497,E$1,'Region 21'!$X$2:$X$497,$D360,'Region 21'!$S$2:$S$497,$A360)</f>
        <v>#DIV/0!</v>
      </c>
      <c r="F360" t="e">
        <f>AVERAGEIFS('Region 21'!$W$2:$W$497,'Region 21'!$A$2:$A$497,F$1,'Region 21'!$X$2:$X$497,$D360,'Region 21'!$S$2:$S$497,$A360)</f>
        <v>#DIV/0!</v>
      </c>
      <c r="G360" t="e">
        <f>AVERAGEIFS('Region 21'!$W$2:$W$497,'Region 21'!$A$2:$A$497,G$1,'Region 21'!$X$2:$X$497,$D360,'Region 21'!$S$2:$S$497,$A360)</f>
        <v>#DIV/0!</v>
      </c>
      <c r="H360" t="e">
        <f>AVERAGEIFS('Region 21'!$W$2:$W$497,'Region 21'!$A$2:$A$497,H$1,'Region 21'!$X$2:$X$497,$D360,'Region 21'!$S$2:$S$497,$A360)</f>
        <v>#DIV/0!</v>
      </c>
      <c r="I360" t="e">
        <f>AVERAGEIFS('Region 21'!$W$2:$W$497,'Region 21'!$A$2:$A$497,I$1,'Region 21'!$X$2:$X$497,$D360,'Region 21'!$S$2:$S$497,$A360)</f>
        <v>#DIV/0!</v>
      </c>
      <c r="J360" t="e">
        <f>AVERAGEIFS('Region 21'!$W$2:$W$497,'Region 21'!$A$2:$A$497,J$1,'Region 21'!$X$2:$X$497,$D360,'Region 21'!$S$2:$S$497,$A360)</f>
        <v>#DIV/0!</v>
      </c>
      <c r="K360" t="e">
        <f>AVERAGEIFS('Region 21'!$W$2:$W$497,'Region 21'!$A$2:$A$497,K$1,'Region 21'!$X$2:$X$497,$D360,'Region 21'!$S$2:$S$497,$A360)</f>
        <v>#DIV/0!</v>
      </c>
      <c r="L360" t="e">
        <f>AVERAGEIFS('Region 21'!$W$2:$W$497,'Region 21'!$A$2:$A$497,L$1,'Region 21'!$X$2:$X$497,$D360,'Region 21'!$S$2:$S$497,$A360)</f>
        <v>#DIV/0!</v>
      </c>
      <c r="M360" t="e">
        <f>AVERAGEIFS('Region 21'!$W$2:$W$497,'Region 21'!$A$2:$A$497,M$1,'Region 21'!$X$2:$X$497,$D360,'Region 21'!$S$2:$S$497,$A360)</f>
        <v>#DIV/0!</v>
      </c>
      <c r="N360" t="e">
        <f>AVERAGEIFS('Region 21'!$W$2:$W$497,'Region 21'!$A$2:$A$497,N$1,'Region 21'!$X$2:$X$497,$D360,'Region 21'!$S$2:$S$497,$A360)</f>
        <v>#DIV/0!</v>
      </c>
      <c r="Q360" t="str">
        <f t="shared" si="305"/>
        <v>Copper</v>
      </c>
      <c r="R360" t="str">
        <f t="shared" si="306"/>
        <v>Semi-detached</v>
      </c>
      <c r="S360">
        <f t="shared" si="307"/>
        <v>21</v>
      </c>
      <c r="T360" t="str">
        <f t="shared" si="287"/>
        <v>-</v>
      </c>
      <c r="U360" t="str">
        <f t="shared" si="288"/>
        <v>-</v>
      </c>
      <c r="V360" t="str">
        <f t="shared" si="289"/>
        <v>-</v>
      </c>
      <c r="W360" t="str">
        <f t="shared" si="290"/>
        <v>-</v>
      </c>
      <c r="X360" t="str">
        <f t="shared" si="291"/>
        <v>-</v>
      </c>
      <c r="Y360" t="str">
        <f t="shared" si="292"/>
        <v>-</v>
      </c>
      <c r="Z360" t="str">
        <f t="shared" si="293"/>
        <v>-</v>
      </c>
      <c r="AA360" t="str">
        <f t="shared" si="294"/>
        <v>-</v>
      </c>
      <c r="AB360" t="str">
        <f t="shared" si="295"/>
        <v>-</v>
      </c>
      <c r="AC360" t="str">
        <f t="shared" si="296"/>
        <v>-</v>
      </c>
    </row>
    <row r="361" spans="1:29" x14ac:dyDescent="0.3">
      <c r="A361" t="s">
        <v>414</v>
      </c>
      <c r="B361" t="str">
        <f t="shared" si="277"/>
        <v>Semi-detached</v>
      </c>
      <c r="C361">
        <f t="shared" ref="C361:D361" si="337">C153</f>
        <v>22</v>
      </c>
      <c r="D361">
        <f t="shared" si="337"/>
        <v>2</v>
      </c>
      <c r="E361" t="e">
        <f>AVERAGEIFS('Region 22'!$W$2:$W$510,'Region 22'!$A$2:$A$510,E$1,'Region 22'!$X$2:$X$510,$D361,'Region 22'!$S$2:$S$510,$A361)</f>
        <v>#DIV/0!</v>
      </c>
      <c r="F361" t="e">
        <f>AVERAGEIFS('Region 22'!$W$2:$W$510,'Region 22'!$A$2:$A$510,F$1,'Region 22'!$X$2:$X$510,$D361,'Region 22'!$S$2:$S$510,$A361)</f>
        <v>#DIV/0!</v>
      </c>
      <c r="G361" t="e">
        <f>AVERAGEIFS('Region 22'!$W$2:$W$510,'Region 22'!$A$2:$A$510,G$1,'Region 22'!$X$2:$X$510,$D361,'Region 22'!$S$2:$S$510,$A361)</f>
        <v>#DIV/0!</v>
      </c>
      <c r="H361" t="e">
        <f>AVERAGEIFS('Region 22'!$W$2:$W$510,'Region 22'!$A$2:$A$510,H$1,'Region 22'!$X$2:$X$510,$D361,'Region 22'!$S$2:$S$510,$A361)</f>
        <v>#DIV/0!</v>
      </c>
      <c r="I361" t="e">
        <f>AVERAGEIFS('Region 22'!$W$2:$W$510,'Region 22'!$A$2:$A$510,I$1,'Region 22'!$X$2:$X$510,$D361,'Region 22'!$S$2:$S$510,$A361)</f>
        <v>#DIV/0!</v>
      </c>
      <c r="J361" t="e">
        <f>AVERAGEIFS('Region 22'!$W$2:$W$510,'Region 22'!$A$2:$A$510,J$1,'Region 22'!$X$2:$X$510,$D361,'Region 22'!$S$2:$S$510,$A361)</f>
        <v>#DIV/0!</v>
      </c>
      <c r="K361" t="e">
        <f>AVERAGEIFS('Region 22'!$W$2:$W$510,'Region 22'!$A$2:$A$510,K$1,'Region 22'!$X$2:$X$510,$D361,'Region 22'!$S$2:$S$510,$A361)</f>
        <v>#DIV/0!</v>
      </c>
      <c r="L361" t="e">
        <f>AVERAGEIFS('Region 22'!$W$2:$W$510,'Region 22'!$A$2:$A$510,L$1,'Region 22'!$X$2:$X$510,$D361,'Region 22'!$S$2:$S$510,$A361)</f>
        <v>#DIV/0!</v>
      </c>
      <c r="M361" t="e">
        <f>AVERAGEIFS('Region 22'!$W$2:$W$510,'Region 22'!$A$2:$A$510,M$1,'Region 22'!$X$2:$X$510,$D361,'Region 22'!$S$2:$S$510,$A361)</f>
        <v>#DIV/0!</v>
      </c>
      <c r="N361" t="e">
        <f>AVERAGEIFS('Region 22'!$W$2:$W$510,'Region 22'!$A$2:$A$510,N$1,'Region 22'!$X$2:$X$510,$D361,'Region 22'!$S$2:$S$510,$A361)</f>
        <v>#DIV/0!</v>
      </c>
      <c r="Q361" t="str">
        <f t="shared" si="305"/>
        <v>Copper</v>
      </c>
      <c r="R361" t="str">
        <f t="shared" si="306"/>
        <v>Semi-detached</v>
      </c>
      <c r="S361">
        <f t="shared" si="307"/>
        <v>22</v>
      </c>
      <c r="T361" t="str">
        <f t="shared" si="287"/>
        <v>-</v>
      </c>
      <c r="U361" t="str">
        <f t="shared" si="288"/>
        <v>-</v>
      </c>
      <c r="V361" t="str">
        <f t="shared" si="289"/>
        <v>-</v>
      </c>
      <c r="W361" t="str">
        <f t="shared" si="290"/>
        <v>-</v>
      </c>
      <c r="X361" t="str">
        <f t="shared" si="291"/>
        <v>-</v>
      </c>
      <c r="Y361" t="str">
        <f t="shared" si="292"/>
        <v>-</v>
      </c>
      <c r="Z361" t="str">
        <f t="shared" si="293"/>
        <v>-</v>
      </c>
      <c r="AA361" t="str">
        <f t="shared" si="294"/>
        <v>-</v>
      </c>
      <c r="AB361" t="str">
        <f t="shared" si="295"/>
        <v>-</v>
      </c>
      <c r="AC361" t="str">
        <f t="shared" si="296"/>
        <v>-</v>
      </c>
    </row>
    <row r="362" spans="1:29" x14ac:dyDescent="0.3">
      <c r="A362" t="s">
        <v>414</v>
      </c>
      <c r="B362" t="str">
        <f t="shared" si="277"/>
        <v>Semi-detached</v>
      </c>
      <c r="C362">
        <f t="shared" ref="C362:D362" si="338">C154</f>
        <v>23</v>
      </c>
      <c r="D362">
        <f t="shared" si="338"/>
        <v>2</v>
      </c>
      <c r="E362" t="e">
        <f>AVERAGEIFS('Region 23'!$W$2:$W$468,'Region 23'!$A$2:$A$468,E$1,'Region 23'!$X$2:$X$468,$D362,'Region 23'!$S$2:$S$468,$A362)</f>
        <v>#DIV/0!</v>
      </c>
      <c r="F362" t="e">
        <f>AVERAGEIFS('Region 23'!$W$2:$W$468,'Region 23'!$A$2:$A$468,F$1,'Region 23'!$X$2:$X$468,$D362,'Region 23'!$S$2:$S$468,$A362)</f>
        <v>#DIV/0!</v>
      </c>
      <c r="G362" t="e">
        <f>AVERAGEIFS('Region 23'!$W$2:$W$468,'Region 23'!$A$2:$A$468,G$1,'Region 23'!$X$2:$X$468,$D362,'Region 23'!$S$2:$S$468,$A362)</f>
        <v>#DIV/0!</v>
      </c>
      <c r="H362" t="e">
        <f>AVERAGEIFS('Region 23'!$W$2:$W$468,'Region 23'!$A$2:$A$468,H$1,'Region 23'!$X$2:$X$468,$D362,'Region 23'!$S$2:$S$468,$A362)</f>
        <v>#DIV/0!</v>
      </c>
      <c r="I362" t="e">
        <f>AVERAGEIFS('Region 23'!$W$2:$W$468,'Region 23'!$A$2:$A$468,I$1,'Region 23'!$X$2:$X$468,$D362,'Region 23'!$S$2:$S$468,$A362)</f>
        <v>#DIV/0!</v>
      </c>
      <c r="J362" t="e">
        <f>AVERAGEIFS('Region 23'!$W$2:$W$468,'Region 23'!$A$2:$A$468,J$1,'Region 23'!$X$2:$X$468,$D362,'Region 23'!$S$2:$S$468,$A362)</f>
        <v>#DIV/0!</v>
      </c>
      <c r="K362" t="e">
        <f>AVERAGEIFS('Region 23'!$W$2:$W$468,'Region 23'!$A$2:$A$468,K$1,'Region 23'!$X$2:$X$468,$D362,'Region 23'!$S$2:$S$468,$A362)</f>
        <v>#DIV/0!</v>
      </c>
      <c r="L362" t="e">
        <f>AVERAGEIFS('Region 23'!$W$2:$W$468,'Region 23'!$A$2:$A$468,L$1,'Region 23'!$X$2:$X$468,$D362,'Region 23'!$S$2:$S$468,$A362)</f>
        <v>#DIV/0!</v>
      </c>
      <c r="M362" t="e">
        <f>AVERAGEIFS('Region 23'!$W$2:$W$468,'Region 23'!$A$2:$A$468,M$1,'Region 23'!$X$2:$X$468,$D362,'Region 23'!$S$2:$S$468,$A362)</f>
        <v>#DIV/0!</v>
      </c>
      <c r="N362" t="e">
        <f>AVERAGEIFS('Region 23'!$W$2:$W$468,'Region 23'!$A$2:$A$468,N$1,'Region 23'!$X$2:$X$468,$D362,'Region 23'!$S$2:$S$468,$A362)</f>
        <v>#DIV/0!</v>
      </c>
      <c r="Q362" t="str">
        <f t="shared" si="305"/>
        <v>Copper</v>
      </c>
      <c r="R362" t="str">
        <f t="shared" si="306"/>
        <v>Semi-detached</v>
      </c>
      <c r="S362">
        <f t="shared" si="307"/>
        <v>23</v>
      </c>
      <c r="T362" t="str">
        <f t="shared" si="287"/>
        <v>-</v>
      </c>
      <c r="U362" t="str">
        <f t="shared" si="288"/>
        <v>-</v>
      </c>
      <c r="V362" t="str">
        <f t="shared" si="289"/>
        <v>-</v>
      </c>
      <c r="W362" t="str">
        <f t="shared" si="290"/>
        <v>-</v>
      </c>
      <c r="X362" t="str">
        <f t="shared" si="291"/>
        <v>-</v>
      </c>
      <c r="Y362" t="str">
        <f t="shared" si="292"/>
        <v>-</v>
      </c>
      <c r="Z362" t="str">
        <f t="shared" si="293"/>
        <v>-</v>
      </c>
      <c r="AA362" t="str">
        <f t="shared" si="294"/>
        <v>-</v>
      </c>
      <c r="AB362" t="str">
        <f t="shared" si="295"/>
        <v>-</v>
      </c>
      <c r="AC362" t="str">
        <f t="shared" si="296"/>
        <v>-</v>
      </c>
    </row>
    <row r="363" spans="1:29" x14ac:dyDescent="0.3">
      <c r="A363" t="s">
        <v>414</v>
      </c>
      <c r="B363" t="str">
        <f t="shared" si="277"/>
        <v>Semi-detached</v>
      </c>
      <c r="C363">
        <f t="shared" ref="C363:D363" si="339">C155</f>
        <v>24</v>
      </c>
      <c r="D363">
        <f t="shared" si="339"/>
        <v>2</v>
      </c>
      <c r="E363">
        <f>AVERAGEIFS('Region 24'!$W$2:$W$454,'Region 24'!$A$2:$A$454,E$1,'Region 24'!$X$2:$X$454,$D363,'Region 24'!$S$2:$S$454,$A363)</f>
        <v>7.8927836566725466E-3</v>
      </c>
      <c r="F363" t="e">
        <f>AVERAGEIFS('Region 24'!$W$2:$W$454,'Region 24'!$A$2:$A$454,F$1,'Region 24'!$X$2:$X$454,$D363,'Region 24'!$S$2:$S$454,$A363)</f>
        <v>#DIV/0!</v>
      </c>
      <c r="G363" t="e">
        <f>AVERAGEIFS('Region 24'!$W$2:$W$454,'Region 24'!$A$2:$A$454,G$1,'Region 24'!$X$2:$X$454,$D363,'Region 24'!$S$2:$S$454,$A363)</f>
        <v>#DIV/0!</v>
      </c>
      <c r="H363" t="e">
        <f>AVERAGEIFS('Region 24'!$W$2:$W$454,'Region 24'!$A$2:$A$454,H$1,'Region 24'!$X$2:$X$454,$D363,'Region 24'!$S$2:$S$454,$A363)</f>
        <v>#DIV/0!</v>
      </c>
      <c r="I363" t="e">
        <f>AVERAGEIFS('Region 24'!$W$2:$W$454,'Region 24'!$A$2:$A$454,I$1,'Region 24'!$X$2:$X$454,$D363,'Region 24'!$S$2:$S$454,$A363)</f>
        <v>#DIV/0!</v>
      </c>
      <c r="J363" t="e">
        <f>AVERAGEIFS('Region 24'!$W$2:$W$454,'Region 24'!$A$2:$A$454,J$1,'Region 24'!$X$2:$X$454,$D363,'Region 24'!$S$2:$S$454,$A363)</f>
        <v>#DIV/0!</v>
      </c>
      <c r="K363" t="e">
        <f>AVERAGEIFS('Region 24'!$W$2:$W$454,'Region 24'!$A$2:$A$454,K$1,'Region 24'!$X$2:$X$454,$D363,'Region 24'!$S$2:$S$454,$A363)</f>
        <v>#DIV/0!</v>
      </c>
      <c r="L363" t="e">
        <f>AVERAGEIFS('Region 24'!$W$2:$W$454,'Region 24'!$A$2:$A$454,L$1,'Region 24'!$X$2:$X$454,$D363,'Region 24'!$S$2:$S$454,$A363)</f>
        <v>#DIV/0!</v>
      </c>
      <c r="M363" t="e">
        <f>AVERAGEIFS('Region 24'!$W$2:$W$454,'Region 24'!$A$2:$A$454,M$1,'Region 24'!$X$2:$X$454,$D363,'Region 24'!$S$2:$S$454,$A363)</f>
        <v>#DIV/0!</v>
      </c>
      <c r="N363" t="e">
        <f>AVERAGEIFS('Region 24'!$W$2:$W$454,'Region 24'!$A$2:$A$454,N$1,'Region 24'!$X$2:$X$454,$D363,'Region 24'!$S$2:$S$454,$A363)</f>
        <v>#DIV/0!</v>
      </c>
      <c r="Q363" t="str">
        <f t="shared" si="305"/>
        <v>Copper</v>
      </c>
      <c r="R363" t="str">
        <f t="shared" si="306"/>
        <v>Semi-detached</v>
      </c>
      <c r="S363">
        <f t="shared" si="307"/>
        <v>24</v>
      </c>
      <c r="T363">
        <f t="shared" si="287"/>
        <v>7.8927836566725466E-3</v>
      </c>
      <c r="U363" t="str">
        <f t="shared" si="288"/>
        <v>-</v>
      </c>
      <c r="V363" t="str">
        <f t="shared" si="289"/>
        <v>-</v>
      </c>
      <c r="W363" t="str">
        <f t="shared" si="290"/>
        <v>-</v>
      </c>
      <c r="X363" t="str">
        <f t="shared" si="291"/>
        <v>-</v>
      </c>
      <c r="Y363" t="str">
        <f t="shared" si="292"/>
        <v>-</v>
      </c>
      <c r="Z363" t="str">
        <f t="shared" si="293"/>
        <v>-</v>
      </c>
      <c r="AA363" t="str">
        <f t="shared" si="294"/>
        <v>-</v>
      </c>
      <c r="AB363" t="str">
        <f t="shared" si="295"/>
        <v>-</v>
      </c>
      <c r="AC363" t="str">
        <f t="shared" si="296"/>
        <v>-</v>
      </c>
    </row>
    <row r="364" spans="1:29" x14ac:dyDescent="0.3">
      <c r="A364" t="s">
        <v>414</v>
      </c>
      <c r="B364" t="str">
        <f t="shared" si="277"/>
        <v>Semi-detached</v>
      </c>
      <c r="C364">
        <f t="shared" ref="C364:D364" si="340">C156</f>
        <v>25</v>
      </c>
      <c r="D364">
        <f t="shared" si="340"/>
        <v>2</v>
      </c>
      <c r="E364" t="e">
        <f>AVERAGEIFS('Region 25'!$W$2:$W$499,'Region 25'!$A$2:$A$499,E$1,'Region 25'!$X$2:$X$499,$D364,'Region 25'!$S$2:$S$499,$A364)</f>
        <v>#DIV/0!</v>
      </c>
      <c r="F364" t="e">
        <f>AVERAGEIFS('Region 25'!$W$2:$W$499,'Region 25'!$A$2:$A$499,F$1,'Region 25'!$X$2:$X$499,$D364,'Region 25'!$S$2:$S$499,$A364)</f>
        <v>#DIV/0!</v>
      </c>
      <c r="G364" t="e">
        <f>AVERAGEIFS('Region 25'!$W$2:$W$499,'Region 25'!$A$2:$A$499,G$1,'Region 25'!$X$2:$X$499,$D364,'Region 25'!$S$2:$S$499,$A364)</f>
        <v>#DIV/0!</v>
      </c>
      <c r="H364" t="e">
        <f>AVERAGEIFS('Region 25'!$W$2:$W$499,'Region 25'!$A$2:$A$499,H$1,'Region 25'!$X$2:$X$499,$D364,'Region 25'!$S$2:$S$499,$A364)</f>
        <v>#DIV/0!</v>
      </c>
      <c r="I364" t="e">
        <f>AVERAGEIFS('Region 25'!$W$2:$W$499,'Region 25'!$A$2:$A$499,I$1,'Region 25'!$X$2:$X$499,$D364,'Region 25'!$S$2:$S$499,$A364)</f>
        <v>#DIV/0!</v>
      </c>
      <c r="J364" t="e">
        <f>AVERAGEIFS('Region 25'!$W$2:$W$499,'Region 25'!$A$2:$A$499,J$1,'Region 25'!$X$2:$X$499,$D364,'Region 25'!$S$2:$S$499,$A364)</f>
        <v>#DIV/0!</v>
      </c>
      <c r="K364" t="e">
        <f>AVERAGEIFS('Region 25'!$W$2:$W$499,'Region 25'!$A$2:$A$499,K$1,'Region 25'!$X$2:$X$499,$D364,'Region 25'!$S$2:$S$499,$A364)</f>
        <v>#DIV/0!</v>
      </c>
      <c r="L364" t="e">
        <f>AVERAGEIFS('Region 25'!$W$2:$W$499,'Region 25'!$A$2:$A$499,L$1,'Region 25'!$X$2:$X$499,$D364,'Region 25'!$S$2:$S$499,$A364)</f>
        <v>#DIV/0!</v>
      </c>
      <c r="M364" t="e">
        <f>AVERAGEIFS('Region 25'!$W$2:$W$499,'Region 25'!$A$2:$A$499,M$1,'Region 25'!$X$2:$X$499,$D364,'Region 25'!$S$2:$S$499,$A364)</f>
        <v>#DIV/0!</v>
      </c>
      <c r="N364" t="e">
        <f>AVERAGEIFS('Region 25'!$W$2:$W$499,'Region 25'!$A$2:$A$499,N$1,'Region 25'!$X$2:$X$499,$D364,'Region 25'!$S$2:$S$499,$A364)</f>
        <v>#DIV/0!</v>
      </c>
      <c r="Q364" t="str">
        <f t="shared" si="305"/>
        <v>Copper</v>
      </c>
      <c r="R364" t="str">
        <f t="shared" si="306"/>
        <v>Semi-detached</v>
      </c>
      <c r="S364">
        <f t="shared" si="307"/>
        <v>25</v>
      </c>
      <c r="T364" t="str">
        <f t="shared" si="287"/>
        <v>-</v>
      </c>
      <c r="U364" t="str">
        <f t="shared" si="288"/>
        <v>-</v>
      </c>
      <c r="V364" t="str">
        <f t="shared" si="289"/>
        <v>-</v>
      </c>
      <c r="W364" t="str">
        <f t="shared" si="290"/>
        <v>-</v>
      </c>
      <c r="X364" t="str">
        <f t="shared" si="291"/>
        <v>-</v>
      </c>
      <c r="Y364" t="str">
        <f t="shared" si="292"/>
        <v>-</v>
      </c>
      <c r="Z364" t="str">
        <f t="shared" si="293"/>
        <v>-</v>
      </c>
      <c r="AA364" t="str">
        <f t="shared" si="294"/>
        <v>-</v>
      </c>
      <c r="AB364" t="str">
        <f t="shared" si="295"/>
        <v>-</v>
      </c>
      <c r="AC364" t="str">
        <f t="shared" si="296"/>
        <v>-</v>
      </c>
    </row>
    <row r="365" spans="1:29" x14ac:dyDescent="0.3">
      <c r="A365" t="s">
        <v>414</v>
      </c>
      <c r="B365" t="str">
        <f t="shared" si="277"/>
        <v>Semi-detached</v>
      </c>
      <c r="C365">
        <f t="shared" ref="C365:D365" si="341">C157</f>
        <v>26</v>
      </c>
      <c r="D365">
        <f t="shared" si="341"/>
        <v>2</v>
      </c>
      <c r="E365" t="e">
        <f ca="1">AVERAGEIFS('Region 26'!$W$2:$W$500,'Region 26'!$A$2:$A$500,E$1,'Region 26'!$X$2:$X$500,$D365,'Region 26'!$S$2:$S$500,$A365)</f>
        <v>#DIV/0!</v>
      </c>
      <c r="F365" t="e">
        <f ca="1">AVERAGEIFS('Region 26'!$W$2:$W$500,'Region 26'!$A$2:$A$500,F$1,'Region 26'!$X$2:$X$500,$D365,'Region 26'!$S$2:$S$500,$A365)</f>
        <v>#DIV/0!</v>
      </c>
      <c r="G365" t="e">
        <f ca="1">AVERAGEIFS('Region 26'!$W$2:$W$500,'Region 26'!$A$2:$A$500,G$1,'Region 26'!$X$2:$X$500,$D365,'Region 26'!$S$2:$S$500,$A365)</f>
        <v>#DIV/0!</v>
      </c>
      <c r="H365" t="e">
        <f ca="1">AVERAGEIFS('Region 26'!$W$2:$W$500,'Region 26'!$A$2:$A$500,H$1,'Region 26'!$X$2:$X$500,$D365,'Region 26'!$S$2:$S$500,$A365)</f>
        <v>#DIV/0!</v>
      </c>
      <c r="I365" t="e">
        <f ca="1">AVERAGEIFS('Region 26'!$W$2:$W$500,'Region 26'!$A$2:$A$500,I$1,'Region 26'!$X$2:$X$500,$D365,'Region 26'!$S$2:$S$500,$A365)</f>
        <v>#DIV/0!</v>
      </c>
      <c r="J365" t="e">
        <f ca="1">AVERAGEIFS('Region 26'!$W$2:$W$500,'Region 26'!$A$2:$A$500,J$1,'Region 26'!$X$2:$X$500,$D365,'Region 26'!$S$2:$S$500,$A365)</f>
        <v>#DIV/0!</v>
      </c>
      <c r="K365" t="e">
        <f ca="1">AVERAGEIFS('Region 26'!$W$2:$W$500,'Region 26'!$A$2:$A$500,K$1,'Region 26'!$X$2:$X$500,$D365,'Region 26'!$S$2:$S$500,$A365)</f>
        <v>#DIV/0!</v>
      </c>
      <c r="L365" t="e">
        <f ca="1">AVERAGEIFS('Region 26'!$W$2:$W$500,'Region 26'!$A$2:$A$500,L$1,'Region 26'!$X$2:$X$500,$D365,'Region 26'!$S$2:$S$500,$A365)</f>
        <v>#DIV/0!</v>
      </c>
      <c r="M365" t="e">
        <f ca="1">AVERAGEIFS('Region 26'!$W$2:$W$500,'Region 26'!$A$2:$A$500,M$1,'Region 26'!$X$2:$X$500,$D365,'Region 26'!$S$2:$S$500,$A365)</f>
        <v>#DIV/0!</v>
      </c>
      <c r="N365" t="e">
        <f ca="1">AVERAGEIFS('Region 26'!$W$2:$W$500,'Region 26'!$A$2:$A$500,N$1,'Region 26'!$X$2:$X$500,$D365,'Region 26'!$S$2:$S$500,$A365)</f>
        <v>#DIV/0!</v>
      </c>
      <c r="Q365" t="str">
        <f t="shared" si="305"/>
        <v>Copper</v>
      </c>
      <c r="R365" t="str">
        <f t="shared" si="306"/>
        <v>Semi-detached</v>
      </c>
      <c r="S365">
        <f t="shared" si="307"/>
        <v>26</v>
      </c>
      <c r="T365" t="str">
        <f t="shared" ca="1" si="287"/>
        <v>-</v>
      </c>
      <c r="U365" t="str">
        <f t="shared" ca="1" si="288"/>
        <v>-</v>
      </c>
      <c r="V365" t="str">
        <f t="shared" ca="1" si="289"/>
        <v>-</v>
      </c>
      <c r="W365" t="str">
        <f t="shared" ca="1" si="290"/>
        <v>-</v>
      </c>
      <c r="X365" t="str">
        <f t="shared" ca="1" si="291"/>
        <v>-</v>
      </c>
      <c r="Y365" t="str">
        <f t="shared" ca="1" si="292"/>
        <v>-</v>
      </c>
      <c r="Z365" t="str">
        <f t="shared" ca="1" si="293"/>
        <v>-</v>
      </c>
      <c r="AA365" t="str">
        <f t="shared" ca="1" si="294"/>
        <v>-</v>
      </c>
      <c r="AB365" t="str">
        <f t="shared" ca="1" si="295"/>
        <v>-</v>
      </c>
      <c r="AC365" t="str">
        <f t="shared" ca="1" si="296"/>
        <v>-</v>
      </c>
    </row>
    <row r="366" spans="1:29" x14ac:dyDescent="0.3">
      <c r="A366" t="s">
        <v>414</v>
      </c>
      <c r="B366" t="str">
        <f t="shared" si="277"/>
        <v>Appartments</v>
      </c>
      <c r="C366">
        <f t="shared" ref="C366:D366" si="342">C158</f>
        <v>1</v>
      </c>
      <c r="D366">
        <f t="shared" si="342"/>
        <v>3</v>
      </c>
      <c r="E366" t="e">
        <f>AVERAGEIFS('Region 1'!$W$2:$W$498,'Region 1'!$A$2:$A$498,E$1,'Region 1'!$X$2:$X$498,$D366,'Region 1'!$S$2:$S$498,$A366)</f>
        <v>#DIV/0!</v>
      </c>
      <c r="F366" t="e">
        <f>AVERAGEIFS('Region 1'!$W$2:$W$498,'Region 1'!$A$2:$A$498,F$1,'Region 1'!$X$2:$X$498,$D366,'Region 1'!$S$2:$S$498,$A366)</f>
        <v>#DIV/0!</v>
      </c>
      <c r="G366" t="e">
        <f>AVERAGEIFS('Region 1'!$W$2:$W$498,'Region 1'!$A$2:$A$498,G$1,'Region 1'!$X$2:$X$498,$D366,'Region 1'!$S$2:$S$498,$A366)</f>
        <v>#DIV/0!</v>
      </c>
      <c r="H366" t="e">
        <f>AVERAGEIFS('Region 1'!$W$2:$W$498,'Region 1'!$A$2:$A$498,H$1,'Region 1'!$X$2:$X$498,$D366,'Region 1'!$S$2:$S$498,$A366)</f>
        <v>#DIV/0!</v>
      </c>
      <c r="I366" t="e">
        <f>AVERAGEIFS('Region 1'!$W$2:$W$498,'Region 1'!$A$2:$A$498,I$1,'Region 1'!$X$2:$X$498,$D366,'Region 1'!$S$2:$S$498,$A366)</f>
        <v>#DIV/0!</v>
      </c>
      <c r="J366" t="e">
        <f>AVERAGEIFS('Region 1'!$W$2:$W$498,'Region 1'!$A$2:$A$498,J$1,'Region 1'!$X$2:$X$498,$D366,'Region 1'!$S$2:$S$498,$A366)</f>
        <v>#DIV/0!</v>
      </c>
      <c r="K366" t="e">
        <f>AVERAGEIFS('Region 1'!$W$2:$W$498,'Region 1'!$A$2:$A$498,K$1,'Region 1'!$X$2:$X$498,$D366,'Region 1'!$S$2:$S$498,$A366)</f>
        <v>#DIV/0!</v>
      </c>
      <c r="L366" t="e">
        <f>AVERAGEIFS('Region 1'!$W$2:$W$498,'Region 1'!$A$2:$A$498,L$1,'Region 1'!$X$2:$X$498,$D366,'Region 1'!$S$2:$S$498,$A366)</f>
        <v>#DIV/0!</v>
      </c>
      <c r="M366" t="e">
        <f>AVERAGEIFS('Region 1'!$W$2:$W$498,'Region 1'!$A$2:$A$498,M$1,'Region 1'!$X$2:$X$498,$D366,'Region 1'!$S$2:$S$498,$A366)</f>
        <v>#DIV/0!</v>
      </c>
      <c r="N366" t="e">
        <f>AVERAGEIFS('Region 1'!$W$2:$W$498,'Region 1'!$A$2:$A$498,N$1,'Region 1'!$X$2:$X$498,$D366,'Region 1'!$S$2:$S$498,$A366)</f>
        <v>#DIV/0!</v>
      </c>
      <c r="Q366" t="str">
        <f t="shared" si="305"/>
        <v>Copper</v>
      </c>
      <c r="R366" t="str">
        <f t="shared" si="306"/>
        <v>Appartments</v>
      </c>
      <c r="S366">
        <f t="shared" si="307"/>
        <v>1</v>
      </c>
      <c r="T366" t="str">
        <f t="shared" si="287"/>
        <v>-</v>
      </c>
      <c r="U366" t="str">
        <f t="shared" si="288"/>
        <v>-</v>
      </c>
      <c r="V366" t="str">
        <f t="shared" si="289"/>
        <v>-</v>
      </c>
      <c r="W366" t="str">
        <f t="shared" si="290"/>
        <v>-</v>
      </c>
      <c r="X366" t="str">
        <f t="shared" si="291"/>
        <v>-</v>
      </c>
      <c r="Y366" t="str">
        <f t="shared" si="292"/>
        <v>-</v>
      </c>
      <c r="Z366" t="str">
        <f t="shared" si="293"/>
        <v>-</v>
      </c>
      <c r="AA366" t="str">
        <f t="shared" si="294"/>
        <v>-</v>
      </c>
      <c r="AB366" t="str">
        <f t="shared" si="295"/>
        <v>-</v>
      </c>
      <c r="AC366" t="str">
        <f t="shared" si="296"/>
        <v>-</v>
      </c>
    </row>
    <row r="367" spans="1:29" x14ac:dyDescent="0.3">
      <c r="A367" t="s">
        <v>414</v>
      </c>
      <c r="B367" t="str">
        <f t="shared" si="277"/>
        <v>Appartments</v>
      </c>
      <c r="C367">
        <f t="shared" ref="C367:D367" si="343">C159</f>
        <v>2</v>
      </c>
      <c r="D367">
        <f t="shared" si="343"/>
        <v>3</v>
      </c>
      <c r="E367" t="e">
        <f>AVERAGEIFS('Region 2'!$W$2:$W$498,'Region 2'!$A$2:$A$498,E$1,'Region 2'!$X$2:$X$498,$D367,'Region 2'!$S$2:$S$498,$A367)</f>
        <v>#DIV/0!</v>
      </c>
      <c r="F367" t="e">
        <f>AVERAGEIFS('Region 2'!$W$2:$W$498,'Region 2'!$A$2:$A$498,F$1,'Region 2'!$X$2:$X$498,$D367,'Region 2'!$S$2:$S$498,$A367)</f>
        <v>#DIV/0!</v>
      </c>
      <c r="G367" t="e">
        <f>AVERAGEIFS('Region 2'!$W$2:$W$498,'Region 2'!$A$2:$A$498,G$1,'Region 2'!$X$2:$X$498,$D367,'Region 2'!$S$2:$S$498,$A367)</f>
        <v>#DIV/0!</v>
      </c>
      <c r="H367" t="e">
        <f>AVERAGEIFS('Region 2'!$W$2:$W$498,'Region 2'!$A$2:$A$498,H$1,'Region 2'!$X$2:$X$498,$D367,'Region 2'!$S$2:$S$498,$A367)</f>
        <v>#DIV/0!</v>
      </c>
      <c r="I367" t="e">
        <f>AVERAGEIFS('Region 2'!$W$2:$W$498,'Region 2'!$A$2:$A$498,I$1,'Region 2'!$X$2:$X$498,$D367,'Region 2'!$S$2:$S$498,$A367)</f>
        <v>#DIV/0!</v>
      </c>
      <c r="J367" t="e">
        <f>AVERAGEIFS('Region 2'!$W$2:$W$498,'Region 2'!$A$2:$A$498,J$1,'Region 2'!$X$2:$X$498,$D367,'Region 2'!$S$2:$S$498,$A367)</f>
        <v>#DIV/0!</v>
      </c>
      <c r="K367" t="e">
        <f>AVERAGEIFS('Region 2'!$W$2:$W$498,'Region 2'!$A$2:$A$498,K$1,'Region 2'!$X$2:$X$498,$D367,'Region 2'!$S$2:$S$498,$A367)</f>
        <v>#DIV/0!</v>
      </c>
      <c r="L367" t="e">
        <f>AVERAGEIFS('Region 2'!$W$2:$W$498,'Region 2'!$A$2:$A$498,L$1,'Region 2'!$X$2:$X$498,$D367,'Region 2'!$S$2:$S$498,$A367)</f>
        <v>#DIV/0!</v>
      </c>
      <c r="M367" t="e">
        <f>AVERAGEIFS('Region 2'!$W$2:$W$498,'Region 2'!$A$2:$A$498,M$1,'Region 2'!$X$2:$X$498,$D367,'Region 2'!$S$2:$S$498,$A367)</f>
        <v>#DIV/0!</v>
      </c>
      <c r="N367" t="e">
        <f>AVERAGEIFS('Region 2'!$W$2:$W$498,'Region 2'!$A$2:$A$498,N$1,'Region 2'!$X$2:$X$498,$D367,'Region 2'!$S$2:$S$498,$A367)</f>
        <v>#DIV/0!</v>
      </c>
      <c r="Q367" t="str">
        <f t="shared" si="305"/>
        <v>Copper</v>
      </c>
      <c r="R367" t="str">
        <f t="shared" si="306"/>
        <v>Appartments</v>
      </c>
      <c r="S367">
        <f t="shared" si="307"/>
        <v>2</v>
      </c>
      <c r="T367" t="str">
        <f t="shared" si="287"/>
        <v>-</v>
      </c>
      <c r="U367" t="str">
        <f t="shared" si="288"/>
        <v>-</v>
      </c>
      <c r="V367" t="str">
        <f t="shared" si="289"/>
        <v>-</v>
      </c>
      <c r="W367" t="str">
        <f t="shared" si="290"/>
        <v>-</v>
      </c>
      <c r="X367" t="str">
        <f t="shared" si="291"/>
        <v>-</v>
      </c>
      <c r="Y367" t="str">
        <f t="shared" si="292"/>
        <v>-</v>
      </c>
      <c r="Z367" t="str">
        <f t="shared" si="293"/>
        <v>-</v>
      </c>
      <c r="AA367" t="str">
        <f t="shared" si="294"/>
        <v>-</v>
      </c>
      <c r="AB367" t="str">
        <f t="shared" si="295"/>
        <v>-</v>
      </c>
      <c r="AC367" t="str">
        <f t="shared" si="296"/>
        <v>-</v>
      </c>
    </row>
    <row r="368" spans="1:29" x14ac:dyDescent="0.3">
      <c r="A368" t="s">
        <v>414</v>
      </c>
      <c r="B368" t="str">
        <f t="shared" si="277"/>
        <v>Appartments</v>
      </c>
      <c r="C368">
        <f t="shared" ref="C368:D368" si="344">C160</f>
        <v>3</v>
      </c>
      <c r="D368">
        <f t="shared" si="344"/>
        <v>3</v>
      </c>
      <c r="E368" t="e">
        <f ca="1">AVERAGEIFS('Region 3'!$W$2:$W$500,'Region 3'!$A$2:$A$500,E$1,'Region 3'!$X$2:$X$500,$D368,'Region 3'!$S$2:$S$500,$A368)</f>
        <v>#DIV/0!</v>
      </c>
      <c r="F368" t="e">
        <f ca="1">AVERAGEIFS('Region 3'!$W$2:$W$500,'Region 3'!$A$2:$A$500,F$1,'Region 3'!$X$2:$X$500,$D368,'Region 3'!$S$2:$S$500,$A368)</f>
        <v>#DIV/0!</v>
      </c>
      <c r="G368" t="e">
        <f ca="1">AVERAGEIFS('Region 3'!$W$2:$W$500,'Region 3'!$A$2:$A$500,G$1,'Region 3'!$X$2:$X$500,$D368,'Region 3'!$S$2:$S$500,$A368)</f>
        <v>#DIV/0!</v>
      </c>
      <c r="H368" t="e">
        <f ca="1">AVERAGEIFS('Region 3'!$W$2:$W$500,'Region 3'!$A$2:$A$500,H$1,'Region 3'!$X$2:$X$500,$D368,'Region 3'!$S$2:$S$500,$A368)</f>
        <v>#DIV/0!</v>
      </c>
      <c r="I368" t="e">
        <f ca="1">AVERAGEIFS('Region 3'!$W$2:$W$500,'Region 3'!$A$2:$A$500,I$1,'Region 3'!$X$2:$X$500,$D368,'Region 3'!$S$2:$S$500,$A368)</f>
        <v>#DIV/0!</v>
      </c>
      <c r="J368" t="e">
        <f ca="1">AVERAGEIFS('Region 3'!$W$2:$W$500,'Region 3'!$A$2:$A$500,J$1,'Region 3'!$X$2:$X$500,$D368,'Region 3'!$S$2:$S$500,$A368)</f>
        <v>#DIV/0!</v>
      </c>
      <c r="K368" t="e">
        <f ca="1">AVERAGEIFS('Region 3'!$W$2:$W$500,'Region 3'!$A$2:$A$500,K$1,'Region 3'!$X$2:$X$500,$D368,'Region 3'!$S$2:$S$500,$A368)</f>
        <v>#DIV/0!</v>
      </c>
      <c r="L368" t="e">
        <f ca="1">AVERAGEIFS('Region 3'!$W$2:$W$500,'Region 3'!$A$2:$A$500,L$1,'Region 3'!$X$2:$X$500,$D368,'Region 3'!$S$2:$S$500,$A368)</f>
        <v>#DIV/0!</v>
      </c>
      <c r="M368" t="e">
        <f ca="1">AVERAGEIFS('Region 3'!$W$2:$W$500,'Region 3'!$A$2:$A$500,M$1,'Region 3'!$X$2:$X$500,$D368,'Region 3'!$S$2:$S$500,$A368)</f>
        <v>#DIV/0!</v>
      </c>
      <c r="N368" t="e">
        <f ca="1">AVERAGEIFS('Region 3'!$W$2:$W$500,'Region 3'!$A$2:$A$500,N$1,'Region 3'!$X$2:$X$500,$D368,'Region 3'!$S$2:$S$500,$A368)</f>
        <v>#DIV/0!</v>
      </c>
      <c r="Q368" t="str">
        <f t="shared" si="305"/>
        <v>Copper</v>
      </c>
      <c r="R368" t="str">
        <f t="shared" si="306"/>
        <v>Appartments</v>
      </c>
      <c r="S368">
        <f t="shared" si="307"/>
        <v>3</v>
      </c>
      <c r="T368" t="str">
        <f t="shared" ca="1" si="287"/>
        <v>-</v>
      </c>
      <c r="U368" t="str">
        <f t="shared" ca="1" si="288"/>
        <v>-</v>
      </c>
      <c r="V368" t="str">
        <f t="shared" ca="1" si="289"/>
        <v>-</v>
      </c>
      <c r="W368" t="str">
        <f t="shared" ca="1" si="290"/>
        <v>-</v>
      </c>
      <c r="X368" t="str">
        <f t="shared" ca="1" si="291"/>
        <v>-</v>
      </c>
      <c r="Y368" t="str">
        <f t="shared" ca="1" si="292"/>
        <v>-</v>
      </c>
      <c r="Z368" t="str">
        <f t="shared" ca="1" si="293"/>
        <v>-</v>
      </c>
      <c r="AA368" t="str">
        <f t="shared" ca="1" si="294"/>
        <v>-</v>
      </c>
      <c r="AB368" t="str">
        <f t="shared" ca="1" si="295"/>
        <v>-</v>
      </c>
      <c r="AC368" t="str">
        <f t="shared" ca="1" si="296"/>
        <v>-</v>
      </c>
    </row>
    <row r="369" spans="1:29" x14ac:dyDescent="0.3">
      <c r="A369" t="s">
        <v>414</v>
      </c>
      <c r="B369" t="str">
        <f t="shared" si="277"/>
        <v>Appartments</v>
      </c>
      <c r="C369">
        <f t="shared" ref="C369:D369" si="345">C161</f>
        <v>4</v>
      </c>
      <c r="D369">
        <f t="shared" si="345"/>
        <v>3</v>
      </c>
      <c r="E369" t="e">
        <f>AVERAGEIFS('Region 4'!$W$2:$W$10,'Region 4'!$A$2:$A$10,E$1,'Region 4'!$X$2:$X$10,$D369,'Region 4'!$S$2:$S$10,$A369)</f>
        <v>#DIV/0!</v>
      </c>
      <c r="F369" t="e">
        <f>AVERAGEIFS('Region 4'!$W$2:$W$10,'Region 4'!$A$2:$A$10,F$1,'Region 4'!$X$2:$X$10,$D369,'Region 4'!$S$2:$S$10,$A369)</f>
        <v>#DIV/0!</v>
      </c>
      <c r="G369" t="e">
        <f>AVERAGEIFS('Region 4'!$W$2:$W$10,'Region 4'!$A$2:$A$10,G$1,'Region 4'!$X$2:$X$10,$D369,'Region 4'!$S$2:$S$10,$A369)</f>
        <v>#DIV/0!</v>
      </c>
      <c r="H369" t="e">
        <f>AVERAGEIFS('Region 4'!$W$2:$W$10,'Region 4'!$A$2:$A$10,H$1,'Region 4'!$X$2:$X$10,$D369,'Region 4'!$S$2:$S$10,$A369)</f>
        <v>#DIV/0!</v>
      </c>
      <c r="I369" t="e">
        <f>AVERAGEIFS('Region 4'!$W$2:$W$10,'Region 4'!$A$2:$A$10,I$1,'Region 4'!$X$2:$X$10,$D369,'Region 4'!$S$2:$S$10,$A369)</f>
        <v>#DIV/0!</v>
      </c>
      <c r="J369" t="e">
        <f>AVERAGEIFS('Region 4'!$W$2:$W$10,'Region 4'!$A$2:$A$10,J$1,'Region 4'!$X$2:$X$10,$D369,'Region 4'!$S$2:$S$10,$A369)</f>
        <v>#DIV/0!</v>
      </c>
      <c r="K369" t="e">
        <f>AVERAGEIFS('Region 4'!$W$2:$W$10,'Region 4'!$A$2:$A$10,K$1,'Region 4'!$X$2:$X$10,$D369,'Region 4'!$S$2:$S$10,$A369)</f>
        <v>#DIV/0!</v>
      </c>
      <c r="L369" t="e">
        <f>AVERAGEIFS('Region 4'!$W$2:$W$10,'Region 4'!$A$2:$A$10,L$1,'Region 4'!$X$2:$X$10,$D369,'Region 4'!$S$2:$S$10,$A369)</f>
        <v>#DIV/0!</v>
      </c>
      <c r="M369" t="e">
        <f>AVERAGEIFS('Region 4'!$W$2:$W$10,'Region 4'!$A$2:$A$10,M$1,'Region 4'!$X$2:$X$10,$D369,'Region 4'!$S$2:$S$10,$A369)</f>
        <v>#DIV/0!</v>
      </c>
      <c r="N369" t="e">
        <f>AVERAGEIFS('Region 4'!$W$2:$W$10,'Region 4'!$A$2:$A$10,N$1,'Region 4'!$X$2:$X$10,$D369,'Region 4'!$S$2:$S$10,$A369)</f>
        <v>#DIV/0!</v>
      </c>
      <c r="Q369" t="str">
        <f t="shared" si="305"/>
        <v>Copper</v>
      </c>
      <c r="R369" t="str">
        <f t="shared" si="306"/>
        <v>Appartments</v>
      </c>
      <c r="S369">
        <f t="shared" si="307"/>
        <v>4</v>
      </c>
      <c r="T369" t="str">
        <f t="shared" si="287"/>
        <v>-</v>
      </c>
      <c r="U369" t="str">
        <f t="shared" si="288"/>
        <v>-</v>
      </c>
      <c r="V369" t="str">
        <f t="shared" si="289"/>
        <v>-</v>
      </c>
      <c r="W369" t="str">
        <f t="shared" si="290"/>
        <v>-</v>
      </c>
      <c r="X369" t="str">
        <f t="shared" si="291"/>
        <v>-</v>
      </c>
      <c r="Y369" t="str">
        <f t="shared" si="292"/>
        <v>-</v>
      </c>
      <c r="Z369" t="str">
        <f t="shared" si="293"/>
        <v>-</v>
      </c>
      <c r="AA369" t="str">
        <f t="shared" si="294"/>
        <v>-</v>
      </c>
      <c r="AB369" t="str">
        <f t="shared" si="295"/>
        <v>-</v>
      </c>
      <c r="AC369" t="str">
        <f t="shared" si="296"/>
        <v>-</v>
      </c>
    </row>
    <row r="370" spans="1:29" x14ac:dyDescent="0.3">
      <c r="A370" t="s">
        <v>414</v>
      </c>
      <c r="B370" t="str">
        <f t="shared" si="277"/>
        <v>Appartments</v>
      </c>
      <c r="C370">
        <f t="shared" ref="C370:D370" si="346">C162</f>
        <v>5</v>
      </c>
      <c r="D370">
        <f t="shared" si="346"/>
        <v>3</v>
      </c>
      <c r="E370" t="e">
        <f>AVERAGEIFS('Region 5'!$W$2:$W$496,'Region 5'!$A$2:$A$496,E$1,'Region 5'!$X$2:$X$496,$D370,'Region 5'!$S$2:$S$496,$A370)</f>
        <v>#DIV/0!</v>
      </c>
      <c r="F370" t="e">
        <f>AVERAGEIFS('Region 5'!$W$2:$W$496,'Region 5'!$A$2:$A$496,F$1,'Region 5'!$X$2:$X$496,$D370,'Region 5'!$S$2:$S$496,$A370)</f>
        <v>#DIV/0!</v>
      </c>
      <c r="G370" t="e">
        <f>AVERAGEIFS('Region 5'!$W$2:$W$496,'Region 5'!$A$2:$A$496,G$1,'Region 5'!$X$2:$X$496,$D370,'Region 5'!$S$2:$S$496,$A370)</f>
        <v>#DIV/0!</v>
      </c>
      <c r="H370" t="e">
        <f>AVERAGEIFS('Region 5'!$W$2:$W$496,'Region 5'!$A$2:$A$496,H$1,'Region 5'!$X$2:$X$496,$D370,'Region 5'!$S$2:$S$496,$A370)</f>
        <v>#DIV/0!</v>
      </c>
      <c r="I370" t="e">
        <f>AVERAGEIFS('Region 5'!$W$2:$W$496,'Region 5'!$A$2:$A$496,I$1,'Region 5'!$X$2:$X$496,$D370,'Region 5'!$S$2:$S$496,$A370)</f>
        <v>#DIV/0!</v>
      </c>
      <c r="J370" t="e">
        <f>AVERAGEIFS('Region 5'!$W$2:$W$496,'Region 5'!$A$2:$A$496,J$1,'Region 5'!$X$2:$X$496,$D370,'Region 5'!$S$2:$S$496,$A370)</f>
        <v>#DIV/0!</v>
      </c>
      <c r="K370" t="e">
        <f>AVERAGEIFS('Region 5'!$W$2:$W$496,'Region 5'!$A$2:$A$496,K$1,'Region 5'!$X$2:$X$496,$D370,'Region 5'!$S$2:$S$496,$A370)</f>
        <v>#DIV/0!</v>
      </c>
      <c r="L370" t="e">
        <f>AVERAGEIFS('Region 5'!$W$2:$W$496,'Region 5'!$A$2:$A$496,L$1,'Region 5'!$X$2:$X$496,$D370,'Region 5'!$S$2:$S$496,$A370)</f>
        <v>#DIV/0!</v>
      </c>
      <c r="M370" t="e">
        <f>AVERAGEIFS('Region 5'!$W$2:$W$496,'Region 5'!$A$2:$A$496,M$1,'Region 5'!$X$2:$X$496,$D370,'Region 5'!$S$2:$S$496,$A370)</f>
        <v>#DIV/0!</v>
      </c>
      <c r="N370" t="e">
        <f>AVERAGEIFS('Region 5'!$W$2:$W$496,'Region 5'!$A$2:$A$496,N$1,'Region 5'!$X$2:$X$496,$D370,'Region 5'!$S$2:$S$496,$A370)</f>
        <v>#DIV/0!</v>
      </c>
      <c r="Q370" t="str">
        <f t="shared" si="305"/>
        <v>Copper</v>
      </c>
      <c r="R370" t="str">
        <f t="shared" si="306"/>
        <v>Appartments</v>
      </c>
      <c r="S370">
        <f t="shared" si="307"/>
        <v>5</v>
      </c>
      <c r="T370" t="str">
        <f t="shared" si="287"/>
        <v>-</v>
      </c>
      <c r="U370" t="str">
        <f t="shared" si="288"/>
        <v>-</v>
      </c>
      <c r="V370" t="str">
        <f t="shared" si="289"/>
        <v>-</v>
      </c>
      <c r="W370" t="str">
        <f t="shared" si="290"/>
        <v>-</v>
      </c>
      <c r="X370" t="str">
        <f t="shared" si="291"/>
        <v>-</v>
      </c>
      <c r="Y370" t="str">
        <f t="shared" si="292"/>
        <v>-</v>
      </c>
      <c r="Z370" t="str">
        <f t="shared" si="293"/>
        <v>-</v>
      </c>
      <c r="AA370" t="str">
        <f t="shared" si="294"/>
        <v>-</v>
      </c>
      <c r="AB370" t="str">
        <f t="shared" si="295"/>
        <v>-</v>
      </c>
      <c r="AC370" t="str">
        <f t="shared" si="296"/>
        <v>-</v>
      </c>
    </row>
    <row r="371" spans="1:29" x14ac:dyDescent="0.3">
      <c r="A371" t="s">
        <v>414</v>
      </c>
      <c r="B371" t="str">
        <f t="shared" si="277"/>
        <v>Appartments</v>
      </c>
      <c r="C371">
        <f t="shared" ref="C371:D371" si="347">C163</f>
        <v>6</v>
      </c>
      <c r="D371">
        <f t="shared" si="347"/>
        <v>3</v>
      </c>
      <c r="E371" t="e">
        <f>AVERAGEIFS('Region 6'!$W$2:$W$496,'Region 6'!$A$2:$A$496,E$1,'Region 6'!$X$2:$X$496,$D371,'Region 6'!$S$2:$S$496,$A371)</f>
        <v>#DIV/0!</v>
      </c>
      <c r="F371" t="e">
        <f>AVERAGEIFS('Region 6'!$W$2:$W$496,'Region 6'!$A$2:$A$496,F$1,'Region 6'!$X$2:$X$496,$D371,'Region 6'!$S$2:$S$496,$A371)</f>
        <v>#DIV/0!</v>
      </c>
      <c r="G371" t="e">
        <f>AVERAGEIFS('Region 6'!$W$2:$W$496,'Region 6'!$A$2:$A$496,G$1,'Region 6'!$X$2:$X$496,$D371,'Region 6'!$S$2:$S$496,$A371)</f>
        <v>#DIV/0!</v>
      </c>
      <c r="H371" t="e">
        <f>AVERAGEIFS('Region 6'!$W$2:$W$496,'Region 6'!$A$2:$A$496,H$1,'Region 6'!$X$2:$X$496,$D371,'Region 6'!$S$2:$S$496,$A371)</f>
        <v>#DIV/0!</v>
      </c>
      <c r="I371" t="e">
        <f>AVERAGEIFS('Region 6'!$W$2:$W$496,'Region 6'!$A$2:$A$496,I$1,'Region 6'!$X$2:$X$496,$D371,'Region 6'!$S$2:$S$496,$A371)</f>
        <v>#DIV/0!</v>
      </c>
      <c r="J371" t="e">
        <f>AVERAGEIFS('Region 6'!$W$2:$W$496,'Region 6'!$A$2:$A$496,J$1,'Region 6'!$X$2:$X$496,$D371,'Region 6'!$S$2:$S$496,$A371)</f>
        <v>#DIV/0!</v>
      </c>
      <c r="K371" t="e">
        <f>AVERAGEIFS('Region 6'!$W$2:$W$496,'Region 6'!$A$2:$A$496,K$1,'Region 6'!$X$2:$X$496,$D371,'Region 6'!$S$2:$S$496,$A371)</f>
        <v>#DIV/0!</v>
      </c>
      <c r="L371" t="e">
        <f>AVERAGEIFS('Region 6'!$W$2:$W$496,'Region 6'!$A$2:$A$496,L$1,'Region 6'!$X$2:$X$496,$D371,'Region 6'!$S$2:$S$496,$A371)</f>
        <v>#DIV/0!</v>
      </c>
      <c r="M371" t="e">
        <f>AVERAGEIFS('Region 6'!$W$2:$W$496,'Region 6'!$A$2:$A$496,M$1,'Region 6'!$X$2:$X$496,$D371,'Region 6'!$S$2:$S$496,$A371)</f>
        <v>#DIV/0!</v>
      </c>
      <c r="N371" t="e">
        <f>AVERAGEIFS('Region 6'!$W$2:$W$496,'Region 6'!$A$2:$A$496,N$1,'Region 6'!$X$2:$X$496,$D371,'Region 6'!$S$2:$S$496,$A371)</f>
        <v>#DIV/0!</v>
      </c>
      <c r="Q371" t="str">
        <f t="shared" si="305"/>
        <v>Copper</v>
      </c>
      <c r="R371" t="str">
        <f t="shared" si="306"/>
        <v>Appartments</v>
      </c>
      <c r="S371">
        <f t="shared" si="307"/>
        <v>6</v>
      </c>
      <c r="T371" t="str">
        <f t="shared" si="287"/>
        <v>-</v>
      </c>
      <c r="U371" t="str">
        <f t="shared" si="288"/>
        <v>-</v>
      </c>
      <c r="V371" t="str">
        <f t="shared" si="289"/>
        <v>-</v>
      </c>
      <c r="W371" t="str">
        <f t="shared" si="290"/>
        <v>-</v>
      </c>
      <c r="X371" t="str">
        <f t="shared" si="291"/>
        <v>-</v>
      </c>
      <c r="Y371" t="str">
        <f t="shared" si="292"/>
        <v>-</v>
      </c>
      <c r="Z371" t="str">
        <f t="shared" si="293"/>
        <v>-</v>
      </c>
      <c r="AA371" t="str">
        <f t="shared" si="294"/>
        <v>-</v>
      </c>
      <c r="AB371" t="str">
        <f t="shared" si="295"/>
        <v>-</v>
      </c>
      <c r="AC371" t="str">
        <f t="shared" si="296"/>
        <v>-</v>
      </c>
    </row>
    <row r="372" spans="1:29" x14ac:dyDescent="0.3">
      <c r="A372" t="s">
        <v>414</v>
      </c>
      <c r="B372" t="str">
        <f t="shared" si="277"/>
        <v>Appartments</v>
      </c>
      <c r="C372">
        <f t="shared" ref="C372:D372" si="348">C164</f>
        <v>7</v>
      </c>
      <c r="D372">
        <f t="shared" si="348"/>
        <v>3</v>
      </c>
      <c r="E372" t="e">
        <f ca="1">AVERAGEIFS('Region 7'!$W$2:$W$500,'Region 7'!$A$2:$A$500,E$1,'Region 7'!$X$2:$X$500,$D372,'Region 7'!$S$2:$S$500,$A372)</f>
        <v>#DIV/0!</v>
      </c>
      <c r="F372" t="e">
        <f ca="1">AVERAGEIFS('Region 7'!$W$2:$W$500,'Region 7'!$A$2:$A$500,F$1,'Region 7'!$X$2:$X$500,$D372,'Region 7'!$S$2:$S$500,$A372)</f>
        <v>#DIV/0!</v>
      </c>
      <c r="G372" t="e">
        <f ca="1">AVERAGEIFS('Region 7'!$W$2:$W$500,'Region 7'!$A$2:$A$500,G$1,'Region 7'!$X$2:$X$500,$D372,'Region 7'!$S$2:$S$500,$A372)</f>
        <v>#DIV/0!</v>
      </c>
      <c r="H372" t="e">
        <f ca="1">AVERAGEIFS('Region 7'!$W$2:$W$500,'Region 7'!$A$2:$A$500,H$1,'Region 7'!$X$2:$X$500,$D372,'Region 7'!$S$2:$S$500,$A372)</f>
        <v>#DIV/0!</v>
      </c>
      <c r="I372" t="e">
        <f ca="1">AVERAGEIFS('Region 7'!$W$2:$W$500,'Region 7'!$A$2:$A$500,I$1,'Region 7'!$X$2:$X$500,$D372,'Region 7'!$S$2:$S$500,$A372)</f>
        <v>#DIV/0!</v>
      </c>
      <c r="J372" t="e">
        <f ca="1">AVERAGEIFS('Region 7'!$W$2:$W$500,'Region 7'!$A$2:$A$500,J$1,'Region 7'!$X$2:$X$500,$D372,'Region 7'!$S$2:$S$500,$A372)</f>
        <v>#DIV/0!</v>
      </c>
      <c r="K372" t="e">
        <f ca="1">AVERAGEIFS('Region 7'!$W$2:$W$500,'Region 7'!$A$2:$A$500,K$1,'Region 7'!$X$2:$X$500,$D372,'Region 7'!$S$2:$S$500,$A372)</f>
        <v>#DIV/0!</v>
      </c>
      <c r="L372" t="e">
        <f ca="1">AVERAGEIFS('Region 7'!$W$2:$W$500,'Region 7'!$A$2:$A$500,L$1,'Region 7'!$X$2:$X$500,$D372,'Region 7'!$S$2:$S$500,$A372)</f>
        <v>#DIV/0!</v>
      </c>
      <c r="M372" t="e">
        <f ca="1">AVERAGEIFS('Region 7'!$W$2:$W$500,'Region 7'!$A$2:$A$500,M$1,'Region 7'!$X$2:$X$500,$D372,'Region 7'!$S$2:$S$500,$A372)</f>
        <v>#DIV/0!</v>
      </c>
      <c r="N372" t="e">
        <f ca="1">AVERAGEIFS('Region 7'!$W$2:$W$500,'Region 7'!$A$2:$A$500,N$1,'Region 7'!$X$2:$X$500,$D372,'Region 7'!$S$2:$S$500,$A372)</f>
        <v>#DIV/0!</v>
      </c>
      <c r="Q372" t="str">
        <f t="shared" si="305"/>
        <v>Copper</v>
      </c>
      <c r="R372" t="str">
        <f t="shared" si="306"/>
        <v>Appartments</v>
      </c>
      <c r="S372">
        <f t="shared" si="307"/>
        <v>7</v>
      </c>
      <c r="T372" t="str">
        <f t="shared" ca="1" si="287"/>
        <v>-</v>
      </c>
      <c r="U372" t="str">
        <f t="shared" ca="1" si="288"/>
        <v>-</v>
      </c>
      <c r="V372" t="str">
        <f t="shared" ca="1" si="289"/>
        <v>-</v>
      </c>
      <c r="W372" t="str">
        <f t="shared" ca="1" si="290"/>
        <v>-</v>
      </c>
      <c r="X372" t="str">
        <f t="shared" ca="1" si="291"/>
        <v>-</v>
      </c>
      <c r="Y372" t="str">
        <f t="shared" ca="1" si="292"/>
        <v>-</v>
      </c>
      <c r="Z372" t="str">
        <f t="shared" ca="1" si="293"/>
        <v>-</v>
      </c>
      <c r="AA372" t="str">
        <f t="shared" ca="1" si="294"/>
        <v>-</v>
      </c>
      <c r="AB372" t="str">
        <f t="shared" ca="1" si="295"/>
        <v>-</v>
      </c>
      <c r="AC372" t="str">
        <f t="shared" ca="1" si="296"/>
        <v>-</v>
      </c>
    </row>
    <row r="373" spans="1:29" x14ac:dyDescent="0.3">
      <c r="A373" t="s">
        <v>414</v>
      </c>
      <c r="B373" t="str">
        <f t="shared" si="277"/>
        <v>Appartments</v>
      </c>
      <c r="C373">
        <f t="shared" ref="C373:D373" si="349">C165</f>
        <v>8</v>
      </c>
      <c r="D373">
        <f t="shared" si="349"/>
        <v>3</v>
      </c>
      <c r="E373" t="e">
        <f>AVERAGEIFS('Region 8'!$W$2:$W$497,'Region 8'!$A$2:$A$497,E$1,'Region 8'!$X$2:$X$497,$D373,'Region 8'!$S$2:$S$497,$A373)</f>
        <v>#DIV/0!</v>
      </c>
      <c r="F373" t="e">
        <f>AVERAGEIFS('Region 8'!$W$2:$W$497,'Region 8'!$A$2:$A$497,F$1,'Region 8'!$X$2:$X$497,$D373,'Region 8'!$S$2:$S$497,$A373)</f>
        <v>#DIV/0!</v>
      </c>
      <c r="G373" t="e">
        <f>AVERAGEIFS('Region 8'!$W$2:$W$497,'Region 8'!$A$2:$A$497,G$1,'Region 8'!$X$2:$X$497,$D373,'Region 8'!$S$2:$S$497,$A373)</f>
        <v>#DIV/0!</v>
      </c>
      <c r="H373" t="e">
        <f>AVERAGEIFS('Region 8'!$W$2:$W$497,'Region 8'!$A$2:$A$497,H$1,'Region 8'!$X$2:$X$497,$D373,'Region 8'!$S$2:$S$497,$A373)</f>
        <v>#DIV/0!</v>
      </c>
      <c r="I373" t="e">
        <f>AVERAGEIFS('Region 8'!$W$2:$W$497,'Region 8'!$A$2:$A$497,I$1,'Region 8'!$X$2:$X$497,$D373,'Region 8'!$S$2:$S$497,$A373)</f>
        <v>#DIV/0!</v>
      </c>
      <c r="J373" t="e">
        <f>AVERAGEIFS('Region 8'!$W$2:$W$497,'Region 8'!$A$2:$A$497,J$1,'Region 8'!$X$2:$X$497,$D373,'Region 8'!$S$2:$S$497,$A373)</f>
        <v>#DIV/0!</v>
      </c>
      <c r="K373" t="e">
        <f>AVERAGEIFS('Region 8'!$W$2:$W$497,'Region 8'!$A$2:$A$497,K$1,'Region 8'!$X$2:$X$497,$D373,'Region 8'!$S$2:$S$497,$A373)</f>
        <v>#DIV/0!</v>
      </c>
      <c r="L373" t="e">
        <f>AVERAGEIFS('Region 8'!$W$2:$W$497,'Region 8'!$A$2:$A$497,L$1,'Region 8'!$X$2:$X$497,$D373,'Region 8'!$S$2:$S$497,$A373)</f>
        <v>#DIV/0!</v>
      </c>
      <c r="M373" t="e">
        <f>AVERAGEIFS('Region 8'!$W$2:$W$497,'Region 8'!$A$2:$A$497,M$1,'Region 8'!$X$2:$X$497,$D373,'Region 8'!$S$2:$S$497,$A373)</f>
        <v>#DIV/0!</v>
      </c>
      <c r="N373" t="e">
        <f>AVERAGEIFS('Region 8'!$W$2:$W$497,'Region 8'!$A$2:$A$497,N$1,'Region 8'!$X$2:$X$497,$D373,'Region 8'!$S$2:$S$497,$A373)</f>
        <v>#DIV/0!</v>
      </c>
      <c r="Q373" t="str">
        <f t="shared" si="305"/>
        <v>Copper</v>
      </c>
      <c r="R373" t="str">
        <f t="shared" si="306"/>
        <v>Appartments</v>
      </c>
      <c r="S373">
        <f t="shared" si="307"/>
        <v>8</v>
      </c>
      <c r="T373" t="str">
        <f t="shared" si="287"/>
        <v>-</v>
      </c>
      <c r="U373" t="str">
        <f t="shared" si="288"/>
        <v>-</v>
      </c>
      <c r="V373" t="str">
        <f t="shared" si="289"/>
        <v>-</v>
      </c>
      <c r="W373" t="str">
        <f t="shared" si="290"/>
        <v>-</v>
      </c>
      <c r="X373" t="str">
        <f t="shared" si="291"/>
        <v>-</v>
      </c>
      <c r="Y373" t="str">
        <f t="shared" si="292"/>
        <v>-</v>
      </c>
      <c r="Z373" t="str">
        <f t="shared" si="293"/>
        <v>-</v>
      </c>
      <c r="AA373" t="str">
        <f t="shared" si="294"/>
        <v>-</v>
      </c>
      <c r="AB373" t="str">
        <f t="shared" si="295"/>
        <v>-</v>
      </c>
      <c r="AC373" t="str">
        <f t="shared" si="296"/>
        <v>-</v>
      </c>
    </row>
    <row r="374" spans="1:29" x14ac:dyDescent="0.3">
      <c r="A374" t="s">
        <v>414</v>
      </c>
      <c r="B374" t="str">
        <f t="shared" si="277"/>
        <v>Appartments</v>
      </c>
      <c r="C374">
        <f t="shared" ref="C374:D374" si="350">C166</f>
        <v>9</v>
      </c>
      <c r="D374">
        <f t="shared" si="350"/>
        <v>3</v>
      </c>
      <c r="E374" t="e">
        <f ca="1">AVERAGEIFS('Region 9'!$W$2:$W$500,'Region 9'!$A$2:$A$500,E$1,'Region 9'!$X$2:$X$500,$D374,'Region 9'!$S$2:$S$500,$A374)</f>
        <v>#DIV/0!</v>
      </c>
      <c r="F374" t="e">
        <f ca="1">AVERAGEIFS('Region 9'!$W$2:$W$500,'Region 9'!$A$2:$A$500,F$1,'Region 9'!$X$2:$X$500,$D374,'Region 9'!$S$2:$S$500,$A374)</f>
        <v>#DIV/0!</v>
      </c>
      <c r="G374" t="e">
        <f ca="1">AVERAGEIFS('Region 9'!$W$2:$W$500,'Region 9'!$A$2:$A$500,G$1,'Region 9'!$X$2:$X$500,$D374,'Region 9'!$S$2:$S$500,$A374)</f>
        <v>#DIV/0!</v>
      </c>
      <c r="H374" t="e">
        <f ca="1">AVERAGEIFS('Region 9'!$W$2:$W$500,'Region 9'!$A$2:$A$500,H$1,'Region 9'!$X$2:$X$500,$D374,'Region 9'!$S$2:$S$500,$A374)</f>
        <v>#DIV/0!</v>
      </c>
      <c r="I374" t="e">
        <f ca="1">AVERAGEIFS('Region 9'!$W$2:$W$500,'Region 9'!$A$2:$A$500,I$1,'Region 9'!$X$2:$X$500,$D374,'Region 9'!$S$2:$S$500,$A374)</f>
        <v>#DIV/0!</v>
      </c>
      <c r="J374" t="e">
        <f ca="1">AVERAGEIFS('Region 9'!$W$2:$W$500,'Region 9'!$A$2:$A$500,J$1,'Region 9'!$X$2:$X$500,$D374,'Region 9'!$S$2:$S$500,$A374)</f>
        <v>#DIV/0!</v>
      </c>
      <c r="K374" t="e">
        <f ca="1">AVERAGEIFS('Region 9'!$W$2:$W$500,'Region 9'!$A$2:$A$500,K$1,'Region 9'!$X$2:$X$500,$D374,'Region 9'!$S$2:$S$500,$A374)</f>
        <v>#DIV/0!</v>
      </c>
      <c r="L374" t="e">
        <f ca="1">AVERAGEIFS('Region 9'!$W$2:$W$500,'Region 9'!$A$2:$A$500,L$1,'Region 9'!$X$2:$X$500,$D374,'Region 9'!$S$2:$S$500,$A374)</f>
        <v>#DIV/0!</v>
      </c>
      <c r="M374" t="e">
        <f ca="1">AVERAGEIFS('Region 9'!$W$2:$W$500,'Region 9'!$A$2:$A$500,M$1,'Region 9'!$X$2:$X$500,$D374,'Region 9'!$S$2:$S$500,$A374)</f>
        <v>#DIV/0!</v>
      </c>
      <c r="N374" t="e">
        <f ca="1">AVERAGEIFS('Region 9'!$W$2:$W$500,'Region 9'!$A$2:$A$500,N$1,'Region 9'!$X$2:$X$500,$D374,'Region 9'!$S$2:$S$500,$A374)</f>
        <v>#DIV/0!</v>
      </c>
      <c r="Q374" t="str">
        <f t="shared" si="305"/>
        <v>Copper</v>
      </c>
      <c r="R374" t="str">
        <f t="shared" si="306"/>
        <v>Appartments</v>
      </c>
      <c r="S374">
        <f t="shared" si="307"/>
        <v>9</v>
      </c>
      <c r="T374" t="str">
        <f t="shared" ca="1" si="287"/>
        <v>-</v>
      </c>
      <c r="U374" t="str">
        <f t="shared" ca="1" si="288"/>
        <v>-</v>
      </c>
      <c r="V374" t="str">
        <f t="shared" ca="1" si="289"/>
        <v>-</v>
      </c>
      <c r="W374" t="str">
        <f t="shared" ca="1" si="290"/>
        <v>-</v>
      </c>
      <c r="X374" t="str">
        <f t="shared" ca="1" si="291"/>
        <v>-</v>
      </c>
      <c r="Y374" t="str">
        <f t="shared" ca="1" si="292"/>
        <v>-</v>
      </c>
      <c r="Z374" t="str">
        <f t="shared" ca="1" si="293"/>
        <v>-</v>
      </c>
      <c r="AA374" t="str">
        <f t="shared" ca="1" si="294"/>
        <v>-</v>
      </c>
      <c r="AB374" t="str">
        <f t="shared" ca="1" si="295"/>
        <v>-</v>
      </c>
      <c r="AC374" t="str">
        <f t="shared" ca="1" si="296"/>
        <v>-</v>
      </c>
    </row>
    <row r="375" spans="1:29" x14ac:dyDescent="0.3">
      <c r="A375" t="s">
        <v>414</v>
      </c>
      <c r="B375" t="str">
        <f t="shared" si="277"/>
        <v>Appartments</v>
      </c>
      <c r="C375">
        <f t="shared" ref="C375:D375" si="351">C167</f>
        <v>10</v>
      </c>
      <c r="D375">
        <f t="shared" si="351"/>
        <v>3</v>
      </c>
      <c r="E375">
        <f>AVERAGEIFS('Region 10'!$W$2:$W$500,'Region 10'!$A$2:$A$500,E$1,'Region 10'!$X$2:$X$500,$D375,'Region 10'!$S$2:$S$500,$A375)</f>
        <v>0.3902439024390244</v>
      </c>
      <c r="F375" t="e">
        <f>AVERAGEIFS('Region 10'!$W$2:$W$500,'Region 10'!$A$2:$A$500,F$1,'Region 10'!$X$2:$X$500,$D375,'Region 10'!$S$2:$S$500,$A375)</f>
        <v>#DIV/0!</v>
      </c>
      <c r="G375" t="e">
        <f>AVERAGEIFS('Region 10'!$W$2:$W$500,'Region 10'!$A$2:$A$500,G$1,'Region 10'!$X$2:$X$500,$D375,'Region 10'!$S$2:$S$500,$A375)</f>
        <v>#DIV/0!</v>
      </c>
      <c r="H375" t="e">
        <f>AVERAGEIFS('Region 10'!$W$2:$W$500,'Region 10'!$A$2:$A$500,H$1,'Region 10'!$X$2:$X$500,$D375,'Region 10'!$S$2:$S$500,$A375)</f>
        <v>#DIV/0!</v>
      </c>
      <c r="I375" t="e">
        <f>AVERAGEIFS('Region 10'!$W$2:$W$500,'Region 10'!$A$2:$A$500,I$1,'Region 10'!$X$2:$X$500,$D375,'Region 10'!$S$2:$S$500,$A375)</f>
        <v>#DIV/0!</v>
      </c>
      <c r="J375" t="e">
        <f>AVERAGEIFS('Region 10'!$W$2:$W$500,'Region 10'!$A$2:$A$500,J$1,'Region 10'!$X$2:$X$500,$D375,'Region 10'!$S$2:$S$500,$A375)</f>
        <v>#DIV/0!</v>
      </c>
      <c r="K375" t="e">
        <f>AVERAGEIFS('Region 10'!$W$2:$W$500,'Region 10'!$A$2:$A$500,K$1,'Region 10'!$X$2:$X$500,$D375,'Region 10'!$S$2:$S$500,$A375)</f>
        <v>#DIV/0!</v>
      </c>
      <c r="L375" t="e">
        <f>AVERAGEIFS('Region 10'!$W$2:$W$500,'Region 10'!$A$2:$A$500,L$1,'Region 10'!$X$2:$X$500,$D375,'Region 10'!$S$2:$S$500,$A375)</f>
        <v>#DIV/0!</v>
      </c>
      <c r="M375" t="e">
        <f>AVERAGEIFS('Region 10'!$W$2:$W$500,'Region 10'!$A$2:$A$500,M$1,'Region 10'!$X$2:$X$500,$D375,'Region 10'!$S$2:$S$500,$A375)</f>
        <v>#DIV/0!</v>
      </c>
      <c r="N375" t="e">
        <f>AVERAGEIFS('Region 10'!$W$2:$W$500,'Region 10'!$A$2:$A$500,N$1,'Region 10'!$X$2:$X$500,$D375,'Region 10'!$S$2:$S$500,$A375)</f>
        <v>#DIV/0!</v>
      </c>
      <c r="Q375" t="str">
        <f t="shared" si="305"/>
        <v>Copper</v>
      </c>
      <c r="R375" t="str">
        <f t="shared" si="306"/>
        <v>Appartments</v>
      </c>
      <c r="S375">
        <f t="shared" si="307"/>
        <v>10</v>
      </c>
      <c r="T375">
        <f t="shared" si="287"/>
        <v>0.3902439024390244</v>
      </c>
      <c r="U375" t="str">
        <f t="shared" si="288"/>
        <v>-</v>
      </c>
      <c r="V375" t="str">
        <f t="shared" si="289"/>
        <v>-</v>
      </c>
      <c r="W375" t="str">
        <f t="shared" si="290"/>
        <v>-</v>
      </c>
      <c r="X375" t="str">
        <f t="shared" si="291"/>
        <v>-</v>
      </c>
      <c r="Y375" t="str">
        <f t="shared" si="292"/>
        <v>-</v>
      </c>
      <c r="Z375" t="str">
        <f t="shared" si="293"/>
        <v>-</v>
      </c>
      <c r="AA375" t="str">
        <f t="shared" si="294"/>
        <v>-</v>
      </c>
      <c r="AB375" t="str">
        <f t="shared" si="295"/>
        <v>-</v>
      </c>
      <c r="AC375" t="str">
        <f t="shared" si="296"/>
        <v>-</v>
      </c>
    </row>
    <row r="376" spans="1:29" x14ac:dyDescent="0.3">
      <c r="A376" t="s">
        <v>414</v>
      </c>
      <c r="B376" t="str">
        <f t="shared" si="277"/>
        <v>Appartments</v>
      </c>
      <c r="C376">
        <f t="shared" ref="C376:D376" si="352">C168</f>
        <v>11</v>
      </c>
      <c r="D376">
        <f t="shared" si="352"/>
        <v>3</v>
      </c>
      <c r="E376" t="e">
        <f>AVERAGEIFS('Region 11'!$W$2:$W$391,'Region 11'!$A$2:$A$391,E$1,'Region 11'!$X$2:$X$391,$D376,'Region 11'!$S$2:$S$391,$A376)</f>
        <v>#DIV/0!</v>
      </c>
      <c r="F376" t="e">
        <f>AVERAGEIFS('Region 11'!$W$2:$W$391,'Region 11'!$A$2:$A$391,F$1,'Region 11'!$X$2:$X$391,$D376,'Region 11'!$S$2:$S$391,$A376)</f>
        <v>#DIV/0!</v>
      </c>
      <c r="G376" t="e">
        <f>AVERAGEIFS('Region 11'!$W$2:$W$391,'Region 11'!$A$2:$A$391,G$1,'Region 11'!$X$2:$X$391,$D376,'Region 11'!$S$2:$S$391,$A376)</f>
        <v>#DIV/0!</v>
      </c>
      <c r="H376" t="e">
        <f>AVERAGEIFS('Region 11'!$W$2:$W$391,'Region 11'!$A$2:$A$391,H$1,'Region 11'!$X$2:$X$391,$D376,'Region 11'!$S$2:$S$391,$A376)</f>
        <v>#DIV/0!</v>
      </c>
      <c r="I376" t="e">
        <f>AVERAGEIFS('Region 11'!$W$2:$W$391,'Region 11'!$A$2:$A$391,I$1,'Region 11'!$X$2:$X$391,$D376,'Region 11'!$S$2:$S$391,$A376)</f>
        <v>#DIV/0!</v>
      </c>
      <c r="J376" t="e">
        <f>AVERAGEIFS('Region 11'!$W$2:$W$391,'Region 11'!$A$2:$A$391,J$1,'Region 11'!$X$2:$X$391,$D376,'Region 11'!$S$2:$S$391,$A376)</f>
        <v>#DIV/0!</v>
      </c>
      <c r="K376" t="e">
        <f>AVERAGEIFS('Region 11'!$W$2:$W$391,'Region 11'!$A$2:$A$391,K$1,'Region 11'!$X$2:$X$391,$D376,'Region 11'!$S$2:$S$391,$A376)</f>
        <v>#DIV/0!</v>
      </c>
      <c r="L376" t="e">
        <f>AVERAGEIFS('Region 11'!$W$2:$W$391,'Region 11'!$A$2:$A$391,L$1,'Region 11'!$X$2:$X$391,$D376,'Region 11'!$S$2:$S$391,$A376)</f>
        <v>#DIV/0!</v>
      </c>
      <c r="M376">
        <f>AVERAGEIFS('Region 11'!$W$2:$W$391,'Region 11'!$A$2:$A$391,M$1,'Region 11'!$X$2:$X$391,$D376,'Region 11'!$S$2:$S$391,$A376)</f>
        <v>0.14597262238461539</v>
      </c>
      <c r="N376" t="e">
        <f>AVERAGEIFS('Region 11'!$W$2:$W$391,'Region 11'!$A$2:$A$391,N$1,'Region 11'!$X$2:$X$391,$D376,'Region 11'!$S$2:$S$391,$A376)</f>
        <v>#DIV/0!</v>
      </c>
      <c r="Q376" t="str">
        <f t="shared" si="305"/>
        <v>Copper</v>
      </c>
      <c r="R376" t="str">
        <f t="shared" si="306"/>
        <v>Appartments</v>
      </c>
      <c r="S376">
        <f t="shared" si="307"/>
        <v>11</v>
      </c>
      <c r="T376" t="str">
        <f t="shared" si="287"/>
        <v>-</v>
      </c>
      <c r="U376" t="str">
        <f t="shared" si="288"/>
        <v>-</v>
      </c>
      <c r="V376" t="str">
        <f t="shared" si="289"/>
        <v>-</v>
      </c>
      <c r="W376" t="str">
        <f t="shared" si="290"/>
        <v>-</v>
      </c>
      <c r="X376" t="str">
        <f t="shared" si="291"/>
        <v>-</v>
      </c>
      <c r="Y376" t="str">
        <f t="shared" si="292"/>
        <v>-</v>
      </c>
      <c r="Z376" t="str">
        <f t="shared" si="293"/>
        <v>-</v>
      </c>
      <c r="AA376" t="str">
        <f t="shared" si="294"/>
        <v>-</v>
      </c>
      <c r="AB376">
        <f t="shared" si="295"/>
        <v>0.14597262238461539</v>
      </c>
      <c r="AC376" t="str">
        <f t="shared" si="296"/>
        <v>-</v>
      </c>
    </row>
    <row r="377" spans="1:29" x14ac:dyDescent="0.3">
      <c r="A377" t="s">
        <v>414</v>
      </c>
      <c r="B377" t="str">
        <f t="shared" si="277"/>
        <v>Appartments</v>
      </c>
      <c r="C377">
        <f t="shared" ref="C377:D377" si="353">C169</f>
        <v>12</v>
      </c>
      <c r="D377">
        <f t="shared" si="353"/>
        <v>3</v>
      </c>
      <c r="E377" t="e">
        <f>AVERAGEIFS('Region 12'!$W$2:$W$459,'Region 12'!$A$2:$A$459,E$1,'Region 12'!$X$2:$X$459,$D377,'Region 12'!$S$2:$S$459,$A377)</f>
        <v>#DIV/0!</v>
      </c>
      <c r="F377" t="e">
        <f>AVERAGEIFS('Region 12'!$W$2:$W$459,'Region 12'!$A$2:$A$459,F$1,'Region 12'!$X$2:$X$459,$D377,'Region 12'!$S$2:$S$459,$A377)</f>
        <v>#DIV/0!</v>
      </c>
      <c r="G377" t="e">
        <f>AVERAGEIFS('Region 12'!$W$2:$W$459,'Region 12'!$A$2:$A$459,G$1,'Region 12'!$X$2:$X$459,$D377,'Region 12'!$S$2:$S$459,$A377)</f>
        <v>#DIV/0!</v>
      </c>
      <c r="H377" t="e">
        <f>AVERAGEIFS('Region 12'!$W$2:$W$459,'Region 12'!$A$2:$A$459,H$1,'Region 12'!$X$2:$X$459,$D377,'Region 12'!$S$2:$S$459,$A377)</f>
        <v>#DIV/0!</v>
      </c>
      <c r="I377" t="e">
        <f>AVERAGEIFS('Region 12'!$W$2:$W$459,'Region 12'!$A$2:$A$459,I$1,'Region 12'!$X$2:$X$459,$D377,'Region 12'!$S$2:$S$459,$A377)</f>
        <v>#DIV/0!</v>
      </c>
      <c r="J377" t="e">
        <f>AVERAGEIFS('Region 12'!$W$2:$W$459,'Region 12'!$A$2:$A$459,J$1,'Region 12'!$X$2:$X$459,$D377,'Region 12'!$S$2:$S$459,$A377)</f>
        <v>#DIV/0!</v>
      </c>
      <c r="K377" t="e">
        <f>AVERAGEIFS('Region 12'!$W$2:$W$459,'Region 12'!$A$2:$A$459,K$1,'Region 12'!$X$2:$X$459,$D377,'Region 12'!$S$2:$S$459,$A377)</f>
        <v>#DIV/0!</v>
      </c>
      <c r="L377" t="e">
        <f>AVERAGEIFS('Region 12'!$W$2:$W$459,'Region 12'!$A$2:$A$459,L$1,'Region 12'!$X$2:$X$459,$D377,'Region 12'!$S$2:$S$459,$A377)</f>
        <v>#DIV/0!</v>
      </c>
      <c r="M377" t="e">
        <f>AVERAGEIFS('Region 12'!$W$2:$W$459,'Region 12'!$A$2:$A$459,M$1,'Region 12'!$X$2:$X$459,$D377,'Region 12'!$S$2:$S$459,$A377)</f>
        <v>#DIV/0!</v>
      </c>
      <c r="N377" t="e">
        <f>AVERAGEIFS('Region 12'!$W$2:$W$459,'Region 12'!$A$2:$A$459,N$1,'Region 12'!$X$2:$X$459,$D377,'Region 12'!$S$2:$S$459,$A377)</f>
        <v>#DIV/0!</v>
      </c>
      <c r="Q377" t="str">
        <f t="shared" si="305"/>
        <v>Copper</v>
      </c>
      <c r="R377" t="str">
        <f t="shared" si="306"/>
        <v>Appartments</v>
      </c>
      <c r="S377">
        <f t="shared" si="307"/>
        <v>12</v>
      </c>
      <c r="T377" t="str">
        <f t="shared" si="287"/>
        <v>-</v>
      </c>
      <c r="U377" t="str">
        <f t="shared" si="288"/>
        <v>-</v>
      </c>
      <c r="V377" t="str">
        <f t="shared" si="289"/>
        <v>-</v>
      </c>
      <c r="W377" t="str">
        <f t="shared" si="290"/>
        <v>-</v>
      </c>
      <c r="X377" t="str">
        <f t="shared" si="291"/>
        <v>-</v>
      </c>
      <c r="Y377" t="str">
        <f t="shared" si="292"/>
        <v>-</v>
      </c>
      <c r="Z377" t="str">
        <f t="shared" si="293"/>
        <v>-</v>
      </c>
      <c r="AA377" t="str">
        <f t="shared" si="294"/>
        <v>-</v>
      </c>
      <c r="AB377" t="str">
        <f t="shared" si="295"/>
        <v>-</v>
      </c>
      <c r="AC377" t="str">
        <f t="shared" si="296"/>
        <v>-</v>
      </c>
    </row>
    <row r="378" spans="1:29" x14ac:dyDescent="0.3">
      <c r="A378" t="s">
        <v>414</v>
      </c>
      <c r="B378" t="str">
        <f t="shared" si="277"/>
        <v>Appartments</v>
      </c>
      <c r="C378">
        <f t="shared" ref="C378:D378" si="354">C170</f>
        <v>13</v>
      </c>
      <c r="D378">
        <f t="shared" si="354"/>
        <v>3</v>
      </c>
      <c r="E378" t="e">
        <f>AVERAGEIFS('Region 13'!$W$2:$W$500,'Region 13'!$A$2:$A$500,E$1,'Region 13'!$X$2:$X$500,$D378,'Region 13'!$S$2:$S$500,$A378)</f>
        <v>#DIV/0!</v>
      </c>
      <c r="F378" t="e">
        <f>AVERAGEIFS('Region 13'!$W$2:$W$500,'Region 13'!$A$2:$A$500,F$1,'Region 13'!$X$2:$X$500,$D378,'Region 13'!$S$2:$S$500,$A378)</f>
        <v>#DIV/0!</v>
      </c>
      <c r="G378" t="e">
        <f>AVERAGEIFS('Region 13'!$W$2:$W$500,'Region 13'!$A$2:$A$500,G$1,'Region 13'!$X$2:$X$500,$D378,'Region 13'!$S$2:$S$500,$A378)</f>
        <v>#DIV/0!</v>
      </c>
      <c r="H378" t="e">
        <f>AVERAGEIFS('Region 13'!$W$2:$W$500,'Region 13'!$A$2:$A$500,H$1,'Region 13'!$X$2:$X$500,$D378,'Region 13'!$S$2:$S$500,$A378)</f>
        <v>#DIV/0!</v>
      </c>
      <c r="I378" t="e">
        <f>AVERAGEIFS('Region 13'!$W$2:$W$500,'Region 13'!$A$2:$A$500,I$1,'Region 13'!$X$2:$X$500,$D378,'Region 13'!$S$2:$S$500,$A378)</f>
        <v>#DIV/0!</v>
      </c>
      <c r="J378" t="e">
        <f>AVERAGEIFS('Region 13'!$W$2:$W$500,'Region 13'!$A$2:$A$500,J$1,'Region 13'!$X$2:$X$500,$D378,'Region 13'!$S$2:$S$500,$A378)</f>
        <v>#DIV/0!</v>
      </c>
      <c r="K378" t="e">
        <f>AVERAGEIFS('Region 13'!$W$2:$W$500,'Region 13'!$A$2:$A$500,K$1,'Region 13'!$X$2:$X$500,$D378,'Region 13'!$S$2:$S$500,$A378)</f>
        <v>#DIV/0!</v>
      </c>
      <c r="L378" t="e">
        <f>AVERAGEIFS('Region 13'!$W$2:$W$500,'Region 13'!$A$2:$A$500,L$1,'Region 13'!$X$2:$X$500,$D378,'Region 13'!$S$2:$S$500,$A378)</f>
        <v>#DIV/0!</v>
      </c>
      <c r="M378" t="e">
        <f>AVERAGEIFS('Region 13'!$W$2:$W$500,'Region 13'!$A$2:$A$500,M$1,'Region 13'!$X$2:$X$500,$D378,'Region 13'!$S$2:$S$500,$A378)</f>
        <v>#DIV/0!</v>
      </c>
      <c r="N378" t="e">
        <f>AVERAGEIFS('Region 13'!$W$2:$W$500,'Region 13'!$A$2:$A$500,N$1,'Region 13'!$X$2:$X$500,$D378,'Region 13'!$S$2:$S$500,$A378)</f>
        <v>#DIV/0!</v>
      </c>
      <c r="Q378" t="str">
        <f t="shared" si="305"/>
        <v>Copper</v>
      </c>
      <c r="R378" t="str">
        <f t="shared" si="306"/>
        <v>Appartments</v>
      </c>
      <c r="S378">
        <f t="shared" si="307"/>
        <v>13</v>
      </c>
      <c r="T378" t="str">
        <f t="shared" si="287"/>
        <v>-</v>
      </c>
      <c r="U378" t="str">
        <f t="shared" si="288"/>
        <v>-</v>
      </c>
      <c r="V378" t="str">
        <f t="shared" si="289"/>
        <v>-</v>
      </c>
      <c r="W378" t="str">
        <f t="shared" si="290"/>
        <v>-</v>
      </c>
      <c r="X378" t="str">
        <f t="shared" si="291"/>
        <v>-</v>
      </c>
      <c r="Y378" t="str">
        <f t="shared" si="292"/>
        <v>-</v>
      </c>
      <c r="Z378" t="str">
        <f t="shared" si="293"/>
        <v>-</v>
      </c>
      <c r="AA378" t="str">
        <f t="shared" si="294"/>
        <v>-</v>
      </c>
      <c r="AB378" t="str">
        <f t="shared" si="295"/>
        <v>-</v>
      </c>
      <c r="AC378" t="str">
        <f t="shared" si="296"/>
        <v>-</v>
      </c>
    </row>
    <row r="379" spans="1:29" x14ac:dyDescent="0.3">
      <c r="A379" t="s">
        <v>414</v>
      </c>
      <c r="B379" t="str">
        <f t="shared" ref="B379:B405" si="355">B275</f>
        <v>Appartments</v>
      </c>
      <c r="C379">
        <f t="shared" ref="C379:D379" si="356">C171</f>
        <v>14</v>
      </c>
      <c r="D379">
        <f t="shared" si="356"/>
        <v>3</v>
      </c>
      <c r="E379" t="e">
        <f ca="1">AVERAGEIFS('Region 14'!$W$2:$W$500,'Region 14'!$A$2:$A$500,E$1,'Region 14'!$X$2:$X$500,$D379,'Region 14'!$S$2:$S$500,$A379)</f>
        <v>#DIV/0!</v>
      </c>
      <c r="F379" t="e">
        <f ca="1">AVERAGEIFS('Region 14'!$W$2:$W$500,'Region 14'!$A$2:$A$500,F$1,'Region 14'!$X$2:$X$500,$D379,'Region 14'!$S$2:$S$500,$A379)</f>
        <v>#DIV/0!</v>
      </c>
      <c r="G379" t="e">
        <f ca="1">AVERAGEIFS('Region 14'!$W$2:$W$500,'Region 14'!$A$2:$A$500,G$1,'Region 14'!$X$2:$X$500,$D379,'Region 14'!$S$2:$S$500,$A379)</f>
        <v>#DIV/0!</v>
      </c>
      <c r="H379" t="e">
        <f ca="1">AVERAGEIFS('Region 14'!$W$2:$W$500,'Region 14'!$A$2:$A$500,H$1,'Region 14'!$X$2:$X$500,$D379,'Region 14'!$S$2:$S$500,$A379)</f>
        <v>#DIV/0!</v>
      </c>
      <c r="I379" t="e">
        <f ca="1">AVERAGEIFS('Region 14'!$W$2:$W$500,'Region 14'!$A$2:$A$500,I$1,'Region 14'!$X$2:$X$500,$D379,'Region 14'!$S$2:$S$500,$A379)</f>
        <v>#DIV/0!</v>
      </c>
      <c r="J379" t="e">
        <f ca="1">AVERAGEIFS('Region 14'!$W$2:$W$500,'Region 14'!$A$2:$A$500,J$1,'Region 14'!$X$2:$X$500,$D379,'Region 14'!$S$2:$S$500,$A379)</f>
        <v>#DIV/0!</v>
      </c>
      <c r="K379" t="e">
        <f ca="1">AVERAGEIFS('Region 14'!$W$2:$W$500,'Region 14'!$A$2:$A$500,K$1,'Region 14'!$X$2:$X$500,$D379,'Region 14'!$S$2:$S$500,$A379)</f>
        <v>#DIV/0!</v>
      </c>
      <c r="L379" t="e">
        <f ca="1">AVERAGEIFS('Region 14'!$W$2:$W$500,'Region 14'!$A$2:$A$500,L$1,'Region 14'!$X$2:$X$500,$D379,'Region 14'!$S$2:$S$500,$A379)</f>
        <v>#DIV/0!</v>
      </c>
      <c r="M379" t="e">
        <f ca="1">AVERAGEIFS('Region 14'!$W$2:$W$500,'Region 14'!$A$2:$A$500,M$1,'Region 14'!$X$2:$X$500,$D379,'Region 14'!$S$2:$S$500,$A379)</f>
        <v>#DIV/0!</v>
      </c>
      <c r="N379" t="e">
        <f ca="1">AVERAGEIFS('Region 14'!$W$2:$W$500,'Region 14'!$A$2:$A$500,N$1,'Region 14'!$X$2:$X$500,$D379,'Region 14'!$S$2:$S$500,$A379)</f>
        <v>#DIV/0!</v>
      </c>
      <c r="Q379" t="str">
        <f t="shared" si="305"/>
        <v>Copper</v>
      </c>
      <c r="R379" t="str">
        <f t="shared" si="306"/>
        <v>Appartments</v>
      </c>
      <c r="S379">
        <f t="shared" si="307"/>
        <v>14</v>
      </c>
      <c r="T379" t="str">
        <f t="shared" ca="1" si="287"/>
        <v>-</v>
      </c>
      <c r="U379" t="str">
        <f t="shared" ca="1" si="288"/>
        <v>-</v>
      </c>
      <c r="V379" t="str">
        <f t="shared" ca="1" si="289"/>
        <v>-</v>
      </c>
      <c r="W379" t="str">
        <f t="shared" ca="1" si="290"/>
        <v>-</v>
      </c>
      <c r="X379" t="str">
        <f t="shared" ca="1" si="291"/>
        <v>-</v>
      </c>
      <c r="Y379" t="str">
        <f t="shared" ca="1" si="292"/>
        <v>-</v>
      </c>
      <c r="Z379" t="str">
        <f t="shared" ca="1" si="293"/>
        <v>-</v>
      </c>
      <c r="AA379" t="str">
        <f t="shared" ca="1" si="294"/>
        <v>-</v>
      </c>
      <c r="AB379" t="str">
        <f t="shared" ca="1" si="295"/>
        <v>-</v>
      </c>
      <c r="AC379" t="str">
        <f t="shared" ca="1" si="296"/>
        <v>-</v>
      </c>
    </row>
    <row r="380" spans="1:29" x14ac:dyDescent="0.3">
      <c r="A380" t="s">
        <v>414</v>
      </c>
      <c r="B380" t="str">
        <f t="shared" si="355"/>
        <v>Appartments</v>
      </c>
      <c r="C380">
        <f t="shared" ref="C380:D380" si="357">C172</f>
        <v>15</v>
      </c>
      <c r="D380">
        <f t="shared" si="357"/>
        <v>3</v>
      </c>
      <c r="E380" t="e">
        <f ca="1">AVERAGEIFS('Region 15'!$W$2:$W$500,'Region 15'!$A$2:$A$500,E$1,'Region 15'!$X$2:$X$500,$D380,'Region 15'!$S$2:$S$500,$A380)</f>
        <v>#DIV/0!</v>
      </c>
      <c r="F380" t="e">
        <f ca="1">AVERAGEIFS('Region 15'!$W$2:$W$500,'Region 15'!$A$2:$A$500,F$1,'Region 15'!$X$2:$X$500,$D380,'Region 15'!$S$2:$S$500,$A380)</f>
        <v>#DIV/0!</v>
      </c>
      <c r="G380" t="e">
        <f ca="1">AVERAGEIFS('Region 15'!$W$2:$W$500,'Region 15'!$A$2:$A$500,G$1,'Region 15'!$X$2:$X$500,$D380,'Region 15'!$S$2:$S$500,$A380)</f>
        <v>#DIV/0!</v>
      </c>
      <c r="H380" t="e">
        <f ca="1">AVERAGEIFS('Region 15'!$W$2:$W$500,'Region 15'!$A$2:$A$500,H$1,'Region 15'!$X$2:$X$500,$D380,'Region 15'!$S$2:$S$500,$A380)</f>
        <v>#DIV/0!</v>
      </c>
      <c r="I380" t="e">
        <f ca="1">AVERAGEIFS('Region 15'!$W$2:$W$500,'Region 15'!$A$2:$A$500,I$1,'Region 15'!$X$2:$X$500,$D380,'Region 15'!$S$2:$S$500,$A380)</f>
        <v>#DIV/0!</v>
      </c>
      <c r="J380" t="e">
        <f ca="1">AVERAGEIFS('Region 15'!$W$2:$W$500,'Region 15'!$A$2:$A$500,J$1,'Region 15'!$X$2:$X$500,$D380,'Region 15'!$S$2:$S$500,$A380)</f>
        <v>#DIV/0!</v>
      </c>
      <c r="K380" t="e">
        <f ca="1">AVERAGEIFS('Region 15'!$W$2:$W$500,'Region 15'!$A$2:$A$500,K$1,'Region 15'!$X$2:$X$500,$D380,'Region 15'!$S$2:$S$500,$A380)</f>
        <v>#DIV/0!</v>
      </c>
      <c r="L380" t="e">
        <f ca="1">AVERAGEIFS('Region 15'!$W$2:$W$500,'Region 15'!$A$2:$A$500,L$1,'Region 15'!$X$2:$X$500,$D380,'Region 15'!$S$2:$S$500,$A380)</f>
        <v>#DIV/0!</v>
      </c>
      <c r="M380" t="e">
        <f ca="1">AVERAGEIFS('Region 15'!$W$2:$W$500,'Region 15'!$A$2:$A$500,M$1,'Region 15'!$X$2:$X$500,$D380,'Region 15'!$S$2:$S$500,$A380)</f>
        <v>#DIV/0!</v>
      </c>
      <c r="N380" t="e">
        <f ca="1">AVERAGEIFS('Region 15'!$W$2:$W$500,'Region 15'!$A$2:$A$500,N$1,'Region 15'!$X$2:$X$500,$D380,'Region 15'!$S$2:$S$500,$A380)</f>
        <v>#DIV/0!</v>
      </c>
      <c r="Q380" t="str">
        <f t="shared" si="305"/>
        <v>Copper</v>
      </c>
      <c r="R380" t="str">
        <f t="shared" si="306"/>
        <v>Appartments</v>
      </c>
      <c r="S380">
        <f t="shared" si="307"/>
        <v>15</v>
      </c>
      <c r="T380" t="str">
        <f t="shared" ca="1" si="287"/>
        <v>-</v>
      </c>
      <c r="U380" t="str">
        <f t="shared" ca="1" si="288"/>
        <v>-</v>
      </c>
      <c r="V380" t="str">
        <f t="shared" ca="1" si="289"/>
        <v>-</v>
      </c>
      <c r="W380" t="str">
        <f t="shared" ca="1" si="290"/>
        <v>-</v>
      </c>
      <c r="X380" t="str">
        <f t="shared" ca="1" si="291"/>
        <v>-</v>
      </c>
      <c r="Y380" t="str">
        <f t="shared" ca="1" si="292"/>
        <v>-</v>
      </c>
      <c r="Z380" t="str">
        <f t="shared" ca="1" si="293"/>
        <v>-</v>
      </c>
      <c r="AA380" t="str">
        <f t="shared" ca="1" si="294"/>
        <v>-</v>
      </c>
      <c r="AB380" t="str">
        <f t="shared" ca="1" si="295"/>
        <v>-</v>
      </c>
      <c r="AC380" t="str">
        <f t="shared" ca="1" si="296"/>
        <v>-</v>
      </c>
    </row>
    <row r="381" spans="1:29" x14ac:dyDescent="0.3">
      <c r="A381" t="s">
        <v>414</v>
      </c>
      <c r="B381" t="str">
        <f t="shared" si="355"/>
        <v>Appartments</v>
      </c>
      <c r="C381">
        <f t="shared" ref="C381:D381" si="358">C173</f>
        <v>16</v>
      </c>
      <c r="D381">
        <f t="shared" si="358"/>
        <v>3</v>
      </c>
      <c r="E381" t="e">
        <f ca="1">AVERAGEIFS('Region 16'!$W$2:$W$500,'Region 16'!$A$2:$A$500,E$1,'Region 16'!$X$2:$X$500,$D381,'Region 16'!$S$2:$S$500,$A381)</f>
        <v>#DIV/0!</v>
      </c>
      <c r="F381" t="e">
        <f ca="1">AVERAGEIFS('Region 16'!$W$2:$W$500,'Region 16'!$A$2:$A$500,F$1,'Region 16'!$X$2:$X$500,$D381,'Region 16'!$S$2:$S$500,$A381)</f>
        <v>#DIV/0!</v>
      </c>
      <c r="G381" t="e">
        <f ca="1">AVERAGEIFS('Region 16'!$W$2:$W$500,'Region 16'!$A$2:$A$500,G$1,'Region 16'!$X$2:$X$500,$D381,'Region 16'!$S$2:$S$500,$A381)</f>
        <v>#DIV/0!</v>
      </c>
      <c r="H381" t="e">
        <f ca="1">AVERAGEIFS('Region 16'!$W$2:$W$500,'Region 16'!$A$2:$A$500,H$1,'Region 16'!$X$2:$X$500,$D381,'Region 16'!$S$2:$S$500,$A381)</f>
        <v>#DIV/0!</v>
      </c>
      <c r="I381" t="e">
        <f ca="1">AVERAGEIFS('Region 16'!$W$2:$W$500,'Region 16'!$A$2:$A$500,I$1,'Region 16'!$X$2:$X$500,$D381,'Region 16'!$S$2:$S$500,$A381)</f>
        <v>#DIV/0!</v>
      </c>
      <c r="J381" t="e">
        <f ca="1">AVERAGEIFS('Region 16'!$W$2:$W$500,'Region 16'!$A$2:$A$500,J$1,'Region 16'!$X$2:$X$500,$D381,'Region 16'!$S$2:$S$500,$A381)</f>
        <v>#DIV/0!</v>
      </c>
      <c r="K381" t="e">
        <f ca="1">AVERAGEIFS('Region 16'!$W$2:$W$500,'Region 16'!$A$2:$A$500,K$1,'Region 16'!$X$2:$X$500,$D381,'Region 16'!$S$2:$S$500,$A381)</f>
        <v>#DIV/0!</v>
      </c>
      <c r="L381" t="e">
        <f ca="1">AVERAGEIFS('Region 16'!$W$2:$W$500,'Region 16'!$A$2:$A$500,L$1,'Region 16'!$X$2:$X$500,$D381,'Region 16'!$S$2:$S$500,$A381)</f>
        <v>#DIV/0!</v>
      </c>
      <c r="M381" t="e">
        <f ca="1">AVERAGEIFS('Region 16'!$W$2:$W$500,'Region 16'!$A$2:$A$500,M$1,'Region 16'!$X$2:$X$500,$D381,'Region 16'!$S$2:$S$500,$A381)</f>
        <v>#DIV/0!</v>
      </c>
      <c r="N381" t="e">
        <f ca="1">AVERAGEIFS('Region 16'!$W$2:$W$500,'Region 16'!$A$2:$A$500,N$1,'Region 16'!$X$2:$X$500,$D381,'Region 16'!$S$2:$S$500,$A381)</f>
        <v>#DIV/0!</v>
      </c>
      <c r="Q381" t="str">
        <f t="shared" si="305"/>
        <v>Copper</v>
      </c>
      <c r="R381" t="str">
        <f t="shared" si="306"/>
        <v>Appartments</v>
      </c>
      <c r="S381">
        <f t="shared" si="307"/>
        <v>16</v>
      </c>
      <c r="T381" t="str">
        <f t="shared" ca="1" si="287"/>
        <v>-</v>
      </c>
      <c r="U381" t="str">
        <f t="shared" ca="1" si="288"/>
        <v>-</v>
      </c>
      <c r="V381" t="str">
        <f t="shared" ca="1" si="289"/>
        <v>-</v>
      </c>
      <c r="W381" t="str">
        <f t="shared" ca="1" si="290"/>
        <v>-</v>
      </c>
      <c r="X381" t="str">
        <f t="shared" ca="1" si="291"/>
        <v>-</v>
      </c>
      <c r="Y381" t="str">
        <f t="shared" ca="1" si="292"/>
        <v>-</v>
      </c>
      <c r="Z381" t="str">
        <f t="shared" ca="1" si="293"/>
        <v>-</v>
      </c>
      <c r="AA381" t="str">
        <f t="shared" ca="1" si="294"/>
        <v>-</v>
      </c>
      <c r="AB381" t="str">
        <f t="shared" ca="1" si="295"/>
        <v>-</v>
      </c>
      <c r="AC381" t="str">
        <f t="shared" ca="1" si="296"/>
        <v>-</v>
      </c>
    </row>
    <row r="382" spans="1:29" x14ac:dyDescent="0.3">
      <c r="A382" t="s">
        <v>414</v>
      </c>
      <c r="B382" t="str">
        <f t="shared" si="355"/>
        <v>Appartments</v>
      </c>
      <c r="C382">
        <f t="shared" ref="C382:D382" si="359">C174</f>
        <v>17</v>
      </c>
      <c r="D382">
        <f t="shared" si="359"/>
        <v>3</v>
      </c>
      <c r="E382" t="e">
        <f>AVERAGEIFS('Region 17'!$W$2:$W$498,'Region 17'!$A$2:$A$498,E$1,'Region 17'!$X$2:$X$498,$D382,'Region 17'!$S$2:$S$498,$A382)</f>
        <v>#DIV/0!</v>
      </c>
      <c r="F382" t="e">
        <f>AVERAGEIFS('Region 17'!$W$2:$W$498,'Region 17'!$A$2:$A$498,F$1,'Region 17'!$X$2:$X$498,$D382,'Region 17'!$S$2:$S$498,$A382)</f>
        <v>#DIV/0!</v>
      </c>
      <c r="G382" t="e">
        <f>AVERAGEIFS('Region 17'!$W$2:$W$498,'Region 17'!$A$2:$A$498,G$1,'Region 17'!$X$2:$X$498,$D382,'Region 17'!$S$2:$S$498,$A382)</f>
        <v>#DIV/0!</v>
      </c>
      <c r="H382" t="e">
        <f>AVERAGEIFS('Region 17'!$W$2:$W$498,'Region 17'!$A$2:$A$498,H$1,'Region 17'!$X$2:$X$498,$D382,'Region 17'!$S$2:$S$498,$A382)</f>
        <v>#DIV/0!</v>
      </c>
      <c r="I382" t="e">
        <f>AVERAGEIFS('Region 17'!$W$2:$W$498,'Region 17'!$A$2:$A$498,I$1,'Region 17'!$X$2:$X$498,$D382,'Region 17'!$S$2:$S$498,$A382)</f>
        <v>#DIV/0!</v>
      </c>
      <c r="J382" t="e">
        <f>AVERAGEIFS('Region 17'!$W$2:$W$498,'Region 17'!$A$2:$A$498,J$1,'Region 17'!$X$2:$X$498,$D382,'Region 17'!$S$2:$S$498,$A382)</f>
        <v>#DIV/0!</v>
      </c>
      <c r="K382" t="e">
        <f>AVERAGEIFS('Region 17'!$W$2:$W$498,'Region 17'!$A$2:$A$498,K$1,'Region 17'!$X$2:$X$498,$D382,'Region 17'!$S$2:$S$498,$A382)</f>
        <v>#DIV/0!</v>
      </c>
      <c r="L382" t="e">
        <f>AVERAGEIFS('Region 17'!$W$2:$W$498,'Region 17'!$A$2:$A$498,L$1,'Region 17'!$X$2:$X$498,$D382,'Region 17'!$S$2:$S$498,$A382)</f>
        <v>#DIV/0!</v>
      </c>
      <c r="M382" t="e">
        <f>AVERAGEIFS('Region 17'!$W$2:$W$498,'Region 17'!$A$2:$A$498,M$1,'Region 17'!$X$2:$X$498,$D382,'Region 17'!$S$2:$S$498,$A382)</f>
        <v>#DIV/0!</v>
      </c>
      <c r="N382" t="e">
        <f>AVERAGEIFS('Region 17'!$W$2:$W$498,'Region 17'!$A$2:$A$498,N$1,'Region 17'!$X$2:$X$498,$D382,'Region 17'!$S$2:$S$498,$A382)</f>
        <v>#DIV/0!</v>
      </c>
      <c r="Q382" t="str">
        <f t="shared" si="305"/>
        <v>Copper</v>
      </c>
      <c r="R382" t="str">
        <f t="shared" si="306"/>
        <v>Appartments</v>
      </c>
      <c r="S382">
        <f t="shared" si="307"/>
        <v>17</v>
      </c>
      <c r="T382" t="str">
        <f t="shared" si="287"/>
        <v>-</v>
      </c>
      <c r="U382" t="str">
        <f t="shared" si="288"/>
        <v>-</v>
      </c>
      <c r="V382" t="str">
        <f t="shared" si="289"/>
        <v>-</v>
      </c>
      <c r="W382" t="str">
        <f t="shared" si="290"/>
        <v>-</v>
      </c>
      <c r="X382" t="str">
        <f t="shared" si="291"/>
        <v>-</v>
      </c>
      <c r="Y382" t="str">
        <f t="shared" si="292"/>
        <v>-</v>
      </c>
      <c r="Z382" t="str">
        <f t="shared" si="293"/>
        <v>-</v>
      </c>
      <c r="AA382" t="str">
        <f t="shared" si="294"/>
        <v>-</v>
      </c>
      <c r="AB382" t="str">
        <f t="shared" si="295"/>
        <v>-</v>
      </c>
      <c r="AC382" t="str">
        <f t="shared" si="296"/>
        <v>-</v>
      </c>
    </row>
    <row r="383" spans="1:29" x14ac:dyDescent="0.3">
      <c r="A383" t="s">
        <v>414</v>
      </c>
      <c r="B383" t="str">
        <f t="shared" si="355"/>
        <v>Appartments</v>
      </c>
      <c r="C383">
        <f t="shared" ref="C383:D383" si="360">C175</f>
        <v>18</v>
      </c>
      <c r="D383">
        <f t="shared" si="360"/>
        <v>3</v>
      </c>
      <c r="E383" t="e">
        <f>AVERAGEIFS('Region 18'!$W$2:$W$468,'Region 18'!$A$2:$A$468,E$1,'Region 18'!$X$2:$X$468,$D383,'Region 18'!$S$2:$S$468,$A383)</f>
        <v>#DIV/0!</v>
      </c>
      <c r="F383" t="e">
        <f>AVERAGEIFS('Region 18'!$W$2:$W$468,'Region 18'!$A$2:$A$468,F$1,'Region 18'!$X$2:$X$468,$D383,'Region 18'!$S$2:$S$468,$A383)</f>
        <v>#DIV/0!</v>
      </c>
      <c r="G383" t="e">
        <f>AVERAGEIFS('Region 18'!$W$2:$W$468,'Region 18'!$A$2:$A$468,G$1,'Region 18'!$X$2:$X$468,$D383,'Region 18'!$S$2:$S$468,$A383)</f>
        <v>#DIV/0!</v>
      </c>
      <c r="H383" t="e">
        <f>AVERAGEIFS('Region 18'!$W$2:$W$468,'Region 18'!$A$2:$A$468,H$1,'Region 18'!$X$2:$X$468,$D383,'Region 18'!$S$2:$S$468,$A383)</f>
        <v>#DIV/0!</v>
      </c>
      <c r="I383" t="e">
        <f>AVERAGEIFS('Region 18'!$W$2:$W$468,'Region 18'!$A$2:$A$468,I$1,'Region 18'!$X$2:$X$468,$D383,'Region 18'!$S$2:$S$468,$A383)</f>
        <v>#DIV/0!</v>
      </c>
      <c r="J383" t="e">
        <f>AVERAGEIFS('Region 18'!$W$2:$W$468,'Region 18'!$A$2:$A$468,J$1,'Region 18'!$X$2:$X$468,$D383,'Region 18'!$S$2:$S$468,$A383)</f>
        <v>#DIV/0!</v>
      </c>
      <c r="K383" t="e">
        <f>AVERAGEIFS('Region 18'!$W$2:$W$468,'Region 18'!$A$2:$A$468,K$1,'Region 18'!$X$2:$X$468,$D383,'Region 18'!$S$2:$S$468,$A383)</f>
        <v>#DIV/0!</v>
      </c>
      <c r="L383" t="e">
        <f>AVERAGEIFS('Region 18'!$W$2:$W$468,'Region 18'!$A$2:$A$468,L$1,'Region 18'!$X$2:$X$468,$D383,'Region 18'!$S$2:$S$468,$A383)</f>
        <v>#DIV/0!</v>
      </c>
      <c r="M383" t="e">
        <f>AVERAGEIFS('Region 18'!$W$2:$W$468,'Region 18'!$A$2:$A$468,M$1,'Region 18'!$X$2:$X$468,$D383,'Region 18'!$S$2:$S$468,$A383)</f>
        <v>#DIV/0!</v>
      </c>
      <c r="N383" t="e">
        <f>AVERAGEIFS('Region 18'!$W$2:$W$468,'Region 18'!$A$2:$A$468,N$1,'Region 18'!$X$2:$X$468,$D383,'Region 18'!$S$2:$S$468,$A383)</f>
        <v>#DIV/0!</v>
      </c>
      <c r="Q383" t="str">
        <f t="shared" si="305"/>
        <v>Copper</v>
      </c>
      <c r="R383" t="str">
        <f t="shared" si="306"/>
        <v>Appartments</v>
      </c>
      <c r="S383">
        <f t="shared" si="307"/>
        <v>18</v>
      </c>
      <c r="T383" t="str">
        <f t="shared" si="287"/>
        <v>-</v>
      </c>
      <c r="U383" t="str">
        <f t="shared" si="288"/>
        <v>-</v>
      </c>
      <c r="V383" t="str">
        <f t="shared" si="289"/>
        <v>-</v>
      </c>
      <c r="W383" t="str">
        <f t="shared" si="290"/>
        <v>-</v>
      </c>
      <c r="X383" t="str">
        <f t="shared" si="291"/>
        <v>-</v>
      </c>
      <c r="Y383" t="str">
        <f t="shared" si="292"/>
        <v>-</v>
      </c>
      <c r="Z383" t="str">
        <f t="shared" si="293"/>
        <v>-</v>
      </c>
      <c r="AA383" t="str">
        <f t="shared" si="294"/>
        <v>-</v>
      </c>
      <c r="AB383" t="str">
        <f t="shared" si="295"/>
        <v>-</v>
      </c>
      <c r="AC383" t="str">
        <f t="shared" si="296"/>
        <v>-</v>
      </c>
    </row>
    <row r="384" spans="1:29" x14ac:dyDescent="0.3">
      <c r="A384" t="s">
        <v>414</v>
      </c>
      <c r="B384" t="str">
        <f t="shared" si="355"/>
        <v>Appartments</v>
      </c>
      <c r="C384">
        <f t="shared" ref="C384:D384" si="361">C176</f>
        <v>19</v>
      </c>
      <c r="D384">
        <f t="shared" si="361"/>
        <v>3</v>
      </c>
      <c r="E384" t="e">
        <f>AVERAGEIFS('Region 19'!$W$2:$W$494,'Region 19'!$A$2:$A$494,E$1,'Region 19'!$X$2:$X$494,$D384,'Region 19'!$S$2:$S$494,$A384)</f>
        <v>#DIV/0!</v>
      </c>
      <c r="F384">
        <f>AVERAGEIFS('Region 19'!$W$2:$W$494,'Region 19'!$A$2:$A$494,F$1,'Region 19'!$X$2:$X$494,$D384,'Region 19'!$S$2:$S$494,$A384)</f>
        <v>0.73282654568780448</v>
      </c>
      <c r="G384" t="e">
        <f>AVERAGEIFS('Region 19'!$W$2:$W$494,'Region 19'!$A$2:$A$494,G$1,'Region 19'!$X$2:$X$494,$D384,'Region 19'!$S$2:$S$494,$A384)</f>
        <v>#DIV/0!</v>
      </c>
      <c r="H384" t="e">
        <f>AVERAGEIFS('Region 19'!$W$2:$W$494,'Region 19'!$A$2:$A$494,H$1,'Region 19'!$X$2:$X$494,$D384,'Region 19'!$S$2:$S$494,$A384)</f>
        <v>#DIV/0!</v>
      </c>
      <c r="I384" t="e">
        <f>AVERAGEIFS('Region 19'!$W$2:$W$494,'Region 19'!$A$2:$A$494,I$1,'Region 19'!$X$2:$X$494,$D384,'Region 19'!$S$2:$S$494,$A384)</f>
        <v>#DIV/0!</v>
      </c>
      <c r="J384" t="e">
        <f>AVERAGEIFS('Region 19'!$W$2:$W$494,'Region 19'!$A$2:$A$494,J$1,'Region 19'!$X$2:$X$494,$D384,'Region 19'!$S$2:$S$494,$A384)</f>
        <v>#DIV/0!</v>
      </c>
      <c r="K384" t="e">
        <f>AVERAGEIFS('Region 19'!$W$2:$W$494,'Region 19'!$A$2:$A$494,K$1,'Region 19'!$X$2:$X$494,$D384,'Region 19'!$S$2:$S$494,$A384)</f>
        <v>#DIV/0!</v>
      </c>
      <c r="L384" t="e">
        <f>AVERAGEIFS('Region 19'!$W$2:$W$494,'Region 19'!$A$2:$A$494,L$1,'Region 19'!$X$2:$X$494,$D384,'Region 19'!$S$2:$S$494,$A384)</f>
        <v>#DIV/0!</v>
      </c>
      <c r="M384" t="e">
        <f>AVERAGEIFS('Region 19'!$W$2:$W$494,'Region 19'!$A$2:$A$494,M$1,'Region 19'!$X$2:$X$494,$D384,'Region 19'!$S$2:$S$494,$A384)</f>
        <v>#DIV/0!</v>
      </c>
      <c r="N384" t="e">
        <f>AVERAGEIFS('Region 19'!$W$2:$W$494,'Region 19'!$A$2:$A$494,N$1,'Region 19'!$X$2:$X$494,$D384,'Region 19'!$S$2:$S$494,$A384)</f>
        <v>#DIV/0!</v>
      </c>
      <c r="Q384" t="str">
        <f t="shared" si="305"/>
        <v>Copper</v>
      </c>
      <c r="R384" t="str">
        <f t="shared" si="306"/>
        <v>Appartments</v>
      </c>
      <c r="S384">
        <f t="shared" si="307"/>
        <v>19</v>
      </c>
      <c r="T384" t="str">
        <f t="shared" si="287"/>
        <v>-</v>
      </c>
      <c r="U384">
        <f t="shared" si="288"/>
        <v>0.73282654568780448</v>
      </c>
      <c r="V384" t="str">
        <f t="shared" si="289"/>
        <v>-</v>
      </c>
      <c r="W384" t="str">
        <f t="shared" si="290"/>
        <v>-</v>
      </c>
      <c r="X384" t="str">
        <f t="shared" si="291"/>
        <v>-</v>
      </c>
      <c r="Y384" t="str">
        <f t="shared" si="292"/>
        <v>-</v>
      </c>
      <c r="Z384" t="str">
        <f t="shared" si="293"/>
        <v>-</v>
      </c>
      <c r="AA384" t="str">
        <f t="shared" si="294"/>
        <v>-</v>
      </c>
      <c r="AB384" t="str">
        <f t="shared" si="295"/>
        <v>-</v>
      </c>
      <c r="AC384" t="str">
        <f t="shared" si="296"/>
        <v>-</v>
      </c>
    </row>
    <row r="385" spans="1:29" x14ac:dyDescent="0.3">
      <c r="A385" t="s">
        <v>414</v>
      </c>
      <c r="B385" t="str">
        <f t="shared" si="355"/>
        <v>Appartments</v>
      </c>
      <c r="C385">
        <f t="shared" ref="C385:D385" si="362">C177</f>
        <v>20</v>
      </c>
      <c r="D385">
        <f t="shared" si="362"/>
        <v>3</v>
      </c>
      <c r="E385" t="e">
        <f>AVERAGEIFS('Region 20'!$W$2:$W$269,'Region 20'!$A$2:$A$269,E$1,'Region 20'!$X$2:$X$269,$D385,'Region 20'!$S$2:$S$269,$A385)</f>
        <v>#DIV/0!</v>
      </c>
      <c r="F385" t="e">
        <f>AVERAGEIFS('Region 20'!$W$2:$W$269,'Region 20'!$A$2:$A$269,F$1,'Region 20'!$X$2:$X$269,$D385,'Region 20'!$S$2:$S$269,$A385)</f>
        <v>#DIV/0!</v>
      </c>
      <c r="G385">
        <f>AVERAGEIFS('Region 20'!$W$2:$W$269,'Region 20'!$A$2:$A$269,G$1,'Region 20'!$X$2:$X$269,$D385,'Region 20'!$S$2:$S$269,$A385)</f>
        <v>0.25380250539330323</v>
      </c>
      <c r="H385" t="e">
        <f>AVERAGEIFS('Region 20'!$W$2:$W$269,'Region 20'!$A$2:$A$269,H$1,'Region 20'!$X$2:$X$269,$D385,'Region 20'!$S$2:$S$269,$A385)</f>
        <v>#DIV/0!</v>
      </c>
      <c r="I385" t="e">
        <f>AVERAGEIFS('Region 20'!$W$2:$W$269,'Region 20'!$A$2:$A$269,I$1,'Region 20'!$X$2:$X$269,$D385,'Region 20'!$S$2:$S$269,$A385)</f>
        <v>#DIV/0!</v>
      </c>
      <c r="J385" t="e">
        <f>AVERAGEIFS('Region 20'!$W$2:$W$269,'Region 20'!$A$2:$A$269,J$1,'Region 20'!$X$2:$X$269,$D385,'Region 20'!$S$2:$S$269,$A385)</f>
        <v>#DIV/0!</v>
      </c>
      <c r="K385" t="e">
        <f>AVERAGEIFS('Region 20'!$W$2:$W$269,'Region 20'!$A$2:$A$269,K$1,'Region 20'!$X$2:$X$269,$D385,'Region 20'!$S$2:$S$269,$A385)</f>
        <v>#DIV/0!</v>
      </c>
      <c r="L385" t="e">
        <f>AVERAGEIFS('Region 20'!$W$2:$W$269,'Region 20'!$A$2:$A$269,L$1,'Region 20'!$X$2:$X$269,$D385,'Region 20'!$S$2:$S$269,$A385)</f>
        <v>#DIV/0!</v>
      </c>
      <c r="M385" t="e">
        <f>AVERAGEIFS('Region 20'!$W$2:$W$269,'Region 20'!$A$2:$A$269,M$1,'Region 20'!$X$2:$X$269,$D385,'Region 20'!$S$2:$S$269,$A385)</f>
        <v>#DIV/0!</v>
      </c>
      <c r="N385" t="e">
        <f>AVERAGEIFS('Region 20'!$W$2:$W$269,'Region 20'!$A$2:$A$269,N$1,'Region 20'!$X$2:$X$269,$D385,'Region 20'!$S$2:$S$269,$A385)</f>
        <v>#DIV/0!</v>
      </c>
      <c r="Q385" t="str">
        <f t="shared" si="305"/>
        <v>Copper</v>
      </c>
      <c r="R385" t="str">
        <f t="shared" si="306"/>
        <v>Appartments</v>
      </c>
      <c r="S385">
        <f t="shared" si="307"/>
        <v>20</v>
      </c>
      <c r="T385" t="str">
        <f t="shared" si="287"/>
        <v>-</v>
      </c>
      <c r="U385" t="str">
        <f t="shared" si="288"/>
        <v>-</v>
      </c>
      <c r="V385">
        <f t="shared" si="289"/>
        <v>0.25380250539330323</v>
      </c>
      <c r="W385" t="str">
        <f t="shared" si="290"/>
        <v>-</v>
      </c>
      <c r="X385" t="str">
        <f t="shared" si="291"/>
        <v>-</v>
      </c>
      <c r="Y385" t="str">
        <f t="shared" si="292"/>
        <v>-</v>
      </c>
      <c r="Z385" t="str">
        <f t="shared" si="293"/>
        <v>-</v>
      </c>
      <c r="AA385" t="str">
        <f t="shared" si="294"/>
        <v>-</v>
      </c>
      <c r="AB385" t="str">
        <f t="shared" si="295"/>
        <v>-</v>
      </c>
      <c r="AC385" t="str">
        <f t="shared" si="296"/>
        <v>-</v>
      </c>
    </row>
    <row r="386" spans="1:29" x14ac:dyDescent="0.3">
      <c r="A386" t="s">
        <v>414</v>
      </c>
      <c r="B386" t="str">
        <f t="shared" si="355"/>
        <v>Appartments</v>
      </c>
      <c r="C386">
        <f t="shared" ref="C386:D386" si="363">C178</f>
        <v>21</v>
      </c>
      <c r="D386">
        <f t="shared" si="363"/>
        <v>3</v>
      </c>
      <c r="E386" t="e">
        <f>AVERAGEIFS('Region 21'!$W$2:$W$497,'Region 21'!$A$2:$A$497,E$1,'Region 21'!$X$2:$X$497,$D386,'Region 21'!$S$2:$S$497,$A386)</f>
        <v>#DIV/0!</v>
      </c>
      <c r="F386" t="e">
        <f>AVERAGEIFS('Region 21'!$W$2:$W$497,'Region 21'!$A$2:$A$497,F$1,'Region 21'!$X$2:$X$497,$D386,'Region 21'!$S$2:$S$497,$A386)</f>
        <v>#DIV/0!</v>
      </c>
      <c r="G386" t="e">
        <f>AVERAGEIFS('Region 21'!$W$2:$W$497,'Region 21'!$A$2:$A$497,G$1,'Region 21'!$X$2:$X$497,$D386,'Region 21'!$S$2:$S$497,$A386)</f>
        <v>#DIV/0!</v>
      </c>
      <c r="H386" t="e">
        <f>AVERAGEIFS('Region 21'!$W$2:$W$497,'Region 21'!$A$2:$A$497,H$1,'Region 21'!$X$2:$X$497,$D386,'Region 21'!$S$2:$S$497,$A386)</f>
        <v>#DIV/0!</v>
      </c>
      <c r="I386" t="e">
        <f>AVERAGEIFS('Region 21'!$W$2:$W$497,'Region 21'!$A$2:$A$497,I$1,'Region 21'!$X$2:$X$497,$D386,'Region 21'!$S$2:$S$497,$A386)</f>
        <v>#DIV/0!</v>
      </c>
      <c r="J386" t="e">
        <f>AVERAGEIFS('Region 21'!$W$2:$W$497,'Region 21'!$A$2:$A$497,J$1,'Region 21'!$X$2:$X$497,$D386,'Region 21'!$S$2:$S$497,$A386)</f>
        <v>#DIV/0!</v>
      </c>
      <c r="K386" t="e">
        <f>AVERAGEIFS('Region 21'!$W$2:$W$497,'Region 21'!$A$2:$A$497,K$1,'Region 21'!$X$2:$X$497,$D386,'Region 21'!$S$2:$S$497,$A386)</f>
        <v>#DIV/0!</v>
      </c>
      <c r="L386" t="e">
        <f>AVERAGEIFS('Region 21'!$W$2:$W$497,'Region 21'!$A$2:$A$497,L$1,'Region 21'!$X$2:$X$497,$D386,'Region 21'!$S$2:$S$497,$A386)</f>
        <v>#DIV/0!</v>
      </c>
      <c r="M386" t="e">
        <f>AVERAGEIFS('Region 21'!$W$2:$W$497,'Region 21'!$A$2:$A$497,M$1,'Region 21'!$X$2:$X$497,$D386,'Region 21'!$S$2:$S$497,$A386)</f>
        <v>#DIV/0!</v>
      </c>
      <c r="N386" t="e">
        <f>AVERAGEIFS('Region 21'!$W$2:$W$497,'Region 21'!$A$2:$A$497,N$1,'Region 21'!$X$2:$X$497,$D386,'Region 21'!$S$2:$S$497,$A386)</f>
        <v>#DIV/0!</v>
      </c>
      <c r="Q386" t="str">
        <f t="shared" si="305"/>
        <v>Copper</v>
      </c>
      <c r="R386" t="str">
        <f t="shared" si="306"/>
        <v>Appartments</v>
      </c>
      <c r="S386">
        <f t="shared" si="307"/>
        <v>21</v>
      </c>
      <c r="T386" t="str">
        <f t="shared" si="287"/>
        <v>-</v>
      </c>
      <c r="U386" t="str">
        <f t="shared" si="288"/>
        <v>-</v>
      </c>
      <c r="V386" t="str">
        <f t="shared" si="289"/>
        <v>-</v>
      </c>
      <c r="W386" t="str">
        <f t="shared" si="290"/>
        <v>-</v>
      </c>
      <c r="X386" t="str">
        <f t="shared" si="291"/>
        <v>-</v>
      </c>
      <c r="Y386" t="str">
        <f t="shared" si="292"/>
        <v>-</v>
      </c>
      <c r="Z386" t="str">
        <f t="shared" si="293"/>
        <v>-</v>
      </c>
      <c r="AA386" t="str">
        <f t="shared" si="294"/>
        <v>-</v>
      </c>
      <c r="AB386" t="str">
        <f t="shared" si="295"/>
        <v>-</v>
      </c>
      <c r="AC386" t="str">
        <f t="shared" si="296"/>
        <v>-</v>
      </c>
    </row>
    <row r="387" spans="1:29" x14ac:dyDescent="0.3">
      <c r="A387" t="s">
        <v>414</v>
      </c>
      <c r="B387" t="str">
        <f t="shared" si="355"/>
        <v>Appartments</v>
      </c>
      <c r="C387">
        <f t="shared" ref="C387:D387" si="364">C179</f>
        <v>22</v>
      </c>
      <c r="D387">
        <f t="shared" si="364"/>
        <v>3</v>
      </c>
      <c r="E387" t="e">
        <f>AVERAGEIFS('Region 22'!$W$2:$W$510,'Region 22'!$A$2:$A$510,E$1,'Region 22'!$X$2:$X$510,$D387,'Region 22'!$S$2:$S$510,$A387)</f>
        <v>#DIV/0!</v>
      </c>
      <c r="F387" t="e">
        <f>AVERAGEIFS('Region 22'!$W$2:$W$510,'Region 22'!$A$2:$A$510,F$1,'Region 22'!$X$2:$X$510,$D387,'Region 22'!$S$2:$S$510,$A387)</f>
        <v>#DIV/0!</v>
      </c>
      <c r="G387" t="e">
        <f>AVERAGEIFS('Region 22'!$W$2:$W$510,'Region 22'!$A$2:$A$510,G$1,'Region 22'!$X$2:$X$510,$D387,'Region 22'!$S$2:$S$510,$A387)</f>
        <v>#DIV/0!</v>
      </c>
      <c r="H387" t="e">
        <f>AVERAGEIFS('Region 22'!$W$2:$W$510,'Region 22'!$A$2:$A$510,H$1,'Region 22'!$X$2:$X$510,$D387,'Region 22'!$S$2:$S$510,$A387)</f>
        <v>#DIV/0!</v>
      </c>
      <c r="I387" t="e">
        <f>AVERAGEIFS('Region 22'!$W$2:$W$510,'Region 22'!$A$2:$A$510,I$1,'Region 22'!$X$2:$X$510,$D387,'Region 22'!$S$2:$S$510,$A387)</f>
        <v>#DIV/0!</v>
      </c>
      <c r="J387" t="e">
        <f>AVERAGEIFS('Region 22'!$W$2:$W$510,'Region 22'!$A$2:$A$510,J$1,'Region 22'!$X$2:$X$510,$D387,'Region 22'!$S$2:$S$510,$A387)</f>
        <v>#DIV/0!</v>
      </c>
      <c r="K387" t="e">
        <f>AVERAGEIFS('Region 22'!$W$2:$W$510,'Region 22'!$A$2:$A$510,K$1,'Region 22'!$X$2:$X$510,$D387,'Region 22'!$S$2:$S$510,$A387)</f>
        <v>#DIV/0!</v>
      </c>
      <c r="L387" t="e">
        <f>AVERAGEIFS('Region 22'!$W$2:$W$510,'Region 22'!$A$2:$A$510,L$1,'Region 22'!$X$2:$X$510,$D387,'Region 22'!$S$2:$S$510,$A387)</f>
        <v>#DIV/0!</v>
      </c>
      <c r="M387" t="e">
        <f>AVERAGEIFS('Region 22'!$W$2:$W$510,'Region 22'!$A$2:$A$510,M$1,'Region 22'!$X$2:$X$510,$D387,'Region 22'!$S$2:$S$510,$A387)</f>
        <v>#DIV/0!</v>
      </c>
      <c r="N387" t="e">
        <f>AVERAGEIFS('Region 22'!$W$2:$W$510,'Region 22'!$A$2:$A$510,N$1,'Region 22'!$X$2:$X$510,$D387,'Region 22'!$S$2:$S$510,$A387)</f>
        <v>#DIV/0!</v>
      </c>
      <c r="Q387" t="str">
        <f t="shared" si="305"/>
        <v>Copper</v>
      </c>
      <c r="R387" t="str">
        <f t="shared" si="306"/>
        <v>Appartments</v>
      </c>
      <c r="S387">
        <f t="shared" si="307"/>
        <v>22</v>
      </c>
      <c r="T387" t="str">
        <f t="shared" ref="T387:T450" si="365">IF(ISNUMBER(E387),E387,"-")</f>
        <v>-</v>
      </c>
      <c r="U387" t="str">
        <f t="shared" ref="U387:U450" si="366">IF(ISNUMBER(F387),F387,"-")</f>
        <v>-</v>
      </c>
      <c r="V387" t="str">
        <f t="shared" ref="V387:V450" si="367">IF(ISNUMBER(G387),G387,"-")</f>
        <v>-</v>
      </c>
      <c r="W387" t="str">
        <f t="shared" ref="W387:W450" si="368">IF(ISNUMBER(H387),H387,"-")</f>
        <v>-</v>
      </c>
      <c r="X387" t="str">
        <f t="shared" ref="X387:X450" si="369">IF(ISNUMBER(I387),I387,"-")</f>
        <v>-</v>
      </c>
      <c r="Y387" t="str">
        <f t="shared" ref="Y387:Y450" si="370">IF(ISNUMBER(J387),J387,"-")</f>
        <v>-</v>
      </c>
      <c r="Z387" t="str">
        <f t="shared" ref="Z387:Z450" si="371">IF(ISNUMBER(K387),K387,"-")</f>
        <v>-</v>
      </c>
      <c r="AA387" t="str">
        <f t="shared" ref="AA387:AA450" si="372">IF(ISNUMBER(L387),L387,"-")</f>
        <v>-</v>
      </c>
      <c r="AB387" t="str">
        <f t="shared" ref="AB387:AB450" si="373">IF(ISNUMBER(M387),M387,"-")</f>
        <v>-</v>
      </c>
      <c r="AC387" t="str">
        <f t="shared" ref="AC387:AC450" si="374">IF(ISNUMBER(N387),N387,"-")</f>
        <v>-</v>
      </c>
    </row>
    <row r="388" spans="1:29" x14ac:dyDescent="0.3">
      <c r="A388" t="s">
        <v>414</v>
      </c>
      <c r="B388" t="str">
        <f t="shared" si="355"/>
        <v>Appartments</v>
      </c>
      <c r="C388">
        <f t="shared" ref="C388:D388" si="375">C180</f>
        <v>23</v>
      </c>
      <c r="D388">
        <f t="shared" si="375"/>
        <v>3</v>
      </c>
      <c r="E388" t="e">
        <f>AVERAGEIFS('Region 23'!$W$2:$W$468,'Region 23'!$A$2:$A$468,E$1,'Region 23'!$X$2:$X$468,$D388,'Region 23'!$S$2:$S$468,$A388)</f>
        <v>#DIV/0!</v>
      </c>
      <c r="F388" t="e">
        <f>AVERAGEIFS('Region 23'!$W$2:$W$468,'Region 23'!$A$2:$A$468,F$1,'Region 23'!$X$2:$X$468,$D388,'Region 23'!$S$2:$S$468,$A388)</f>
        <v>#DIV/0!</v>
      </c>
      <c r="G388" t="e">
        <f>AVERAGEIFS('Region 23'!$W$2:$W$468,'Region 23'!$A$2:$A$468,G$1,'Region 23'!$X$2:$X$468,$D388,'Region 23'!$S$2:$S$468,$A388)</f>
        <v>#DIV/0!</v>
      </c>
      <c r="H388" t="e">
        <f>AVERAGEIFS('Region 23'!$W$2:$W$468,'Region 23'!$A$2:$A$468,H$1,'Region 23'!$X$2:$X$468,$D388,'Region 23'!$S$2:$S$468,$A388)</f>
        <v>#DIV/0!</v>
      </c>
      <c r="I388" t="e">
        <f>AVERAGEIFS('Region 23'!$W$2:$W$468,'Region 23'!$A$2:$A$468,I$1,'Region 23'!$X$2:$X$468,$D388,'Region 23'!$S$2:$S$468,$A388)</f>
        <v>#DIV/0!</v>
      </c>
      <c r="J388" t="e">
        <f>AVERAGEIFS('Region 23'!$W$2:$W$468,'Region 23'!$A$2:$A$468,J$1,'Region 23'!$X$2:$X$468,$D388,'Region 23'!$S$2:$S$468,$A388)</f>
        <v>#DIV/0!</v>
      </c>
      <c r="K388" t="e">
        <f>AVERAGEIFS('Region 23'!$W$2:$W$468,'Region 23'!$A$2:$A$468,K$1,'Region 23'!$X$2:$X$468,$D388,'Region 23'!$S$2:$S$468,$A388)</f>
        <v>#DIV/0!</v>
      </c>
      <c r="L388" t="e">
        <f>AVERAGEIFS('Region 23'!$W$2:$W$468,'Region 23'!$A$2:$A$468,L$1,'Region 23'!$X$2:$X$468,$D388,'Region 23'!$S$2:$S$468,$A388)</f>
        <v>#DIV/0!</v>
      </c>
      <c r="M388" t="e">
        <f>AVERAGEIFS('Region 23'!$W$2:$W$468,'Region 23'!$A$2:$A$468,M$1,'Region 23'!$X$2:$X$468,$D388,'Region 23'!$S$2:$S$468,$A388)</f>
        <v>#DIV/0!</v>
      </c>
      <c r="N388" t="e">
        <f>AVERAGEIFS('Region 23'!$W$2:$W$468,'Region 23'!$A$2:$A$468,N$1,'Region 23'!$X$2:$X$468,$D388,'Region 23'!$S$2:$S$468,$A388)</f>
        <v>#DIV/0!</v>
      </c>
      <c r="Q388" t="str">
        <f t="shared" si="305"/>
        <v>Copper</v>
      </c>
      <c r="R388" t="str">
        <f t="shared" si="306"/>
        <v>Appartments</v>
      </c>
      <c r="S388">
        <f t="shared" si="307"/>
        <v>23</v>
      </c>
      <c r="T388" t="str">
        <f t="shared" si="365"/>
        <v>-</v>
      </c>
      <c r="U388" t="str">
        <f t="shared" si="366"/>
        <v>-</v>
      </c>
      <c r="V388" t="str">
        <f t="shared" si="367"/>
        <v>-</v>
      </c>
      <c r="W388" t="str">
        <f t="shared" si="368"/>
        <v>-</v>
      </c>
      <c r="X388" t="str">
        <f t="shared" si="369"/>
        <v>-</v>
      </c>
      <c r="Y388" t="str">
        <f t="shared" si="370"/>
        <v>-</v>
      </c>
      <c r="Z388" t="str">
        <f t="shared" si="371"/>
        <v>-</v>
      </c>
      <c r="AA388" t="str">
        <f t="shared" si="372"/>
        <v>-</v>
      </c>
      <c r="AB388" t="str">
        <f t="shared" si="373"/>
        <v>-</v>
      </c>
      <c r="AC388" t="str">
        <f t="shared" si="374"/>
        <v>-</v>
      </c>
    </row>
    <row r="389" spans="1:29" x14ac:dyDescent="0.3">
      <c r="A389" t="s">
        <v>414</v>
      </c>
      <c r="B389" t="str">
        <f t="shared" si="355"/>
        <v>Appartments</v>
      </c>
      <c r="C389">
        <f t="shared" ref="C389:D389" si="376">C181</f>
        <v>24</v>
      </c>
      <c r="D389">
        <f t="shared" si="376"/>
        <v>3</v>
      </c>
      <c r="E389">
        <f>AVERAGEIFS('Region 24'!$W$2:$W$454,'Region 24'!$A$2:$A$454,E$1,'Region 24'!$X$2:$X$454,$D389,'Region 24'!$S$2:$S$454,$A389)</f>
        <v>7.9821200510855686E-3</v>
      </c>
      <c r="F389" t="e">
        <f>AVERAGEIFS('Region 24'!$W$2:$W$454,'Region 24'!$A$2:$A$454,F$1,'Region 24'!$X$2:$X$454,$D389,'Region 24'!$S$2:$S$454,$A389)</f>
        <v>#DIV/0!</v>
      </c>
      <c r="G389" t="e">
        <f>AVERAGEIFS('Region 24'!$W$2:$W$454,'Region 24'!$A$2:$A$454,G$1,'Region 24'!$X$2:$X$454,$D389,'Region 24'!$S$2:$S$454,$A389)</f>
        <v>#DIV/0!</v>
      </c>
      <c r="H389" t="e">
        <f>AVERAGEIFS('Region 24'!$W$2:$W$454,'Region 24'!$A$2:$A$454,H$1,'Region 24'!$X$2:$X$454,$D389,'Region 24'!$S$2:$S$454,$A389)</f>
        <v>#DIV/0!</v>
      </c>
      <c r="I389" t="e">
        <f>AVERAGEIFS('Region 24'!$W$2:$W$454,'Region 24'!$A$2:$A$454,I$1,'Region 24'!$X$2:$X$454,$D389,'Region 24'!$S$2:$S$454,$A389)</f>
        <v>#DIV/0!</v>
      </c>
      <c r="J389" t="e">
        <f>AVERAGEIFS('Region 24'!$W$2:$W$454,'Region 24'!$A$2:$A$454,J$1,'Region 24'!$X$2:$X$454,$D389,'Region 24'!$S$2:$S$454,$A389)</f>
        <v>#DIV/0!</v>
      </c>
      <c r="K389" t="e">
        <f>AVERAGEIFS('Region 24'!$W$2:$W$454,'Region 24'!$A$2:$A$454,K$1,'Region 24'!$X$2:$X$454,$D389,'Region 24'!$S$2:$S$454,$A389)</f>
        <v>#DIV/0!</v>
      </c>
      <c r="L389" t="e">
        <f>AVERAGEIFS('Region 24'!$W$2:$W$454,'Region 24'!$A$2:$A$454,L$1,'Region 24'!$X$2:$X$454,$D389,'Region 24'!$S$2:$S$454,$A389)</f>
        <v>#DIV/0!</v>
      </c>
      <c r="M389" t="e">
        <f>AVERAGEIFS('Region 24'!$W$2:$W$454,'Region 24'!$A$2:$A$454,M$1,'Region 24'!$X$2:$X$454,$D389,'Region 24'!$S$2:$S$454,$A389)</f>
        <v>#DIV/0!</v>
      </c>
      <c r="N389" t="e">
        <f>AVERAGEIFS('Region 24'!$W$2:$W$454,'Region 24'!$A$2:$A$454,N$1,'Region 24'!$X$2:$X$454,$D389,'Region 24'!$S$2:$S$454,$A389)</f>
        <v>#DIV/0!</v>
      </c>
      <c r="Q389" t="str">
        <f t="shared" si="305"/>
        <v>Copper</v>
      </c>
      <c r="R389" t="str">
        <f t="shared" si="306"/>
        <v>Appartments</v>
      </c>
      <c r="S389">
        <f t="shared" si="307"/>
        <v>24</v>
      </c>
      <c r="T389">
        <f t="shared" si="365"/>
        <v>7.9821200510855686E-3</v>
      </c>
      <c r="U389" t="str">
        <f t="shared" si="366"/>
        <v>-</v>
      </c>
      <c r="V389" t="str">
        <f t="shared" si="367"/>
        <v>-</v>
      </c>
      <c r="W389" t="str">
        <f t="shared" si="368"/>
        <v>-</v>
      </c>
      <c r="X389" t="str">
        <f t="shared" si="369"/>
        <v>-</v>
      </c>
      <c r="Y389" t="str">
        <f t="shared" si="370"/>
        <v>-</v>
      </c>
      <c r="Z389" t="str">
        <f t="shared" si="371"/>
        <v>-</v>
      </c>
      <c r="AA389" t="str">
        <f t="shared" si="372"/>
        <v>-</v>
      </c>
      <c r="AB389" t="str">
        <f t="shared" si="373"/>
        <v>-</v>
      </c>
      <c r="AC389" t="str">
        <f t="shared" si="374"/>
        <v>-</v>
      </c>
    </row>
    <row r="390" spans="1:29" x14ac:dyDescent="0.3">
      <c r="A390" t="s">
        <v>414</v>
      </c>
      <c r="B390" t="str">
        <f t="shared" si="355"/>
        <v>Appartments</v>
      </c>
      <c r="C390">
        <f t="shared" ref="C390:D390" si="377">C182</f>
        <v>25</v>
      </c>
      <c r="D390">
        <f t="shared" si="377"/>
        <v>3</v>
      </c>
      <c r="E390" t="e">
        <f>AVERAGEIFS('Region 25'!$W$2:$W$499,'Region 25'!$A$2:$A$499,E$1,'Region 25'!$X$2:$X$499,$D390,'Region 25'!$S$2:$S$499,$A390)</f>
        <v>#DIV/0!</v>
      </c>
      <c r="F390" t="e">
        <f>AVERAGEIFS('Region 25'!$W$2:$W$499,'Region 25'!$A$2:$A$499,F$1,'Region 25'!$X$2:$X$499,$D390,'Region 25'!$S$2:$S$499,$A390)</f>
        <v>#DIV/0!</v>
      </c>
      <c r="G390" t="e">
        <f>AVERAGEIFS('Region 25'!$W$2:$W$499,'Region 25'!$A$2:$A$499,G$1,'Region 25'!$X$2:$X$499,$D390,'Region 25'!$S$2:$S$499,$A390)</f>
        <v>#DIV/0!</v>
      </c>
      <c r="H390" t="e">
        <f>AVERAGEIFS('Region 25'!$W$2:$W$499,'Region 25'!$A$2:$A$499,H$1,'Region 25'!$X$2:$X$499,$D390,'Region 25'!$S$2:$S$499,$A390)</f>
        <v>#DIV/0!</v>
      </c>
      <c r="I390" t="e">
        <f>AVERAGEIFS('Region 25'!$W$2:$W$499,'Region 25'!$A$2:$A$499,I$1,'Region 25'!$X$2:$X$499,$D390,'Region 25'!$S$2:$S$499,$A390)</f>
        <v>#DIV/0!</v>
      </c>
      <c r="J390" t="e">
        <f>AVERAGEIFS('Region 25'!$W$2:$W$499,'Region 25'!$A$2:$A$499,J$1,'Region 25'!$X$2:$X$499,$D390,'Region 25'!$S$2:$S$499,$A390)</f>
        <v>#DIV/0!</v>
      </c>
      <c r="K390" t="e">
        <f>AVERAGEIFS('Region 25'!$W$2:$W$499,'Region 25'!$A$2:$A$499,K$1,'Region 25'!$X$2:$X$499,$D390,'Region 25'!$S$2:$S$499,$A390)</f>
        <v>#DIV/0!</v>
      </c>
      <c r="L390" t="e">
        <f>AVERAGEIFS('Region 25'!$W$2:$W$499,'Region 25'!$A$2:$A$499,L$1,'Region 25'!$X$2:$X$499,$D390,'Region 25'!$S$2:$S$499,$A390)</f>
        <v>#DIV/0!</v>
      </c>
      <c r="M390" t="e">
        <f>AVERAGEIFS('Region 25'!$W$2:$W$499,'Region 25'!$A$2:$A$499,M$1,'Region 25'!$X$2:$X$499,$D390,'Region 25'!$S$2:$S$499,$A390)</f>
        <v>#DIV/0!</v>
      </c>
      <c r="N390" t="e">
        <f>AVERAGEIFS('Region 25'!$W$2:$W$499,'Region 25'!$A$2:$A$499,N$1,'Region 25'!$X$2:$X$499,$D390,'Region 25'!$S$2:$S$499,$A390)</f>
        <v>#DIV/0!</v>
      </c>
      <c r="Q390" t="str">
        <f t="shared" si="305"/>
        <v>Copper</v>
      </c>
      <c r="R390" t="str">
        <f t="shared" si="306"/>
        <v>Appartments</v>
      </c>
      <c r="S390">
        <f t="shared" si="307"/>
        <v>25</v>
      </c>
      <c r="T390" t="str">
        <f t="shared" si="365"/>
        <v>-</v>
      </c>
      <c r="U390" t="str">
        <f t="shared" si="366"/>
        <v>-</v>
      </c>
      <c r="V390" t="str">
        <f t="shared" si="367"/>
        <v>-</v>
      </c>
      <c r="W390" t="str">
        <f t="shared" si="368"/>
        <v>-</v>
      </c>
      <c r="X390" t="str">
        <f t="shared" si="369"/>
        <v>-</v>
      </c>
      <c r="Y390" t="str">
        <f t="shared" si="370"/>
        <v>-</v>
      </c>
      <c r="Z390" t="str">
        <f t="shared" si="371"/>
        <v>-</v>
      </c>
      <c r="AA390" t="str">
        <f t="shared" si="372"/>
        <v>-</v>
      </c>
      <c r="AB390" t="str">
        <f t="shared" si="373"/>
        <v>-</v>
      </c>
      <c r="AC390" t="str">
        <f t="shared" si="374"/>
        <v>-</v>
      </c>
    </row>
    <row r="391" spans="1:29" x14ac:dyDescent="0.3">
      <c r="A391" t="s">
        <v>414</v>
      </c>
      <c r="B391" t="str">
        <f t="shared" si="355"/>
        <v>Appartments</v>
      </c>
      <c r="C391">
        <f t="shared" ref="C391:D391" si="378">C183</f>
        <v>26</v>
      </c>
      <c r="D391">
        <f t="shared" si="378"/>
        <v>3</v>
      </c>
      <c r="E391" t="e">
        <f ca="1">AVERAGEIFS('Region 26'!$W$2:$W$500,'Region 26'!$A$2:$A$500,E$1,'Region 26'!$X$2:$X$500,$D391,'Region 26'!$S$2:$S$500,$A391)</f>
        <v>#DIV/0!</v>
      </c>
      <c r="F391" t="e">
        <f ca="1">AVERAGEIFS('Region 26'!$W$2:$W$500,'Region 26'!$A$2:$A$500,F$1,'Region 26'!$X$2:$X$500,$D391,'Region 26'!$S$2:$S$500,$A391)</f>
        <v>#DIV/0!</v>
      </c>
      <c r="G391" t="e">
        <f ca="1">AVERAGEIFS('Region 26'!$W$2:$W$500,'Region 26'!$A$2:$A$500,G$1,'Region 26'!$X$2:$X$500,$D391,'Region 26'!$S$2:$S$500,$A391)</f>
        <v>#DIV/0!</v>
      </c>
      <c r="H391" t="e">
        <f ca="1">AVERAGEIFS('Region 26'!$W$2:$W$500,'Region 26'!$A$2:$A$500,H$1,'Region 26'!$X$2:$X$500,$D391,'Region 26'!$S$2:$S$500,$A391)</f>
        <v>#DIV/0!</v>
      </c>
      <c r="I391" t="e">
        <f ca="1">AVERAGEIFS('Region 26'!$W$2:$W$500,'Region 26'!$A$2:$A$500,I$1,'Region 26'!$X$2:$X$500,$D391,'Region 26'!$S$2:$S$500,$A391)</f>
        <v>#DIV/0!</v>
      </c>
      <c r="J391" t="e">
        <f ca="1">AVERAGEIFS('Region 26'!$W$2:$W$500,'Region 26'!$A$2:$A$500,J$1,'Region 26'!$X$2:$X$500,$D391,'Region 26'!$S$2:$S$500,$A391)</f>
        <v>#DIV/0!</v>
      </c>
      <c r="K391" t="e">
        <f ca="1">AVERAGEIFS('Region 26'!$W$2:$W$500,'Region 26'!$A$2:$A$500,K$1,'Region 26'!$X$2:$X$500,$D391,'Region 26'!$S$2:$S$500,$A391)</f>
        <v>#DIV/0!</v>
      </c>
      <c r="L391" t="e">
        <f ca="1">AVERAGEIFS('Region 26'!$W$2:$W$500,'Region 26'!$A$2:$A$500,L$1,'Region 26'!$X$2:$X$500,$D391,'Region 26'!$S$2:$S$500,$A391)</f>
        <v>#DIV/0!</v>
      </c>
      <c r="M391" t="e">
        <f ca="1">AVERAGEIFS('Region 26'!$W$2:$W$500,'Region 26'!$A$2:$A$500,M$1,'Region 26'!$X$2:$X$500,$D391,'Region 26'!$S$2:$S$500,$A391)</f>
        <v>#DIV/0!</v>
      </c>
      <c r="N391" t="e">
        <f ca="1">AVERAGEIFS('Region 26'!$W$2:$W$500,'Region 26'!$A$2:$A$500,N$1,'Region 26'!$X$2:$X$500,$D391,'Region 26'!$S$2:$S$500,$A391)</f>
        <v>#DIV/0!</v>
      </c>
      <c r="Q391" t="str">
        <f t="shared" si="305"/>
        <v>Copper</v>
      </c>
      <c r="R391" t="str">
        <f t="shared" si="306"/>
        <v>Appartments</v>
      </c>
      <c r="S391">
        <f t="shared" si="307"/>
        <v>26</v>
      </c>
      <c r="T391" t="str">
        <f t="shared" ca="1" si="365"/>
        <v>-</v>
      </c>
      <c r="U391" t="str">
        <f t="shared" ca="1" si="366"/>
        <v>-</v>
      </c>
      <c r="V391" t="str">
        <f t="shared" ca="1" si="367"/>
        <v>-</v>
      </c>
      <c r="W391" t="str">
        <f t="shared" ca="1" si="368"/>
        <v>-</v>
      </c>
      <c r="X391" t="str">
        <f t="shared" ca="1" si="369"/>
        <v>-</v>
      </c>
      <c r="Y391" t="str">
        <f t="shared" ca="1" si="370"/>
        <v>-</v>
      </c>
      <c r="Z391" t="str">
        <f t="shared" ca="1" si="371"/>
        <v>-</v>
      </c>
      <c r="AA391" t="str">
        <f t="shared" ca="1" si="372"/>
        <v>-</v>
      </c>
      <c r="AB391" t="str">
        <f t="shared" ca="1" si="373"/>
        <v>-</v>
      </c>
      <c r="AC391" t="str">
        <f t="shared" ca="1" si="374"/>
        <v>-</v>
      </c>
    </row>
    <row r="392" spans="1:29" x14ac:dyDescent="0.3">
      <c r="A392" t="s">
        <v>414</v>
      </c>
      <c r="B392" t="str">
        <f t="shared" si="355"/>
        <v>High-rise</v>
      </c>
      <c r="C392">
        <f t="shared" ref="C392:D392" si="379">C184</f>
        <v>1</v>
      </c>
      <c r="D392">
        <f t="shared" si="379"/>
        <v>4</v>
      </c>
      <c r="E392" t="e">
        <f>AVERAGEIFS('Region 1'!$W$2:$W$498,'Region 1'!$A$2:$A$498,E$1,'Region 1'!$X$2:$X$498,$D392,'Region 1'!$S$2:$S$498,$A392)</f>
        <v>#DIV/0!</v>
      </c>
      <c r="F392" t="e">
        <f>AVERAGEIFS('Region 1'!$W$2:$W$498,'Region 1'!$A$2:$A$498,F$1,'Region 1'!$X$2:$X$498,$D392,'Region 1'!$S$2:$S$498,$A392)</f>
        <v>#DIV/0!</v>
      </c>
      <c r="G392" t="e">
        <f>AVERAGEIFS('Region 1'!$W$2:$W$498,'Region 1'!$A$2:$A$498,G$1,'Region 1'!$X$2:$X$498,$D392,'Region 1'!$S$2:$S$498,$A392)</f>
        <v>#DIV/0!</v>
      </c>
      <c r="H392" t="e">
        <f>AVERAGEIFS('Region 1'!$W$2:$W$498,'Region 1'!$A$2:$A$498,H$1,'Region 1'!$X$2:$X$498,$D392,'Region 1'!$S$2:$S$498,$A392)</f>
        <v>#DIV/0!</v>
      </c>
      <c r="I392" t="e">
        <f>AVERAGEIFS('Region 1'!$W$2:$W$498,'Region 1'!$A$2:$A$498,I$1,'Region 1'!$X$2:$X$498,$D392,'Region 1'!$S$2:$S$498,$A392)</f>
        <v>#DIV/0!</v>
      </c>
      <c r="J392" t="e">
        <f>AVERAGEIFS('Region 1'!$W$2:$W$498,'Region 1'!$A$2:$A$498,J$1,'Region 1'!$X$2:$X$498,$D392,'Region 1'!$S$2:$S$498,$A392)</f>
        <v>#DIV/0!</v>
      </c>
      <c r="K392" t="e">
        <f>AVERAGEIFS('Region 1'!$W$2:$W$498,'Region 1'!$A$2:$A$498,K$1,'Region 1'!$X$2:$X$498,$D392,'Region 1'!$S$2:$S$498,$A392)</f>
        <v>#DIV/0!</v>
      </c>
      <c r="L392" t="e">
        <f>AVERAGEIFS('Region 1'!$W$2:$W$498,'Region 1'!$A$2:$A$498,L$1,'Region 1'!$X$2:$X$498,$D392,'Region 1'!$S$2:$S$498,$A392)</f>
        <v>#DIV/0!</v>
      </c>
      <c r="M392" t="e">
        <f>AVERAGEIFS('Region 1'!$W$2:$W$498,'Region 1'!$A$2:$A$498,M$1,'Region 1'!$X$2:$X$498,$D392,'Region 1'!$S$2:$S$498,$A392)</f>
        <v>#DIV/0!</v>
      </c>
      <c r="N392" t="e">
        <f>AVERAGEIFS('Region 1'!$W$2:$W$498,'Region 1'!$A$2:$A$498,N$1,'Region 1'!$X$2:$X$498,$D392,'Region 1'!$S$2:$S$498,$A392)</f>
        <v>#DIV/0!</v>
      </c>
      <c r="Q392" t="str">
        <f t="shared" si="305"/>
        <v>Copper</v>
      </c>
      <c r="R392" t="str">
        <f t="shared" si="306"/>
        <v>High-rise</v>
      </c>
      <c r="S392">
        <f t="shared" si="307"/>
        <v>1</v>
      </c>
      <c r="T392" t="str">
        <f t="shared" si="365"/>
        <v>-</v>
      </c>
      <c r="U392" t="str">
        <f t="shared" si="366"/>
        <v>-</v>
      </c>
      <c r="V392" t="str">
        <f t="shared" si="367"/>
        <v>-</v>
      </c>
      <c r="W392" t="str">
        <f t="shared" si="368"/>
        <v>-</v>
      </c>
      <c r="X392" t="str">
        <f t="shared" si="369"/>
        <v>-</v>
      </c>
      <c r="Y392" t="str">
        <f t="shared" si="370"/>
        <v>-</v>
      </c>
      <c r="Z392" t="str">
        <f t="shared" si="371"/>
        <v>-</v>
      </c>
      <c r="AA392" t="str">
        <f t="shared" si="372"/>
        <v>-</v>
      </c>
      <c r="AB392" t="str">
        <f t="shared" si="373"/>
        <v>-</v>
      </c>
      <c r="AC392" t="str">
        <f t="shared" si="374"/>
        <v>-</v>
      </c>
    </row>
    <row r="393" spans="1:29" x14ac:dyDescent="0.3">
      <c r="A393" t="s">
        <v>414</v>
      </c>
      <c r="B393" t="str">
        <f t="shared" si="355"/>
        <v>High-rise</v>
      </c>
      <c r="C393">
        <f t="shared" ref="C393:D393" si="380">C185</f>
        <v>2</v>
      </c>
      <c r="D393">
        <f t="shared" si="380"/>
        <v>4</v>
      </c>
      <c r="E393" t="e">
        <f>AVERAGEIFS('Region 2'!$W$2:$W$498,'Region 2'!$A$2:$A$498,E$1,'Region 2'!$X$2:$X$498,$D393,'Region 2'!$S$2:$S$498,$A393)</f>
        <v>#DIV/0!</v>
      </c>
      <c r="F393" t="e">
        <f>AVERAGEIFS('Region 2'!$W$2:$W$498,'Region 2'!$A$2:$A$498,F$1,'Region 2'!$X$2:$X$498,$D393,'Region 2'!$S$2:$S$498,$A393)</f>
        <v>#DIV/0!</v>
      </c>
      <c r="G393" t="e">
        <f>AVERAGEIFS('Region 2'!$W$2:$W$498,'Region 2'!$A$2:$A$498,G$1,'Region 2'!$X$2:$X$498,$D393,'Region 2'!$S$2:$S$498,$A393)</f>
        <v>#DIV/0!</v>
      </c>
      <c r="H393" t="e">
        <f>AVERAGEIFS('Region 2'!$W$2:$W$498,'Region 2'!$A$2:$A$498,H$1,'Region 2'!$X$2:$X$498,$D393,'Region 2'!$S$2:$S$498,$A393)</f>
        <v>#DIV/0!</v>
      </c>
      <c r="I393" t="e">
        <f>AVERAGEIFS('Region 2'!$W$2:$W$498,'Region 2'!$A$2:$A$498,I$1,'Region 2'!$X$2:$X$498,$D393,'Region 2'!$S$2:$S$498,$A393)</f>
        <v>#DIV/0!</v>
      </c>
      <c r="J393" t="e">
        <f>AVERAGEIFS('Region 2'!$W$2:$W$498,'Region 2'!$A$2:$A$498,J$1,'Region 2'!$X$2:$X$498,$D393,'Region 2'!$S$2:$S$498,$A393)</f>
        <v>#DIV/0!</v>
      </c>
      <c r="K393" t="e">
        <f>AVERAGEIFS('Region 2'!$W$2:$W$498,'Region 2'!$A$2:$A$498,K$1,'Region 2'!$X$2:$X$498,$D393,'Region 2'!$S$2:$S$498,$A393)</f>
        <v>#DIV/0!</v>
      </c>
      <c r="L393" t="e">
        <f>AVERAGEIFS('Region 2'!$W$2:$W$498,'Region 2'!$A$2:$A$498,L$1,'Region 2'!$X$2:$X$498,$D393,'Region 2'!$S$2:$S$498,$A393)</f>
        <v>#DIV/0!</v>
      </c>
      <c r="M393" t="e">
        <f>AVERAGEIFS('Region 2'!$W$2:$W$498,'Region 2'!$A$2:$A$498,M$1,'Region 2'!$X$2:$X$498,$D393,'Region 2'!$S$2:$S$498,$A393)</f>
        <v>#DIV/0!</v>
      </c>
      <c r="N393" t="e">
        <f>AVERAGEIFS('Region 2'!$W$2:$W$498,'Region 2'!$A$2:$A$498,N$1,'Region 2'!$X$2:$X$498,$D393,'Region 2'!$S$2:$S$498,$A393)</f>
        <v>#DIV/0!</v>
      </c>
      <c r="Q393" t="str">
        <f t="shared" si="305"/>
        <v>Copper</v>
      </c>
      <c r="R393" t="str">
        <f t="shared" si="306"/>
        <v>High-rise</v>
      </c>
      <c r="S393">
        <f t="shared" si="307"/>
        <v>2</v>
      </c>
      <c r="T393" t="str">
        <f t="shared" si="365"/>
        <v>-</v>
      </c>
      <c r="U393" t="str">
        <f t="shared" si="366"/>
        <v>-</v>
      </c>
      <c r="V393" t="str">
        <f t="shared" si="367"/>
        <v>-</v>
      </c>
      <c r="W393" t="str">
        <f t="shared" si="368"/>
        <v>-</v>
      </c>
      <c r="X393" t="str">
        <f t="shared" si="369"/>
        <v>-</v>
      </c>
      <c r="Y393" t="str">
        <f t="shared" si="370"/>
        <v>-</v>
      </c>
      <c r="Z393" t="str">
        <f t="shared" si="371"/>
        <v>-</v>
      </c>
      <c r="AA393" t="str">
        <f t="shared" si="372"/>
        <v>-</v>
      </c>
      <c r="AB393" t="str">
        <f t="shared" si="373"/>
        <v>-</v>
      </c>
      <c r="AC393" t="str">
        <f t="shared" si="374"/>
        <v>-</v>
      </c>
    </row>
    <row r="394" spans="1:29" x14ac:dyDescent="0.3">
      <c r="A394" t="s">
        <v>414</v>
      </c>
      <c r="B394" t="str">
        <f t="shared" si="355"/>
        <v>High-rise</v>
      </c>
      <c r="C394">
        <f t="shared" ref="C394:D394" si="381">C186</f>
        <v>3</v>
      </c>
      <c r="D394">
        <f t="shared" si="381"/>
        <v>4</v>
      </c>
      <c r="E394" t="e">
        <f ca="1">AVERAGEIFS('Region 3'!$W$2:$W$500,'Region 3'!$A$2:$A$500,E$1,'Region 3'!$X$2:$X$500,$D394,'Region 3'!$S$2:$S$500,$A394)</f>
        <v>#DIV/0!</v>
      </c>
      <c r="F394" t="e">
        <f ca="1">AVERAGEIFS('Region 3'!$W$2:$W$500,'Region 3'!$A$2:$A$500,F$1,'Region 3'!$X$2:$X$500,$D394,'Region 3'!$S$2:$S$500,$A394)</f>
        <v>#DIV/0!</v>
      </c>
      <c r="G394" t="e">
        <f ca="1">AVERAGEIFS('Region 3'!$W$2:$W$500,'Region 3'!$A$2:$A$500,G$1,'Region 3'!$X$2:$X$500,$D394,'Region 3'!$S$2:$S$500,$A394)</f>
        <v>#DIV/0!</v>
      </c>
      <c r="H394" t="e">
        <f ca="1">AVERAGEIFS('Region 3'!$W$2:$W$500,'Region 3'!$A$2:$A$500,H$1,'Region 3'!$X$2:$X$500,$D394,'Region 3'!$S$2:$S$500,$A394)</f>
        <v>#DIV/0!</v>
      </c>
      <c r="I394" t="e">
        <f ca="1">AVERAGEIFS('Region 3'!$W$2:$W$500,'Region 3'!$A$2:$A$500,I$1,'Region 3'!$X$2:$X$500,$D394,'Region 3'!$S$2:$S$500,$A394)</f>
        <v>#DIV/0!</v>
      </c>
      <c r="J394" t="e">
        <f ca="1">AVERAGEIFS('Region 3'!$W$2:$W$500,'Region 3'!$A$2:$A$500,J$1,'Region 3'!$X$2:$X$500,$D394,'Region 3'!$S$2:$S$500,$A394)</f>
        <v>#DIV/0!</v>
      </c>
      <c r="K394" t="e">
        <f ca="1">AVERAGEIFS('Region 3'!$W$2:$W$500,'Region 3'!$A$2:$A$500,K$1,'Region 3'!$X$2:$X$500,$D394,'Region 3'!$S$2:$S$500,$A394)</f>
        <v>#DIV/0!</v>
      </c>
      <c r="L394" t="e">
        <f ca="1">AVERAGEIFS('Region 3'!$W$2:$W$500,'Region 3'!$A$2:$A$500,L$1,'Region 3'!$X$2:$X$500,$D394,'Region 3'!$S$2:$S$500,$A394)</f>
        <v>#DIV/0!</v>
      </c>
      <c r="M394" t="e">
        <f ca="1">AVERAGEIFS('Region 3'!$W$2:$W$500,'Region 3'!$A$2:$A$500,M$1,'Region 3'!$X$2:$X$500,$D394,'Region 3'!$S$2:$S$500,$A394)</f>
        <v>#DIV/0!</v>
      </c>
      <c r="N394" t="e">
        <f ca="1">AVERAGEIFS('Region 3'!$W$2:$W$500,'Region 3'!$A$2:$A$500,N$1,'Region 3'!$X$2:$X$500,$D394,'Region 3'!$S$2:$S$500,$A394)</f>
        <v>#DIV/0!</v>
      </c>
      <c r="Q394" t="str">
        <f t="shared" si="305"/>
        <v>Copper</v>
      </c>
      <c r="R394" t="str">
        <f t="shared" si="306"/>
        <v>High-rise</v>
      </c>
      <c r="S394">
        <f t="shared" si="307"/>
        <v>3</v>
      </c>
      <c r="T394" t="str">
        <f t="shared" ca="1" si="365"/>
        <v>-</v>
      </c>
      <c r="U394" t="str">
        <f t="shared" ca="1" si="366"/>
        <v>-</v>
      </c>
      <c r="V394" t="str">
        <f t="shared" ca="1" si="367"/>
        <v>-</v>
      </c>
      <c r="W394" t="str">
        <f t="shared" ca="1" si="368"/>
        <v>-</v>
      </c>
      <c r="X394" t="str">
        <f t="shared" ca="1" si="369"/>
        <v>-</v>
      </c>
      <c r="Y394" t="str">
        <f t="shared" ca="1" si="370"/>
        <v>-</v>
      </c>
      <c r="Z394" t="str">
        <f t="shared" ca="1" si="371"/>
        <v>-</v>
      </c>
      <c r="AA394" t="str">
        <f t="shared" ca="1" si="372"/>
        <v>-</v>
      </c>
      <c r="AB394" t="str">
        <f t="shared" ca="1" si="373"/>
        <v>-</v>
      </c>
      <c r="AC394" t="str">
        <f t="shared" ca="1" si="374"/>
        <v>-</v>
      </c>
    </row>
    <row r="395" spans="1:29" x14ac:dyDescent="0.3">
      <c r="A395" t="s">
        <v>414</v>
      </c>
      <c r="B395" t="str">
        <f t="shared" si="355"/>
        <v>High-rise</v>
      </c>
      <c r="C395">
        <f t="shared" ref="C395:D395" si="382">C187</f>
        <v>4</v>
      </c>
      <c r="D395">
        <f t="shared" si="382"/>
        <v>4</v>
      </c>
      <c r="E395" t="e">
        <f>AVERAGEIFS('Region 4'!$W$2:$W$10,'Region 4'!$A$2:$A$10,E$1,'Region 4'!$X$2:$X$10,$D395,'Region 4'!$S$2:$S$10,$A395)</f>
        <v>#DIV/0!</v>
      </c>
      <c r="F395" t="e">
        <f>AVERAGEIFS('Region 4'!$W$2:$W$10,'Region 4'!$A$2:$A$10,F$1,'Region 4'!$X$2:$X$10,$D395,'Region 4'!$S$2:$S$10,$A395)</f>
        <v>#DIV/0!</v>
      </c>
      <c r="G395" t="e">
        <f>AVERAGEIFS('Region 4'!$W$2:$W$10,'Region 4'!$A$2:$A$10,G$1,'Region 4'!$X$2:$X$10,$D395,'Region 4'!$S$2:$S$10,$A395)</f>
        <v>#DIV/0!</v>
      </c>
      <c r="H395" t="e">
        <f>AVERAGEIFS('Region 4'!$W$2:$W$10,'Region 4'!$A$2:$A$10,H$1,'Region 4'!$X$2:$X$10,$D395,'Region 4'!$S$2:$S$10,$A395)</f>
        <v>#DIV/0!</v>
      </c>
      <c r="I395" t="e">
        <f>AVERAGEIFS('Region 4'!$W$2:$W$10,'Region 4'!$A$2:$A$10,I$1,'Region 4'!$X$2:$X$10,$D395,'Region 4'!$S$2:$S$10,$A395)</f>
        <v>#DIV/0!</v>
      </c>
      <c r="J395" t="e">
        <f>AVERAGEIFS('Region 4'!$W$2:$W$10,'Region 4'!$A$2:$A$10,J$1,'Region 4'!$X$2:$X$10,$D395,'Region 4'!$S$2:$S$10,$A395)</f>
        <v>#DIV/0!</v>
      </c>
      <c r="K395" t="e">
        <f>AVERAGEIFS('Region 4'!$W$2:$W$10,'Region 4'!$A$2:$A$10,K$1,'Region 4'!$X$2:$X$10,$D395,'Region 4'!$S$2:$S$10,$A395)</f>
        <v>#DIV/0!</v>
      </c>
      <c r="L395" t="e">
        <f>AVERAGEIFS('Region 4'!$W$2:$W$10,'Region 4'!$A$2:$A$10,L$1,'Region 4'!$X$2:$X$10,$D395,'Region 4'!$S$2:$S$10,$A395)</f>
        <v>#DIV/0!</v>
      </c>
      <c r="M395" t="e">
        <f>AVERAGEIFS('Region 4'!$W$2:$W$10,'Region 4'!$A$2:$A$10,M$1,'Region 4'!$X$2:$X$10,$D395,'Region 4'!$S$2:$S$10,$A395)</f>
        <v>#DIV/0!</v>
      </c>
      <c r="N395" t="e">
        <f>AVERAGEIFS('Region 4'!$W$2:$W$10,'Region 4'!$A$2:$A$10,N$1,'Region 4'!$X$2:$X$10,$D395,'Region 4'!$S$2:$S$10,$A395)</f>
        <v>#DIV/0!</v>
      </c>
      <c r="Q395" t="str">
        <f t="shared" ref="Q395:Q458" si="383">A395</f>
        <v>Copper</v>
      </c>
      <c r="R395" t="str">
        <f t="shared" ref="R395:R458" si="384">B395</f>
        <v>High-rise</v>
      </c>
      <c r="S395">
        <f t="shared" ref="S395:S458" si="385">C395</f>
        <v>4</v>
      </c>
      <c r="T395" t="str">
        <f t="shared" si="365"/>
        <v>-</v>
      </c>
      <c r="U395" t="str">
        <f t="shared" si="366"/>
        <v>-</v>
      </c>
      <c r="V395" t="str">
        <f t="shared" si="367"/>
        <v>-</v>
      </c>
      <c r="W395" t="str">
        <f t="shared" si="368"/>
        <v>-</v>
      </c>
      <c r="X395" t="str">
        <f t="shared" si="369"/>
        <v>-</v>
      </c>
      <c r="Y395" t="str">
        <f t="shared" si="370"/>
        <v>-</v>
      </c>
      <c r="Z395" t="str">
        <f t="shared" si="371"/>
        <v>-</v>
      </c>
      <c r="AA395" t="str">
        <f t="shared" si="372"/>
        <v>-</v>
      </c>
      <c r="AB395" t="str">
        <f t="shared" si="373"/>
        <v>-</v>
      </c>
      <c r="AC395" t="str">
        <f t="shared" si="374"/>
        <v>-</v>
      </c>
    </row>
    <row r="396" spans="1:29" x14ac:dyDescent="0.3">
      <c r="A396" t="s">
        <v>414</v>
      </c>
      <c r="B396" t="str">
        <f t="shared" si="355"/>
        <v>High-rise</v>
      </c>
      <c r="C396">
        <f t="shared" ref="C396:D396" si="386">C188</f>
        <v>5</v>
      </c>
      <c r="D396">
        <f t="shared" si="386"/>
        <v>4</v>
      </c>
      <c r="E396" t="e">
        <f>AVERAGEIFS('Region 5'!$W$2:$W$496,'Region 5'!$A$2:$A$496,E$1,'Region 5'!$X$2:$X$496,$D396,'Region 5'!$S$2:$S$496,$A396)</f>
        <v>#DIV/0!</v>
      </c>
      <c r="F396" t="e">
        <f>AVERAGEIFS('Region 5'!$W$2:$W$496,'Region 5'!$A$2:$A$496,F$1,'Region 5'!$X$2:$X$496,$D396,'Region 5'!$S$2:$S$496,$A396)</f>
        <v>#DIV/0!</v>
      </c>
      <c r="G396" t="e">
        <f>AVERAGEIFS('Region 5'!$W$2:$W$496,'Region 5'!$A$2:$A$496,G$1,'Region 5'!$X$2:$X$496,$D396,'Region 5'!$S$2:$S$496,$A396)</f>
        <v>#DIV/0!</v>
      </c>
      <c r="H396" t="e">
        <f>AVERAGEIFS('Region 5'!$W$2:$W$496,'Region 5'!$A$2:$A$496,H$1,'Region 5'!$X$2:$X$496,$D396,'Region 5'!$S$2:$S$496,$A396)</f>
        <v>#DIV/0!</v>
      </c>
      <c r="I396" t="e">
        <f>AVERAGEIFS('Region 5'!$W$2:$W$496,'Region 5'!$A$2:$A$496,I$1,'Region 5'!$X$2:$X$496,$D396,'Region 5'!$S$2:$S$496,$A396)</f>
        <v>#DIV/0!</v>
      </c>
      <c r="J396" t="e">
        <f>AVERAGEIFS('Region 5'!$W$2:$W$496,'Region 5'!$A$2:$A$496,J$1,'Region 5'!$X$2:$X$496,$D396,'Region 5'!$S$2:$S$496,$A396)</f>
        <v>#DIV/0!</v>
      </c>
      <c r="K396" t="e">
        <f>AVERAGEIFS('Region 5'!$W$2:$W$496,'Region 5'!$A$2:$A$496,K$1,'Region 5'!$X$2:$X$496,$D396,'Region 5'!$S$2:$S$496,$A396)</f>
        <v>#DIV/0!</v>
      </c>
      <c r="L396" t="e">
        <f>AVERAGEIFS('Region 5'!$W$2:$W$496,'Region 5'!$A$2:$A$496,L$1,'Region 5'!$X$2:$X$496,$D396,'Region 5'!$S$2:$S$496,$A396)</f>
        <v>#DIV/0!</v>
      </c>
      <c r="M396" t="e">
        <f>AVERAGEIFS('Region 5'!$W$2:$W$496,'Region 5'!$A$2:$A$496,M$1,'Region 5'!$X$2:$X$496,$D396,'Region 5'!$S$2:$S$496,$A396)</f>
        <v>#DIV/0!</v>
      </c>
      <c r="N396" t="e">
        <f>AVERAGEIFS('Region 5'!$W$2:$W$496,'Region 5'!$A$2:$A$496,N$1,'Region 5'!$X$2:$X$496,$D396,'Region 5'!$S$2:$S$496,$A396)</f>
        <v>#DIV/0!</v>
      </c>
      <c r="Q396" t="str">
        <f t="shared" si="383"/>
        <v>Copper</v>
      </c>
      <c r="R396" t="str">
        <f t="shared" si="384"/>
        <v>High-rise</v>
      </c>
      <c r="S396">
        <f t="shared" si="385"/>
        <v>5</v>
      </c>
      <c r="T396" t="str">
        <f t="shared" si="365"/>
        <v>-</v>
      </c>
      <c r="U396" t="str">
        <f t="shared" si="366"/>
        <v>-</v>
      </c>
      <c r="V396" t="str">
        <f t="shared" si="367"/>
        <v>-</v>
      </c>
      <c r="W396" t="str">
        <f t="shared" si="368"/>
        <v>-</v>
      </c>
      <c r="X396" t="str">
        <f t="shared" si="369"/>
        <v>-</v>
      </c>
      <c r="Y396" t="str">
        <f t="shared" si="370"/>
        <v>-</v>
      </c>
      <c r="Z396" t="str">
        <f t="shared" si="371"/>
        <v>-</v>
      </c>
      <c r="AA396" t="str">
        <f t="shared" si="372"/>
        <v>-</v>
      </c>
      <c r="AB396" t="str">
        <f t="shared" si="373"/>
        <v>-</v>
      </c>
      <c r="AC396" t="str">
        <f t="shared" si="374"/>
        <v>-</v>
      </c>
    </row>
    <row r="397" spans="1:29" x14ac:dyDescent="0.3">
      <c r="A397" t="s">
        <v>414</v>
      </c>
      <c r="B397" t="str">
        <f t="shared" si="355"/>
        <v>High-rise</v>
      </c>
      <c r="C397">
        <f t="shared" ref="C397:D397" si="387">C189</f>
        <v>6</v>
      </c>
      <c r="D397">
        <f t="shared" si="387"/>
        <v>4</v>
      </c>
      <c r="E397" t="e">
        <f>AVERAGEIFS('Region 6'!$W$2:$W$496,'Region 6'!$A$2:$A$496,E$1,'Region 6'!$X$2:$X$496,$D397,'Region 6'!$S$2:$S$496,$A397)</f>
        <v>#DIV/0!</v>
      </c>
      <c r="F397" t="e">
        <f>AVERAGEIFS('Region 6'!$W$2:$W$496,'Region 6'!$A$2:$A$496,F$1,'Region 6'!$X$2:$X$496,$D397,'Region 6'!$S$2:$S$496,$A397)</f>
        <v>#DIV/0!</v>
      </c>
      <c r="G397" t="e">
        <f>AVERAGEIFS('Region 6'!$W$2:$W$496,'Region 6'!$A$2:$A$496,G$1,'Region 6'!$X$2:$X$496,$D397,'Region 6'!$S$2:$S$496,$A397)</f>
        <v>#DIV/0!</v>
      </c>
      <c r="H397" t="e">
        <f>AVERAGEIFS('Region 6'!$W$2:$W$496,'Region 6'!$A$2:$A$496,H$1,'Region 6'!$X$2:$X$496,$D397,'Region 6'!$S$2:$S$496,$A397)</f>
        <v>#DIV/0!</v>
      </c>
      <c r="I397" t="e">
        <f>AVERAGEIFS('Region 6'!$W$2:$W$496,'Region 6'!$A$2:$A$496,I$1,'Region 6'!$X$2:$X$496,$D397,'Region 6'!$S$2:$S$496,$A397)</f>
        <v>#DIV/0!</v>
      </c>
      <c r="J397" t="e">
        <f>AVERAGEIFS('Region 6'!$W$2:$W$496,'Region 6'!$A$2:$A$496,J$1,'Region 6'!$X$2:$X$496,$D397,'Region 6'!$S$2:$S$496,$A397)</f>
        <v>#DIV/0!</v>
      </c>
      <c r="K397" t="e">
        <f>AVERAGEIFS('Region 6'!$W$2:$W$496,'Region 6'!$A$2:$A$496,K$1,'Region 6'!$X$2:$X$496,$D397,'Region 6'!$S$2:$S$496,$A397)</f>
        <v>#DIV/0!</v>
      </c>
      <c r="L397" t="e">
        <f>AVERAGEIFS('Region 6'!$W$2:$W$496,'Region 6'!$A$2:$A$496,L$1,'Region 6'!$X$2:$X$496,$D397,'Region 6'!$S$2:$S$496,$A397)</f>
        <v>#DIV/0!</v>
      </c>
      <c r="M397" t="e">
        <f>AVERAGEIFS('Region 6'!$W$2:$W$496,'Region 6'!$A$2:$A$496,M$1,'Region 6'!$X$2:$X$496,$D397,'Region 6'!$S$2:$S$496,$A397)</f>
        <v>#DIV/0!</v>
      </c>
      <c r="N397" t="e">
        <f>AVERAGEIFS('Region 6'!$W$2:$W$496,'Region 6'!$A$2:$A$496,N$1,'Region 6'!$X$2:$X$496,$D397,'Region 6'!$S$2:$S$496,$A397)</f>
        <v>#DIV/0!</v>
      </c>
      <c r="Q397" t="str">
        <f t="shared" si="383"/>
        <v>Copper</v>
      </c>
      <c r="R397" t="str">
        <f t="shared" si="384"/>
        <v>High-rise</v>
      </c>
      <c r="S397">
        <f t="shared" si="385"/>
        <v>6</v>
      </c>
      <c r="T397" t="str">
        <f t="shared" si="365"/>
        <v>-</v>
      </c>
      <c r="U397" t="str">
        <f t="shared" si="366"/>
        <v>-</v>
      </c>
      <c r="V397" t="str">
        <f t="shared" si="367"/>
        <v>-</v>
      </c>
      <c r="W397" t="str">
        <f t="shared" si="368"/>
        <v>-</v>
      </c>
      <c r="X397" t="str">
        <f t="shared" si="369"/>
        <v>-</v>
      </c>
      <c r="Y397" t="str">
        <f t="shared" si="370"/>
        <v>-</v>
      </c>
      <c r="Z397" t="str">
        <f t="shared" si="371"/>
        <v>-</v>
      </c>
      <c r="AA397" t="str">
        <f t="shared" si="372"/>
        <v>-</v>
      </c>
      <c r="AB397" t="str">
        <f t="shared" si="373"/>
        <v>-</v>
      </c>
      <c r="AC397" t="str">
        <f t="shared" si="374"/>
        <v>-</v>
      </c>
    </row>
    <row r="398" spans="1:29" x14ac:dyDescent="0.3">
      <c r="A398" t="s">
        <v>414</v>
      </c>
      <c r="B398" t="str">
        <f t="shared" si="355"/>
        <v>High-rise</v>
      </c>
      <c r="C398">
        <f t="shared" ref="C398:D398" si="388">C190</f>
        <v>7</v>
      </c>
      <c r="D398">
        <f t="shared" si="388"/>
        <v>4</v>
      </c>
      <c r="E398" t="e">
        <f ca="1">AVERAGEIFS('Region 7'!$W$2:$W$500,'Region 7'!$A$2:$A$500,E$1,'Region 7'!$X$2:$X$500,$D398,'Region 7'!$S$2:$S$500,$A398)</f>
        <v>#DIV/0!</v>
      </c>
      <c r="F398" t="e">
        <f ca="1">AVERAGEIFS('Region 7'!$W$2:$W$500,'Region 7'!$A$2:$A$500,F$1,'Region 7'!$X$2:$X$500,$D398,'Region 7'!$S$2:$S$500,$A398)</f>
        <v>#DIV/0!</v>
      </c>
      <c r="G398" t="e">
        <f ca="1">AVERAGEIFS('Region 7'!$W$2:$W$500,'Region 7'!$A$2:$A$500,G$1,'Region 7'!$X$2:$X$500,$D398,'Region 7'!$S$2:$S$500,$A398)</f>
        <v>#DIV/0!</v>
      </c>
      <c r="H398" t="e">
        <f ca="1">AVERAGEIFS('Region 7'!$W$2:$W$500,'Region 7'!$A$2:$A$500,H$1,'Region 7'!$X$2:$X$500,$D398,'Region 7'!$S$2:$S$500,$A398)</f>
        <v>#DIV/0!</v>
      </c>
      <c r="I398" t="e">
        <f ca="1">AVERAGEIFS('Region 7'!$W$2:$W$500,'Region 7'!$A$2:$A$500,I$1,'Region 7'!$X$2:$X$500,$D398,'Region 7'!$S$2:$S$500,$A398)</f>
        <v>#DIV/0!</v>
      </c>
      <c r="J398" t="e">
        <f ca="1">AVERAGEIFS('Region 7'!$W$2:$W$500,'Region 7'!$A$2:$A$500,J$1,'Region 7'!$X$2:$X$500,$D398,'Region 7'!$S$2:$S$500,$A398)</f>
        <v>#DIV/0!</v>
      </c>
      <c r="K398" t="e">
        <f ca="1">AVERAGEIFS('Region 7'!$W$2:$W$500,'Region 7'!$A$2:$A$500,K$1,'Region 7'!$X$2:$X$500,$D398,'Region 7'!$S$2:$S$500,$A398)</f>
        <v>#DIV/0!</v>
      </c>
      <c r="L398" t="e">
        <f ca="1">AVERAGEIFS('Region 7'!$W$2:$W$500,'Region 7'!$A$2:$A$500,L$1,'Region 7'!$X$2:$X$500,$D398,'Region 7'!$S$2:$S$500,$A398)</f>
        <v>#DIV/0!</v>
      </c>
      <c r="M398" t="e">
        <f ca="1">AVERAGEIFS('Region 7'!$W$2:$W$500,'Region 7'!$A$2:$A$500,M$1,'Region 7'!$X$2:$X$500,$D398,'Region 7'!$S$2:$S$500,$A398)</f>
        <v>#DIV/0!</v>
      </c>
      <c r="N398" t="e">
        <f ca="1">AVERAGEIFS('Region 7'!$W$2:$W$500,'Region 7'!$A$2:$A$500,N$1,'Region 7'!$X$2:$X$500,$D398,'Region 7'!$S$2:$S$500,$A398)</f>
        <v>#DIV/0!</v>
      </c>
      <c r="Q398" t="str">
        <f t="shared" si="383"/>
        <v>Copper</v>
      </c>
      <c r="R398" t="str">
        <f t="shared" si="384"/>
        <v>High-rise</v>
      </c>
      <c r="S398">
        <f t="shared" si="385"/>
        <v>7</v>
      </c>
      <c r="T398" t="str">
        <f t="shared" ca="1" si="365"/>
        <v>-</v>
      </c>
      <c r="U398" t="str">
        <f t="shared" ca="1" si="366"/>
        <v>-</v>
      </c>
      <c r="V398" t="str">
        <f t="shared" ca="1" si="367"/>
        <v>-</v>
      </c>
      <c r="W398" t="str">
        <f t="shared" ca="1" si="368"/>
        <v>-</v>
      </c>
      <c r="X398" t="str">
        <f t="shared" ca="1" si="369"/>
        <v>-</v>
      </c>
      <c r="Y398" t="str">
        <f t="shared" ca="1" si="370"/>
        <v>-</v>
      </c>
      <c r="Z398" t="str">
        <f t="shared" ca="1" si="371"/>
        <v>-</v>
      </c>
      <c r="AA398" t="str">
        <f t="shared" ca="1" si="372"/>
        <v>-</v>
      </c>
      <c r="AB398" t="str">
        <f t="shared" ca="1" si="373"/>
        <v>-</v>
      </c>
      <c r="AC398" t="str">
        <f t="shared" ca="1" si="374"/>
        <v>-</v>
      </c>
    </row>
    <row r="399" spans="1:29" x14ac:dyDescent="0.3">
      <c r="A399" t="s">
        <v>414</v>
      </c>
      <c r="B399" t="str">
        <f t="shared" si="355"/>
        <v>High-rise</v>
      </c>
      <c r="C399">
        <f t="shared" ref="C399:D399" si="389">C191</f>
        <v>8</v>
      </c>
      <c r="D399">
        <f t="shared" si="389"/>
        <v>4</v>
      </c>
      <c r="E399" t="e">
        <f>AVERAGEIFS('Region 8'!$W$2:$W$497,'Region 8'!$A$2:$A$497,E$1,'Region 8'!$X$2:$X$497,$D399,'Region 8'!$S$2:$S$497,$A399)</f>
        <v>#DIV/0!</v>
      </c>
      <c r="F399" t="e">
        <f>AVERAGEIFS('Region 8'!$W$2:$W$497,'Region 8'!$A$2:$A$497,F$1,'Region 8'!$X$2:$X$497,$D399,'Region 8'!$S$2:$S$497,$A399)</f>
        <v>#DIV/0!</v>
      </c>
      <c r="G399" t="e">
        <f>AVERAGEIFS('Region 8'!$W$2:$W$497,'Region 8'!$A$2:$A$497,G$1,'Region 8'!$X$2:$X$497,$D399,'Region 8'!$S$2:$S$497,$A399)</f>
        <v>#DIV/0!</v>
      </c>
      <c r="H399" t="e">
        <f>AVERAGEIFS('Region 8'!$W$2:$W$497,'Region 8'!$A$2:$A$497,H$1,'Region 8'!$X$2:$X$497,$D399,'Region 8'!$S$2:$S$497,$A399)</f>
        <v>#DIV/0!</v>
      </c>
      <c r="I399" t="e">
        <f>AVERAGEIFS('Region 8'!$W$2:$W$497,'Region 8'!$A$2:$A$497,I$1,'Region 8'!$X$2:$X$497,$D399,'Region 8'!$S$2:$S$497,$A399)</f>
        <v>#DIV/0!</v>
      </c>
      <c r="J399" t="e">
        <f>AVERAGEIFS('Region 8'!$W$2:$W$497,'Region 8'!$A$2:$A$497,J$1,'Region 8'!$X$2:$X$497,$D399,'Region 8'!$S$2:$S$497,$A399)</f>
        <v>#DIV/0!</v>
      </c>
      <c r="K399" t="e">
        <f>AVERAGEIFS('Region 8'!$W$2:$W$497,'Region 8'!$A$2:$A$497,K$1,'Region 8'!$X$2:$X$497,$D399,'Region 8'!$S$2:$S$497,$A399)</f>
        <v>#DIV/0!</v>
      </c>
      <c r="L399" t="e">
        <f>AVERAGEIFS('Region 8'!$W$2:$W$497,'Region 8'!$A$2:$A$497,L$1,'Region 8'!$X$2:$X$497,$D399,'Region 8'!$S$2:$S$497,$A399)</f>
        <v>#DIV/0!</v>
      </c>
      <c r="M399" t="e">
        <f>AVERAGEIFS('Region 8'!$W$2:$W$497,'Region 8'!$A$2:$A$497,M$1,'Region 8'!$X$2:$X$497,$D399,'Region 8'!$S$2:$S$497,$A399)</f>
        <v>#DIV/0!</v>
      </c>
      <c r="N399" t="e">
        <f>AVERAGEIFS('Region 8'!$W$2:$W$497,'Region 8'!$A$2:$A$497,N$1,'Region 8'!$X$2:$X$497,$D399,'Region 8'!$S$2:$S$497,$A399)</f>
        <v>#DIV/0!</v>
      </c>
      <c r="Q399" t="str">
        <f t="shared" si="383"/>
        <v>Copper</v>
      </c>
      <c r="R399" t="str">
        <f t="shared" si="384"/>
        <v>High-rise</v>
      </c>
      <c r="S399">
        <f t="shared" si="385"/>
        <v>8</v>
      </c>
      <c r="T399" t="str">
        <f t="shared" si="365"/>
        <v>-</v>
      </c>
      <c r="U399" t="str">
        <f t="shared" si="366"/>
        <v>-</v>
      </c>
      <c r="V399" t="str">
        <f t="shared" si="367"/>
        <v>-</v>
      </c>
      <c r="W399" t="str">
        <f t="shared" si="368"/>
        <v>-</v>
      </c>
      <c r="X399" t="str">
        <f t="shared" si="369"/>
        <v>-</v>
      </c>
      <c r="Y399" t="str">
        <f t="shared" si="370"/>
        <v>-</v>
      </c>
      <c r="Z399" t="str">
        <f t="shared" si="371"/>
        <v>-</v>
      </c>
      <c r="AA399" t="str">
        <f t="shared" si="372"/>
        <v>-</v>
      </c>
      <c r="AB399" t="str">
        <f t="shared" si="373"/>
        <v>-</v>
      </c>
      <c r="AC399" t="str">
        <f t="shared" si="374"/>
        <v>-</v>
      </c>
    </row>
    <row r="400" spans="1:29" x14ac:dyDescent="0.3">
      <c r="A400" t="s">
        <v>414</v>
      </c>
      <c r="B400" t="str">
        <f t="shared" si="355"/>
        <v>High-rise</v>
      </c>
      <c r="C400">
        <f t="shared" ref="C400:D400" si="390">C192</f>
        <v>9</v>
      </c>
      <c r="D400">
        <f t="shared" si="390"/>
        <v>4</v>
      </c>
      <c r="E400" t="e">
        <f ca="1">AVERAGEIFS('Region 9'!$W$2:$W$500,'Region 9'!$A$2:$A$500,E$1,'Region 9'!$X$2:$X$500,$D400,'Region 9'!$S$2:$S$500,$A400)</f>
        <v>#DIV/0!</v>
      </c>
      <c r="F400" t="e">
        <f ca="1">AVERAGEIFS('Region 9'!$W$2:$W$500,'Region 9'!$A$2:$A$500,F$1,'Region 9'!$X$2:$X$500,$D400,'Region 9'!$S$2:$S$500,$A400)</f>
        <v>#DIV/0!</v>
      </c>
      <c r="G400" t="e">
        <f ca="1">AVERAGEIFS('Region 9'!$W$2:$W$500,'Region 9'!$A$2:$A$500,G$1,'Region 9'!$X$2:$X$500,$D400,'Region 9'!$S$2:$S$500,$A400)</f>
        <v>#DIV/0!</v>
      </c>
      <c r="H400" t="e">
        <f ca="1">AVERAGEIFS('Region 9'!$W$2:$W$500,'Region 9'!$A$2:$A$500,H$1,'Region 9'!$X$2:$X$500,$D400,'Region 9'!$S$2:$S$500,$A400)</f>
        <v>#DIV/0!</v>
      </c>
      <c r="I400" t="e">
        <f ca="1">AVERAGEIFS('Region 9'!$W$2:$W$500,'Region 9'!$A$2:$A$500,I$1,'Region 9'!$X$2:$X$500,$D400,'Region 9'!$S$2:$S$500,$A400)</f>
        <v>#DIV/0!</v>
      </c>
      <c r="J400" t="e">
        <f ca="1">AVERAGEIFS('Region 9'!$W$2:$W$500,'Region 9'!$A$2:$A$500,J$1,'Region 9'!$X$2:$X$500,$D400,'Region 9'!$S$2:$S$500,$A400)</f>
        <v>#DIV/0!</v>
      </c>
      <c r="K400" t="e">
        <f ca="1">AVERAGEIFS('Region 9'!$W$2:$W$500,'Region 9'!$A$2:$A$500,K$1,'Region 9'!$X$2:$X$500,$D400,'Region 9'!$S$2:$S$500,$A400)</f>
        <v>#DIV/0!</v>
      </c>
      <c r="L400" t="e">
        <f ca="1">AVERAGEIFS('Region 9'!$W$2:$W$500,'Region 9'!$A$2:$A$500,L$1,'Region 9'!$X$2:$X$500,$D400,'Region 9'!$S$2:$S$500,$A400)</f>
        <v>#DIV/0!</v>
      </c>
      <c r="M400" t="e">
        <f ca="1">AVERAGEIFS('Region 9'!$W$2:$W$500,'Region 9'!$A$2:$A$500,M$1,'Region 9'!$X$2:$X$500,$D400,'Region 9'!$S$2:$S$500,$A400)</f>
        <v>#DIV/0!</v>
      </c>
      <c r="N400" t="e">
        <f ca="1">AVERAGEIFS('Region 9'!$W$2:$W$500,'Region 9'!$A$2:$A$500,N$1,'Region 9'!$X$2:$X$500,$D400,'Region 9'!$S$2:$S$500,$A400)</f>
        <v>#DIV/0!</v>
      </c>
      <c r="Q400" t="str">
        <f t="shared" si="383"/>
        <v>Copper</v>
      </c>
      <c r="R400" t="str">
        <f t="shared" si="384"/>
        <v>High-rise</v>
      </c>
      <c r="S400">
        <f t="shared" si="385"/>
        <v>9</v>
      </c>
      <c r="T400" t="str">
        <f t="shared" ca="1" si="365"/>
        <v>-</v>
      </c>
      <c r="U400" t="str">
        <f t="shared" ca="1" si="366"/>
        <v>-</v>
      </c>
      <c r="V400" t="str">
        <f t="shared" ca="1" si="367"/>
        <v>-</v>
      </c>
      <c r="W400" t="str">
        <f t="shared" ca="1" si="368"/>
        <v>-</v>
      </c>
      <c r="X400" t="str">
        <f t="shared" ca="1" si="369"/>
        <v>-</v>
      </c>
      <c r="Y400" t="str">
        <f t="shared" ca="1" si="370"/>
        <v>-</v>
      </c>
      <c r="Z400" t="str">
        <f t="shared" ca="1" si="371"/>
        <v>-</v>
      </c>
      <c r="AA400" t="str">
        <f t="shared" ca="1" si="372"/>
        <v>-</v>
      </c>
      <c r="AB400" t="str">
        <f t="shared" ca="1" si="373"/>
        <v>-</v>
      </c>
      <c r="AC400" t="str">
        <f t="shared" ca="1" si="374"/>
        <v>-</v>
      </c>
    </row>
    <row r="401" spans="1:29" x14ac:dyDescent="0.3">
      <c r="A401" t="s">
        <v>414</v>
      </c>
      <c r="B401" t="str">
        <f t="shared" si="355"/>
        <v>High-rise</v>
      </c>
      <c r="C401">
        <f t="shared" ref="C401:D401" si="391">C193</f>
        <v>10</v>
      </c>
      <c r="D401">
        <f t="shared" si="391"/>
        <v>4</v>
      </c>
      <c r="E401" t="e">
        <f>AVERAGEIFS('Region 10'!$W$2:$W$500,'Region 10'!$A$2:$A$500,E$1,'Region 10'!$X$2:$X$500,$D401,'Region 10'!$S$2:$S$500,$A401)</f>
        <v>#DIV/0!</v>
      </c>
      <c r="F401" t="e">
        <f>AVERAGEIFS('Region 10'!$W$2:$W$500,'Region 10'!$A$2:$A$500,F$1,'Region 10'!$X$2:$X$500,$D401,'Region 10'!$S$2:$S$500,$A401)</f>
        <v>#DIV/0!</v>
      </c>
      <c r="G401" t="e">
        <f>AVERAGEIFS('Region 10'!$W$2:$W$500,'Region 10'!$A$2:$A$500,G$1,'Region 10'!$X$2:$X$500,$D401,'Region 10'!$S$2:$S$500,$A401)</f>
        <v>#DIV/0!</v>
      </c>
      <c r="H401" t="e">
        <f>AVERAGEIFS('Region 10'!$W$2:$W$500,'Region 10'!$A$2:$A$500,H$1,'Region 10'!$X$2:$X$500,$D401,'Region 10'!$S$2:$S$500,$A401)</f>
        <v>#DIV/0!</v>
      </c>
      <c r="I401" t="e">
        <f>AVERAGEIFS('Region 10'!$W$2:$W$500,'Region 10'!$A$2:$A$500,I$1,'Region 10'!$X$2:$X$500,$D401,'Region 10'!$S$2:$S$500,$A401)</f>
        <v>#DIV/0!</v>
      </c>
      <c r="J401" t="e">
        <f>AVERAGEIFS('Region 10'!$W$2:$W$500,'Region 10'!$A$2:$A$500,J$1,'Region 10'!$X$2:$X$500,$D401,'Region 10'!$S$2:$S$500,$A401)</f>
        <v>#DIV/0!</v>
      </c>
      <c r="K401" t="e">
        <f>AVERAGEIFS('Region 10'!$W$2:$W$500,'Region 10'!$A$2:$A$500,K$1,'Region 10'!$X$2:$X$500,$D401,'Region 10'!$S$2:$S$500,$A401)</f>
        <v>#DIV/0!</v>
      </c>
      <c r="L401" t="e">
        <f>AVERAGEIFS('Region 10'!$W$2:$W$500,'Region 10'!$A$2:$A$500,L$1,'Region 10'!$X$2:$X$500,$D401,'Region 10'!$S$2:$S$500,$A401)</f>
        <v>#DIV/0!</v>
      </c>
      <c r="M401" t="e">
        <f>AVERAGEIFS('Region 10'!$W$2:$W$500,'Region 10'!$A$2:$A$500,M$1,'Region 10'!$X$2:$X$500,$D401,'Region 10'!$S$2:$S$500,$A401)</f>
        <v>#DIV/0!</v>
      </c>
      <c r="N401" t="e">
        <f>AVERAGEIFS('Region 10'!$W$2:$W$500,'Region 10'!$A$2:$A$500,N$1,'Region 10'!$X$2:$X$500,$D401,'Region 10'!$S$2:$S$500,$A401)</f>
        <v>#DIV/0!</v>
      </c>
      <c r="Q401" t="str">
        <f t="shared" si="383"/>
        <v>Copper</v>
      </c>
      <c r="R401" t="str">
        <f t="shared" si="384"/>
        <v>High-rise</v>
      </c>
      <c r="S401">
        <f t="shared" si="385"/>
        <v>10</v>
      </c>
      <c r="T401" t="str">
        <f t="shared" si="365"/>
        <v>-</v>
      </c>
      <c r="U401" t="str">
        <f t="shared" si="366"/>
        <v>-</v>
      </c>
      <c r="V401" t="str">
        <f t="shared" si="367"/>
        <v>-</v>
      </c>
      <c r="W401" t="str">
        <f t="shared" si="368"/>
        <v>-</v>
      </c>
      <c r="X401" t="str">
        <f t="shared" si="369"/>
        <v>-</v>
      </c>
      <c r="Y401" t="str">
        <f t="shared" si="370"/>
        <v>-</v>
      </c>
      <c r="Z401" t="str">
        <f t="shared" si="371"/>
        <v>-</v>
      </c>
      <c r="AA401" t="str">
        <f t="shared" si="372"/>
        <v>-</v>
      </c>
      <c r="AB401" t="str">
        <f t="shared" si="373"/>
        <v>-</v>
      </c>
      <c r="AC401" t="str">
        <f t="shared" si="374"/>
        <v>-</v>
      </c>
    </row>
    <row r="402" spans="1:29" x14ac:dyDescent="0.3">
      <c r="A402" t="s">
        <v>414</v>
      </c>
      <c r="B402" t="str">
        <f t="shared" si="355"/>
        <v>High-rise</v>
      </c>
      <c r="C402">
        <f t="shared" ref="C402:D402" si="392">C194</f>
        <v>11</v>
      </c>
      <c r="D402">
        <f t="shared" si="392"/>
        <v>4</v>
      </c>
      <c r="E402" t="e">
        <f>AVERAGEIFS('Region 11'!$W$2:$W$391,'Region 11'!$A$2:$A$391,E$1,'Region 11'!$X$2:$X$391,$D402,'Region 11'!$S$2:$S$391,$A402)</f>
        <v>#DIV/0!</v>
      </c>
      <c r="F402" t="e">
        <f>AVERAGEIFS('Region 11'!$W$2:$W$391,'Region 11'!$A$2:$A$391,F$1,'Region 11'!$X$2:$X$391,$D402,'Region 11'!$S$2:$S$391,$A402)</f>
        <v>#DIV/0!</v>
      </c>
      <c r="G402">
        <f>AVERAGEIFS('Region 11'!$W$2:$W$391,'Region 11'!$A$2:$A$391,G$1,'Region 11'!$X$2:$X$391,$D402,'Region 11'!$S$2:$S$391,$A402)</f>
        <v>1.3888888888888888E-2</v>
      </c>
      <c r="H402" t="e">
        <f>AVERAGEIFS('Region 11'!$W$2:$W$391,'Region 11'!$A$2:$A$391,H$1,'Region 11'!$X$2:$X$391,$D402,'Region 11'!$S$2:$S$391,$A402)</f>
        <v>#DIV/0!</v>
      </c>
      <c r="I402" t="e">
        <f>AVERAGEIFS('Region 11'!$W$2:$W$391,'Region 11'!$A$2:$A$391,I$1,'Region 11'!$X$2:$X$391,$D402,'Region 11'!$S$2:$S$391,$A402)</f>
        <v>#DIV/0!</v>
      </c>
      <c r="J402" t="e">
        <f>AVERAGEIFS('Region 11'!$W$2:$W$391,'Region 11'!$A$2:$A$391,J$1,'Region 11'!$X$2:$X$391,$D402,'Region 11'!$S$2:$S$391,$A402)</f>
        <v>#DIV/0!</v>
      </c>
      <c r="K402" t="e">
        <f>AVERAGEIFS('Region 11'!$W$2:$W$391,'Region 11'!$A$2:$A$391,K$1,'Region 11'!$X$2:$X$391,$D402,'Region 11'!$S$2:$S$391,$A402)</f>
        <v>#DIV/0!</v>
      </c>
      <c r="L402" t="e">
        <f>AVERAGEIFS('Region 11'!$W$2:$W$391,'Region 11'!$A$2:$A$391,L$1,'Region 11'!$X$2:$X$391,$D402,'Region 11'!$S$2:$S$391,$A402)</f>
        <v>#DIV/0!</v>
      </c>
      <c r="M402" t="e">
        <f>AVERAGEIFS('Region 11'!$W$2:$W$391,'Region 11'!$A$2:$A$391,M$1,'Region 11'!$X$2:$X$391,$D402,'Region 11'!$S$2:$S$391,$A402)</f>
        <v>#DIV/0!</v>
      </c>
      <c r="N402" t="e">
        <f>AVERAGEIFS('Region 11'!$W$2:$W$391,'Region 11'!$A$2:$A$391,N$1,'Region 11'!$X$2:$X$391,$D402,'Region 11'!$S$2:$S$391,$A402)</f>
        <v>#DIV/0!</v>
      </c>
      <c r="Q402" t="str">
        <f t="shared" si="383"/>
        <v>Copper</v>
      </c>
      <c r="R402" t="str">
        <f t="shared" si="384"/>
        <v>High-rise</v>
      </c>
      <c r="S402">
        <f t="shared" si="385"/>
        <v>11</v>
      </c>
      <c r="T402" t="str">
        <f t="shared" si="365"/>
        <v>-</v>
      </c>
      <c r="U402" t="str">
        <f t="shared" si="366"/>
        <v>-</v>
      </c>
      <c r="V402">
        <f t="shared" si="367"/>
        <v>1.3888888888888888E-2</v>
      </c>
      <c r="W402" t="str">
        <f t="shared" si="368"/>
        <v>-</v>
      </c>
      <c r="X402" t="str">
        <f t="shared" si="369"/>
        <v>-</v>
      </c>
      <c r="Y402" t="str">
        <f t="shared" si="370"/>
        <v>-</v>
      </c>
      <c r="Z402" t="str">
        <f t="shared" si="371"/>
        <v>-</v>
      </c>
      <c r="AA402" t="str">
        <f t="shared" si="372"/>
        <v>-</v>
      </c>
      <c r="AB402" t="str">
        <f t="shared" si="373"/>
        <v>-</v>
      </c>
      <c r="AC402" t="str">
        <f t="shared" si="374"/>
        <v>-</v>
      </c>
    </row>
    <row r="403" spans="1:29" x14ac:dyDescent="0.3">
      <c r="A403" t="s">
        <v>414</v>
      </c>
      <c r="B403" t="str">
        <f t="shared" si="355"/>
        <v>High-rise</v>
      </c>
      <c r="C403">
        <f t="shared" ref="C403:D403" si="393">C195</f>
        <v>12</v>
      </c>
      <c r="D403">
        <f t="shared" si="393"/>
        <v>4</v>
      </c>
      <c r="E403" t="e">
        <f>AVERAGEIFS('Region 12'!$W$2:$W$459,'Region 12'!$A$2:$A$459,E$1,'Region 12'!$X$2:$X$459,$D403,'Region 12'!$S$2:$S$459,$A403)</f>
        <v>#DIV/0!</v>
      </c>
      <c r="F403" t="e">
        <f>AVERAGEIFS('Region 12'!$W$2:$W$459,'Region 12'!$A$2:$A$459,F$1,'Region 12'!$X$2:$X$459,$D403,'Region 12'!$S$2:$S$459,$A403)</f>
        <v>#DIV/0!</v>
      </c>
      <c r="G403" t="e">
        <f>AVERAGEIFS('Region 12'!$W$2:$W$459,'Region 12'!$A$2:$A$459,G$1,'Region 12'!$X$2:$X$459,$D403,'Region 12'!$S$2:$S$459,$A403)</f>
        <v>#DIV/0!</v>
      </c>
      <c r="H403" t="e">
        <f>AVERAGEIFS('Region 12'!$W$2:$W$459,'Region 12'!$A$2:$A$459,H$1,'Region 12'!$X$2:$X$459,$D403,'Region 12'!$S$2:$S$459,$A403)</f>
        <v>#DIV/0!</v>
      </c>
      <c r="I403" t="e">
        <f>AVERAGEIFS('Region 12'!$W$2:$W$459,'Region 12'!$A$2:$A$459,I$1,'Region 12'!$X$2:$X$459,$D403,'Region 12'!$S$2:$S$459,$A403)</f>
        <v>#DIV/0!</v>
      </c>
      <c r="J403" t="e">
        <f>AVERAGEIFS('Region 12'!$W$2:$W$459,'Region 12'!$A$2:$A$459,J$1,'Region 12'!$X$2:$X$459,$D403,'Region 12'!$S$2:$S$459,$A403)</f>
        <v>#DIV/0!</v>
      </c>
      <c r="K403" t="e">
        <f>AVERAGEIFS('Region 12'!$W$2:$W$459,'Region 12'!$A$2:$A$459,K$1,'Region 12'!$X$2:$X$459,$D403,'Region 12'!$S$2:$S$459,$A403)</f>
        <v>#DIV/0!</v>
      </c>
      <c r="L403" t="e">
        <f>AVERAGEIFS('Region 12'!$W$2:$W$459,'Region 12'!$A$2:$A$459,L$1,'Region 12'!$X$2:$X$459,$D403,'Region 12'!$S$2:$S$459,$A403)</f>
        <v>#DIV/0!</v>
      </c>
      <c r="M403" t="e">
        <f>AVERAGEIFS('Region 12'!$W$2:$W$459,'Region 12'!$A$2:$A$459,M$1,'Region 12'!$X$2:$X$459,$D403,'Region 12'!$S$2:$S$459,$A403)</f>
        <v>#DIV/0!</v>
      </c>
      <c r="N403" t="e">
        <f>AVERAGEIFS('Region 12'!$W$2:$W$459,'Region 12'!$A$2:$A$459,N$1,'Region 12'!$X$2:$X$459,$D403,'Region 12'!$S$2:$S$459,$A403)</f>
        <v>#DIV/0!</v>
      </c>
      <c r="Q403" t="str">
        <f t="shared" si="383"/>
        <v>Copper</v>
      </c>
      <c r="R403" t="str">
        <f t="shared" si="384"/>
        <v>High-rise</v>
      </c>
      <c r="S403">
        <f t="shared" si="385"/>
        <v>12</v>
      </c>
      <c r="T403" t="str">
        <f t="shared" si="365"/>
        <v>-</v>
      </c>
      <c r="U403" t="str">
        <f t="shared" si="366"/>
        <v>-</v>
      </c>
      <c r="V403" t="str">
        <f t="shared" si="367"/>
        <v>-</v>
      </c>
      <c r="W403" t="str">
        <f t="shared" si="368"/>
        <v>-</v>
      </c>
      <c r="X403" t="str">
        <f t="shared" si="369"/>
        <v>-</v>
      </c>
      <c r="Y403" t="str">
        <f t="shared" si="370"/>
        <v>-</v>
      </c>
      <c r="Z403" t="str">
        <f t="shared" si="371"/>
        <v>-</v>
      </c>
      <c r="AA403" t="str">
        <f t="shared" si="372"/>
        <v>-</v>
      </c>
      <c r="AB403" t="str">
        <f t="shared" si="373"/>
        <v>-</v>
      </c>
      <c r="AC403" t="str">
        <f t="shared" si="374"/>
        <v>-</v>
      </c>
    </row>
    <row r="404" spans="1:29" x14ac:dyDescent="0.3">
      <c r="A404" t="s">
        <v>414</v>
      </c>
      <c r="B404" t="str">
        <f t="shared" si="355"/>
        <v>High-rise</v>
      </c>
      <c r="C404">
        <f t="shared" ref="C404:D404" si="394">C196</f>
        <v>13</v>
      </c>
      <c r="D404">
        <f t="shared" si="394"/>
        <v>4</v>
      </c>
      <c r="E404" t="e">
        <f>AVERAGEIFS('Region 13'!$W$2:$W$500,'Region 13'!$A$2:$A$500,E$1,'Region 13'!$X$2:$X$500,$D404,'Region 13'!$S$2:$S$500,$A404)</f>
        <v>#DIV/0!</v>
      </c>
      <c r="F404" t="e">
        <f>AVERAGEIFS('Region 13'!$W$2:$W$500,'Region 13'!$A$2:$A$500,F$1,'Region 13'!$X$2:$X$500,$D404,'Region 13'!$S$2:$S$500,$A404)</f>
        <v>#DIV/0!</v>
      </c>
      <c r="G404" t="e">
        <f>AVERAGEIFS('Region 13'!$W$2:$W$500,'Region 13'!$A$2:$A$500,G$1,'Region 13'!$X$2:$X$500,$D404,'Region 13'!$S$2:$S$500,$A404)</f>
        <v>#DIV/0!</v>
      </c>
      <c r="H404" t="e">
        <f>AVERAGEIFS('Region 13'!$W$2:$W$500,'Region 13'!$A$2:$A$500,H$1,'Region 13'!$X$2:$X$500,$D404,'Region 13'!$S$2:$S$500,$A404)</f>
        <v>#DIV/0!</v>
      </c>
      <c r="I404" t="e">
        <f>AVERAGEIFS('Region 13'!$W$2:$W$500,'Region 13'!$A$2:$A$500,I$1,'Region 13'!$X$2:$X$500,$D404,'Region 13'!$S$2:$S$500,$A404)</f>
        <v>#DIV/0!</v>
      </c>
      <c r="J404" t="e">
        <f>AVERAGEIFS('Region 13'!$W$2:$W$500,'Region 13'!$A$2:$A$500,J$1,'Region 13'!$X$2:$X$500,$D404,'Region 13'!$S$2:$S$500,$A404)</f>
        <v>#DIV/0!</v>
      </c>
      <c r="K404" t="e">
        <f>AVERAGEIFS('Region 13'!$W$2:$W$500,'Region 13'!$A$2:$A$500,K$1,'Region 13'!$X$2:$X$500,$D404,'Region 13'!$S$2:$S$500,$A404)</f>
        <v>#DIV/0!</v>
      </c>
      <c r="L404" t="e">
        <f>AVERAGEIFS('Region 13'!$W$2:$W$500,'Region 13'!$A$2:$A$500,L$1,'Region 13'!$X$2:$X$500,$D404,'Region 13'!$S$2:$S$500,$A404)</f>
        <v>#DIV/0!</v>
      </c>
      <c r="M404" t="e">
        <f>AVERAGEIFS('Region 13'!$W$2:$W$500,'Region 13'!$A$2:$A$500,M$1,'Region 13'!$X$2:$X$500,$D404,'Region 13'!$S$2:$S$500,$A404)</f>
        <v>#DIV/0!</v>
      </c>
      <c r="N404" t="e">
        <f>AVERAGEIFS('Region 13'!$W$2:$W$500,'Region 13'!$A$2:$A$500,N$1,'Region 13'!$X$2:$X$500,$D404,'Region 13'!$S$2:$S$500,$A404)</f>
        <v>#DIV/0!</v>
      </c>
      <c r="Q404" t="str">
        <f t="shared" si="383"/>
        <v>Copper</v>
      </c>
      <c r="R404" t="str">
        <f t="shared" si="384"/>
        <v>High-rise</v>
      </c>
      <c r="S404">
        <f t="shared" si="385"/>
        <v>13</v>
      </c>
      <c r="T404" t="str">
        <f t="shared" si="365"/>
        <v>-</v>
      </c>
      <c r="U404" t="str">
        <f t="shared" si="366"/>
        <v>-</v>
      </c>
      <c r="V404" t="str">
        <f t="shared" si="367"/>
        <v>-</v>
      </c>
      <c r="W404" t="str">
        <f t="shared" si="368"/>
        <v>-</v>
      </c>
      <c r="X404" t="str">
        <f t="shared" si="369"/>
        <v>-</v>
      </c>
      <c r="Y404" t="str">
        <f t="shared" si="370"/>
        <v>-</v>
      </c>
      <c r="Z404" t="str">
        <f t="shared" si="371"/>
        <v>-</v>
      </c>
      <c r="AA404" t="str">
        <f t="shared" si="372"/>
        <v>-</v>
      </c>
      <c r="AB404" t="str">
        <f t="shared" si="373"/>
        <v>-</v>
      </c>
      <c r="AC404" t="str">
        <f t="shared" si="374"/>
        <v>-</v>
      </c>
    </row>
    <row r="405" spans="1:29" x14ac:dyDescent="0.3">
      <c r="A405" t="s">
        <v>414</v>
      </c>
      <c r="B405" t="str">
        <f t="shared" si="355"/>
        <v>High-rise</v>
      </c>
      <c r="C405">
        <f t="shared" ref="C405:D405" si="395">C197</f>
        <v>14</v>
      </c>
      <c r="D405">
        <f t="shared" si="395"/>
        <v>4</v>
      </c>
      <c r="E405" t="e">
        <f ca="1">AVERAGEIFS('Region 14'!$W$2:$W$500,'Region 14'!$A$2:$A$500,E$1,'Region 14'!$X$2:$X$500,$D405,'Region 14'!$S$2:$S$500,$A405)</f>
        <v>#DIV/0!</v>
      </c>
      <c r="F405" t="e">
        <f ca="1">AVERAGEIFS('Region 14'!$W$2:$W$500,'Region 14'!$A$2:$A$500,F$1,'Region 14'!$X$2:$X$500,$D405,'Region 14'!$S$2:$S$500,$A405)</f>
        <v>#DIV/0!</v>
      </c>
      <c r="G405" t="e">
        <f ca="1">AVERAGEIFS('Region 14'!$W$2:$W$500,'Region 14'!$A$2:$A$500,G$1,'Region 14'!$X$2:$X$500,$D405,'Region 14'!$S$2:$S$500,$A405)</f>
        <v>#DIV/0!</v>
      </c>
      <c r="H405" t="e">
        <f ca="1">AVERAGEIFS('Region 14'!$W$2:$W$500,'Region 14'!$A$2:$A$500,H$1,'Region 14'!$X$2:$X$500,$D405,'Region 14'!$S$2:$S$500,$A405)</f>
        <v>#DIV/0!</v>
      </c>
      <c r="I405" t="e">
        <f ca="1">AVERAGEIFS('Region 14'!$W$2:$W$500,'Region 14'!$A$2:$A$500,I$1,'Region 14'!$X$2:$X$500,$D405,'Region 14'!$S$2:$S$500,$A405)</f>
        <v>#DIV/0!</v>
      </c>
      <c r="J405" t="e">
        <f ca="1">AVERAGEIFS('Region 14'!$W$2:$W$500,'Region 14'!$A$2:$A$500,J$1,'Region 14'!$X$2:$X$500,$D405,'Region 14'!$S$2:$S$500,$A405)</f>
        <v>#DIV/0!</v>
      </c>
      <c r="K405" t="e">
        <f ca="1">AVERAGEIFS('Region 14'!$W$2:$W$500,'Region 14'!$A$2:$A$500,K$1,'Region 14'!$X$2:$X$500,$D405,'Region 14'!$S$2:$S$500,$A405)</f>
        <v>#DIV/0!</v>
      </c>
      <c r="L405" t="e">
        <f ca="1">AVERAGEIFS('Region 14'!$W$2:$W$500,'Region 14'!$A$2:$A$500,L$1,'Region 14'!$X$2:$X$500,$D405,'Region 14'!$S$2:$S$500,$A405)</f>
        <v>#DIV/0!</v>
      </c>
      <c r="M405" t="e">
        <f ca="1">AVERAGEIFS('Region 14'!$W$2:$W$500,'Region 14'!$A$2:$A$500,M$1,'Region 14'!$X$2:$X$500,$D405,'Region 14'!$S$2:$S$500,$A405)</f>
        <v>#DIV/0!</v>
      </c>
      <c r="N405" t="e">
        <f ca="1">AVERAGEIFS('Region 14'!$W$2:$W$500,'Region 14'!$A$2:$A$500,N$1,'Region 14'!$X$2:$X$500,$D405,'Region 14'!$S$2:$S$500,$A405)</f>
        <v>#DIV/0!</v>
      </c>
      <c r="Q405" t="str">
        <f t="shared" si="383"/>
        <v>Copper</v>
      </c>
      <c r="R405" t="str">
        <f t="shared" si="384"/>
        <v>High-rise</v>
      </c>
      <c r="S405">
        <f t="shared" si="385"/>
        <v>14</v>
      </c>
      <c r="T405" t="str">
        <f t="shared" ca="1" si="365"/>
        <v>-</v>
      </c>
      <c r="U405" t="str">
        <f t="shared" ca="1" si="366"/>
        <v>-</v>
      </c>
      <c r="V405" t="str">
        <f t="shared" ca="1" si="367"/>
        <v>-</v>
      </c>
      <c r="W405" t="str">
        <f t="shared" ca="1" si="368"/>
        <v>-</v>
      </c>
      <c r="X405" t="str">
        <f t="shared" ca="1" si="369"/>
        <v>-</v>
      </c>
      <c r="Y405" t="str">
        <f t="shared" ca="1" si="370"/>
        <v>-</v>
      </c>
      <c r="Z405" t="str">
        <f t="shared" ca="1" si="371"/>
        <v>-</v>
      </c>
      <c r="AA405" t="str">
        <f t="shared" ca="1" si="372"/>
        <v>-</v>
      </c>
      <c r="AB405" t="str">
        <f t="shared" ca="1" si="373"/>
        <v>-</v>
      </c>
      <c r="AC405" t="str">
        <f t="shared" ca="1" si="374"/>
        <v>-</v>
      </c>
    </row>
    <row r="406" spans="1:29" x14ac:dyDescent="0.3">
      <c r="A406" t="s">
        <v>414</v>
      </c>
      <c r="B406" t="str">
        <f>B302</f>
        <v>High-rise</v>
      </c>
      <c r="C406">
        <f>C198</f>
        <v>15</v>
      </c>
      <c r="D406">
        <f>D198</f>
        <v>4</v>
      </c>
      <c r="E406" t="e">
        <f ca="1">AVERAGEIFS('Region 15'!$W$2:$W$500,'Region 15'!$A$2:$A$500,E$1,'Region 15'!$X$2:$X$500,$D406,'Region 15'!$S$2:$S$500,$A406)</f>
        <v>#DIV/0!</v>
      </c>
      <c r="F406" t="e">
        <f ca="1">AVERAGEIFS('Region 15'!$W$2:$W$500,'Region 15'!$A$2:$A$500,F$1,'Region 15'!$X$2:$X$500,$D406,'Region 15'!$S$2:$S$500,$A406)</f>
        <v>#DIV/0!</v>
      </c>
      <c r="G406" t="e">
        <f ca="1">AVERAGEIFS('Region 15'!$W$2:$W$500,'Region 15'!$A$2:$A$500,G$1,'Region 15'!$X$2:$X$500,$D406,'Region 15'!$S$2:$S$500,$A406)</f>
        <v>#DIV/0!</v>
      </c>
      <c r="H406" t="e">
        <f ca="1">AVERAGEIFS('Region 15'!$W$2:$W$500,'Region 15'!$A$2:$A$500,H$1,'Region 15'!$X$2:$X$500,$D406,'Region 15'!$S$2:$S$500,$A406)</f>
        <v>#DIV/0!</v>
      </c>
      <c r="I406" t="e">
        <f ca="1">AVERAGEIFS('Region 15'!$W$2:$W$500,'Region 15'!$A$2:$A$500,I$1,'Region 15'!$X$2:$X$500,$D406,'Region 15'!$S$2:$S$500,$A406)</f>
        <v>#DIV/0!</v>
      </c>
      <c r="J406" t="e">
        <f ca="1">AVERAGEIFS('Region 15'!$W$2:$W$500,'Region 15'!$A$2:$A$500,J$1,'Region 15'!$X$2:$X$500,$D406,'Region 15'!$S$2:$S$500,$A406)</f>
        <v>#DIV/0!</v>
      </c>
      <c r="K406" t="e">
        <f ca="1">AVERAGEIFS('Region 15'!$W$2:$W$500,'Region 15'!$A$2:$A$500,K$1,'Region 15'!$X$2:$X$500,$D406,'Region 15'!$S$2:$S$500,$A406)</f>
        <v>#DIV/0!</v>
      </c>
      <c r="L406" t="e">
        <f ca="1">AVERAGEIFS('Region 15'!$W$2:$W$500,'Region 15'!$A$2:$A$500,L$1,'Region 15'!$X$2:$X$500,$D406,'Region 15'!$S$2:$S$500,$A406)</f>
        <v>#DIV/0!</v>
      </c>
      <c r="M406" t="e">
        <f ca="1">AVERAGEIFS('Region 15'!$W$2:$W$500,'Region 15'!$A$2:$A$500,M$1,'Region 15'!$X$2:$X$500,$D406,'Region 15'!$S$2:$S$500,$A406)</f>
        <v>#DIV/0!</v>
      </c>
      <c r="N406" t="e">
        <f ca="1">AVERAGEIFS('Region 15'!$W$2:$W$500,'Region 15'!$A$2:$A$500,N$1,'Region 15'!$X$2:$X$500,$D406,'Region 15'!$S$2:$S$500,$A406)</f>
        <v>#DIV/0!</v>
      </c>
      <c r="Q406" t="str">
        <f t="shared" si="383"/>
        <v>Copper</v>
      </c>
      <c r="R406" t="str">
        <f t="shared" si="384"/>
        <v>High-rise</v>
      </c>
      <c r="S406">
        <f t="shared" si="385"/>
        <v>15</v>
      </c>
      <c r="T406" t="str">
        <f t="shared" ca="1" si="365"/>
        <v>-</v>
      </c>
      <c r="U406" t="str">
        <f t="shared" ca="1" si="366"/>
        <v>-</v>
      </c>
      <c r="V406" t="str">
        <f t="shared" ca="1" si="367"/>
        <v>-</v>
      </c>
      <c r="W406" t="str">
        <f t="shared" ca="1" si="368"/>
        <v>-</v>
      </c>
      <c r="X406" t="str">
        <f t="shared" ca="1" si="369"/>
        <v>-</v>
      </c>
      <c r="Y406" t="str">
        <f t="shared" ca="1" si="370"/>
        <v>-</v>
      </c>
      <c r="Z406" t="str">
        <f t="shared" ca="1" si="371"/>
        <v>-</v>
      </c>
      <c r="AA406" t="str">
        <f t="shared" ca="1" si="372"/>
        <v>-</v>
      </c>
      <c r="AB406" t="str">
        <f t="shared" ca="1" si="373"/>
        <v>-</v>
      </c>
      <c r="AC406" t="str">
        <f t="shared" ca="1" si="374"/>
        <v>-</v>
      </c>
    </row>
    <row r="407" spans="1:29" x14ac:dyDescent="0.3">
      <c r="A407" t="s">
        <v>414</v>
      </c>
      <c r="B407" t="str">
        <f t="shared" ref="B407:B417" si="396">B303</f>
        <v>High-rise</v>
      </c>
      <c r="C407">
        <f t="shared" ref="C407:D407" si="397">C199</f>
        <v>16</v>
      </c>
      <c r="D407">
        <f t="shared" si="397"/>
        <v>4</v>
      </c>
      <c r="E407" t="e">
        <f ca="1">AVERAGEIFS('Region 16'!$W$2:$W$500,'Region 16'!$A$2:$A$500,E$1,'Region 16'!$X$2:$X$500,$D407,'Region 16'!$S$2:$S$500,$A407)</f>
        <v>#DIV/0!</v>
      </c>
      <c r="F407" t="e">
        <f ca="1">AVERAGEIFS('Region 16'!$W$2:$W$500,'Region 16'!$A$2:$A$500,F$1,'Region 16'!$X$2:$X$500,$D407,'Region 16'!$S$2:$S$500,$A407)</f>
        <v>#DIV/0!</v>
      </c>
      <c r="G407" t="e">
        <f ca="1">AVERAGEIFS('Region 16'!$W$2:$W$500,'Region 16'!$A$2:$A$500,G$1,'Region 16'!$X$2:$X$500,$D407,'Region 16'!$S$2:$S$500,$A407)</f>
        <v>#DIV/0!</v>
      </c>
      <c r="H407" t="e">
        <f ca="1">AVERAGEIFS('Region 16'!$W$2:$W$500,'Region 16'!$A$2:$A$500,H$1,'Region 16'!$X$2:$X$500,$D407,'Region 16'!$S$2:$S$500,$A407)</f>
        <v>#DIV/0!</v>
      </c>
      <c r="I407" t="e">
        <f ca="1">AVERAGEIFS('Region 16'!$W$2:$W$500,'Region 16'!$A$2:$A$500,I$1,'Region 16'!$X$2:$X$500,$D407,'Region 16'!$S$2:$S$500,$A407)</f>
        <v>#DIV/0!</v>
      </c>
      <c r="J407" t="e">
        <f ca="1">AVERAGEIFS('Region 16'!$W$2:$W$500,'Region 16'!$A$2:$A$500,J$1,'Region 16'!$X$2:$X$500,$D407,'Region 16'!$S$2:$S$500,$A407)</f>
        <v>#DIV/0!</v>
      </c>
      <c r="K407" t="e">
        <f ca="1">AVERAGEIFS('Region 16'!$W$2:$W$500,'Region 16'!$A$2:$A$500,K$1,'Region 16'!$X$2:$X$500,$D407,'Region 16'!$S$2:$S$500,$A407)</f>
        <v>#DIV/0!</v>
      </c>
      <c r="L407" t="e">
        <f ca="1">AVERAGEIFS('Region 16'!$W$2:$W$500,'Region 16'!$A$2:$A$500,L$1,'Region 16'!$X$2:$X$500,$D407,'Region 16'!$S$2:$S$500,$A407)</f>
        <v>#DIV/0!</v>
      </c>
      <c r="M407" t="e">
        <f ca="1">AVERAGEIFS('Region 16'!$W$2:$W$500,'Region 16'!$A$2:$A$500,M$1,'Region 16'!$X$2:$X$500,$D407,'Region 16'!$S$2:$S$500,$A407)</f>
        <v>#DIV/0!</v>
      </c>
      <c r="N407" t="e">
        <f ca="1">AVERAGEIFS('Region 16'!$W$2:$W$500,'Region 16'!$A$2:$A$500,N$1,'Region 16'!$X$2:$X$500,$D407,'Region 16'!$S$2:$S$500,$A407)</f>
        <v>#DIV/0!</v>
      </c>
      <c r="Q407" t="str">
        <f t="shared" si="383"/>
        <v>Copper</v>
      </c>
      <c r="R407" t="str">
        <f t="shared" si="384"/>
        <v>High-rise</v>
      </c>
      <c r="S407">
        <f t="shared" si="385"/>
        <v>16</v>
      </c>
      <c r="T407" t="str">
        <f t="shared" ca="1" si="365"/>
        <v>-</v>
      </c>
      <c r="U407" t="str">
        <f t="shared" ca="1" si="366"/>
        <v>-</v>
      </c>
      <c r="V407" t="str">
        <f t="shared" ca="1" si="367"/>
        <v>-</v>
      </c>
      <c r="W407" t="str">
        <f t="shared" ca="1" si="368"/>
        <v>-</v>
      </c>
      <c r="X407" t="str">
        <f t="shared" ca="1" si="369"/>
        <v>-</v>
      </c>
      <c r="Y407" t="str">
        <f t="shared" ca="1" si="370"/>
        <v>-</v>
      </c>
      <c r="Z407" t="str">
        <f t="shared" ca="1" si="371"/>
        <v>-</v>
      </c>
      <c r="AA407" t="str">
        <f t="shared" ca="1" si="372"/>
        <v>-</v>
      </c>
      <c r="AB407" t="str">
        <f t="shared" ca="1" si="373"/>
        <v>-</v>
      </c>
      <c r="AC407" t="str">
        <f t="shared" ca="1" si="374"/>
        <v>-</v>
      </c>
    </row>
    <row r="408" spans="1:29" x14ac:dyDescent="0.3">
      <c r="A408" t="s">
        <v>414</v>
      </c>
      <c r="B408" t="str">
        <f t="shared" si="396"/>
        <v>High-rise</v>
      </c>
      <c r="C408">
        <f t="shared" ref="C408:D408" si="398">C200</f>
        <v>17</v>
      </c>
      <c r="D408">
        <f t="shared" si="398"/>
        <v>4</v>
      </c>
      <c r="E408" t="e">
        <f>AVERAGEIFS('Region 17'!$W$2:$W$498,'Region 17'!$A$2:$A$498,E$1,'Region 17'!$X$2:$X$498,$D408,'Region 17'!$S$2:$S$498,$A408)</f>
        <v>#DIV/0!</v>
      </c>
      <c r="F408" t="e">
        <f>AVERAGEIFS('Region 17'!$W$2:$W$498,'Region 17'!$A$2:$A$498,F$1,'Region 17'!$X$2:$X$498,$D408,'Region 17'!$S$2:$S$498,$A408)</f>
        <v>#DIV/0!</v>
      </c>
      <c r="G408" t="e">
        <f>AVERAGEIFS('Region 17'!$W$2:$W$498,'Region 17'!$A$2:$A$498,G$1,'Region 17'!$X$2:$X$498,$D408,'Region 17'!$S$2:$S$498,$A408)</f>
        <v>#DIV/0!</v>
      </c>
      <c r="H408" t="e">
        <f>AVERAGEIFS('Region 17'!$W$2:$W$498,'Region 17'!$A$2:$A$498,H$1,'Region 17'!$X$2:$X$498,$D408,'Region 17'!$S$2:$S$498,$A408)</f>
        <v>#DIV/0!</v>
      </c>
      <c r="I408" t="e">
        <f>AVERAGEIFS('Region 17'!$W$2:$W$498,'Region 17'!$A$2:$A$498,I$1,'Region 17'!$X$2:$X$498,$D408,'Region 17'!$S$2:$S$498,$A408)</f>
        <v>#DIV/0!</v>
      </c>
      <c r="J408" t="e">
        <f>AVERAGEIFS('Region 17'!$W$2:$W$498,'Region 17'!$A$2:$A$498,J$1,'Region 17'!$X$2:$X$498,$D408,'Region 17'!$S$2:$S$498,$A408)</f>
        <v>#DIV/0!</v>
      </c>
      <c r="K408" t="e">
        <f>AVERAGEIFS('Region 17'!$W$2:$W$498,'Region 17'!$A$2:$A$498,K$1,'Region 17'!$X$2:$X$498,$D408,'Region 17'!$S$2:$S$498,$A408)</f>
        <v>#DIV/0!</v>
      </c>
      <c r="L408" t="e">
        <f>AVERAGEIFS('Region 17'!$W$2:$W$498,'Region 17'!$A$2:$A$498,L$1,'Region 17'!$X$2:$X$498,$D408,'Region 17'!$S$2:$S$498,$A408)</f>
        <v>#DIV/0!</v>
      </c>
      <c r="M408" t="e">
        <f>AVERAGEIFS('Region 17'!$W$2:$W$498,'Region 17'!$A$2:$A$498,M$1,'Region 17'!$X$2:$X$498,$D408,'Region 17'!$S$2:$S$498,$A408)</f>
        <v>#DIV/0!</v>
      </c>
      <c r="N408" t="e">
        <f>AVERAGEIFS('Region 17'!$W$2:$W$498,'Region 17'!$A$2:$A$498,N$1,'Region 17'!$X$2:$X$498,$D408,'Region 17'!$S$2:$S$498,$A408)</f>
        <v>#DIV/0!</v>
      </c>
      <c r="Q408" t="str">
        <f t="shared" si="383"/>
        <v>Copper</v>
      </c>
      <c r="R408" t="str">
        <f t="shared" si="384"/>
        <v>High-rise</v>
      </c>
      <c r="S408">
        <f t="shared" si="385"/>
        <v>17</v>
      </c>
      <c r="T408" t="str">
        <f t="shared" si="365"/>
        <v>-</v>
      </c>
      <c r="U408" t="str">
        <f t="shared" si="366"/>
        <v>-</v>
      </c>
      <c r="V408" t="str">
        <f t="shared" si="367"/>
        <v>-</v>
      </c>
      <c r="W408" t="str">
        <f t="shared" si="368"/>
        <v>-</v>
      </c>
      <c r="X408" t="str">
        <f t="shared" si="369"/>
        <v>-</v>
      </c>
      <c r="Y408" t="str">
        <f t="shared" si="370"/>
        <v>-</v>
      </c>
      <c r="Z408" t="str">
        <f t="shared" si="371"/>
        <v>-</v>
      </c>
      <c r="AA408" t="str">
        <f t="shared" si="372"/>
        <v>-</v>
      </c>
      <c r="AB408" t="str">
        <f t="shared" si="373"/>
        <v>-</v>
      </c>
      <c r="AC408" t="str">
        <f t="shared" si="374"/>
        <v>-</v>
      </c>
    </row>
    <row r="409" spans="1:29" x14ac:dyDescent="0.3">
      <c r="A409" t="s">
        <v>414</v>
      </c>
      <c r="B409" t="str">
        <f t="shared" si="396"/>
        <v>High-rise</v>
      </c>
      <c r="C409">
        <f t="shared" ref="C409:D409" si="399">C201</f>
        <v>18</v>
      </c>
      <c r="D409">
        <f t="shared" si="399"/>
        <v>4</v>
      </c>
      <c r="E409" t="e">
        <f>AVERAGEIFS('Region 18'!$W$2:$W$468,'Region 18'!$A$2:$A$468,E$1,'Region 18'!$X$2:$X$468,$D409,'Region 18'!$S$2:$S$468,$A409)</f>
        <v>#DIV/0!</v>
      </c>
      <c r="F409" t="e">
        <f>AVERAGEIFS('Region 18'!$W$2:$W$468,'Region 18'!$A$2:$A$468,F$1,'Region 18'!$X$2:$X$468,$D409,'Region 18'!$S$2:$S$468,$A409)</f>
        <v>#DIV/0!</v>
      </c>
      <c r="G409" t="e">
        <f>AVERAGEIFS('Region 18'!$W$2:$W$468,'Region 18'!$A$2:$A$468,G$1,'Region 18'!$X$2:$X$468,$D409,'Region 18'!$S$2:$S$468,$A409)</f>
        <v>#DIV/0!</v>
      </c>
      <c r="H409" t="e">
        <f>AVERAGEIFS('Region 18'!$W$2:$W$468,'Region 18'!$A$2:$A$468,H$1,'Region 18'!$X$2:$X$468,$D409,'Region 18'!$S$2:$S$468,$A409)</f>
        <v>#DIV/0!</v>
      </c>
      <c r="I409" t="e">
        <f>AVERAGEIFS('Region 18'!$W$2:$W$468,'Region 18'!$A$2:$A$468,I$1,'Region 18'!$X$2:$X$468,$D409,'Region 18'!$S$2:$S$468,$A409)</f>
        <v>#DIV/0!</v>
      </c>
      <c r="J409" t="e">
        <f>AVERAGEIFS('Region 18'!$W$2:$W$468,'Region 18'!$A$2:$A$468,J$1,'Region 18'!$X$2:$X$468,$D409,'Region 18'!$S$2:$S$468,$A409)</f>
        <v>#DIV/0!</v>
      </c>
      <c r="K409" t="e">
        <f>AVERAGEIFS('Region 18'!$W$2:$W$468,'Region 18'!$A$2:$A$468,K$1,'Region 18'!$X$2:$X$468,$D409,'Region 18'!$S$2:$S$468,$A409)</f>
        <v>#DIV/0!</v>
      </c>
      <c r="L409" t="e">
        <f>AVERAGEIFS('Region 18'!$W$2:$W$468,'Region 18'!$A$2:$A$468,L$1,'Region 18'!$X$2:$X$468,$D409,'Region 18'!$S$2:$S$468,$A409)</f>
        <v>#DIV/0!</v>
      </c>
      <c r="M409" t="e">
        <f>AVERAGEIFS('Region 18'!$W$2:$W$468,'Region 18'!$A$2:$A$468,M$1,'Region 18'!$X$2:$X$468,$D409,'Region 18'!$S$2:$S$468,$A409)</f>
        <v>#DIV/0!</v>
      </c>
      <c r="N409" t="e">
        <f>AVERAGEIFS('Region 18'!$W$2:$W$468,'Region 18'!$A$2:$A$468,N$1,'Region 18'!$X$2:$X$468,$D409,'Region 18'!$S$2:$S$468,$A409)</f>
        <v>#DIV/0!</v>
      </c>
      <c r="Q409" t="str">
        <f t="shared" si="383"/>
        <v>Copper</v>
      </c>
      <c r="R409" t="str">
        <f t="shared" si="384"/>
        <v>High-rise</v>
      </c>
      <c r="S409">
        <f t="shared" si="385"/>
        <v>18</v>
      </c>
      <c r="T409" t="str">
        <f t="shared" si="365"/>
        <v>-</v>
      </c>
      <c r="U409" t="str">
        <f t="shared" si="366"/>
        <v>-</v>
      </c>
      <c r="V409" t="str">
        <f t="shared" si="367"/>
        <v>-</v>
      </c>
      <c r="W409" t="str">
        <f t="shared" si="368"/>
        <v>-</v>
      </c>
      <c r="X409" t="str">
        <f t="shared" si="369"/>
        <v>-</v>
      </c>
      <c r="Y409" t="str">
        <f t="shared" si="370"/>
        <v>-</v>
      </c>
      <c r="Z409" t="str">
        <f t="shared" si="371"/>
        <v>-</v>
      </c>
      <c r="AA409" t="str">
        <f t="shared" si="372"/>
        <v>-</v>
      </c>
      <c r="AB409" t="str">
        <f t="shared" si="373"/>
        <v>-</v>
      </c>
      <c r="AC409" t="str">
        <f t="shared" si="374"/>
        <v>-</v>
      </c>
    </row>
    <row r="410" spans="1:29" x14ac:dyDescent="0.3">
      <c r="A410" t="s">
        <v>414</v>
      </c>
      <c r="B410" t="str">
        <f t="shared" si="396"/>
        <v>High-rise</v>
      </c>
      <c r="C410">
        <f t="shared" ref="C410:D410" si="400">C202</f>
        <v>19</v>
      </c>
      <c r="D410">
        <f t="shared" si="400"/>
        <v>4</v>
      </c>
      <c r="E410" t="e">
        <f>AVERAGEIFS('Region 19'!$W$2:$W$494,'Region 19'!$A$2:$A$494,E$1,'Region 19'!$X$2:$X$494,$D410,'Region 19'!$S$2:$S$494,$A410)</f>
        <v>#DIV/0!</v>
      </c>
      <c r="F410" t="e">
        <f>AVERAGEIFS('Region 19'!$W$2:$W$494,'Region 19'!$A$2:$A$494,F$1,'Region 19'!$X$2:$X$494,$D410,'Region 19'!$S$2:$S$494,$A410)</f>
        <v>#DIV/0!</v>
      </c>
      <c r="G410" t="e">
        <f>AVERAGEIFS('Region 19'!$W$2:$W$494,'Region 19'!$A$2:$A$494,G$1,'Region 19'!$X$2:$X$494,$D410,'Region 19'!$S$2:$S$494,$A410)</f>
        <v>#DIV/0!</v>
      </c>
      <c r="H410" t="e">
        <f>AVERAGEIFS('Region 19'!$W$2:$W$494,'Region 19'!$A$2:$A$494,H$1,'Region 19'!$X$2:$X$494,$D410,'Region 19'!$S$2:$S$494,$A410)</f>
        <v>#DIV/0!</v>
      </c>
      <c r="I410" t="e">
        <f>AVERAGEIFS('Region 19'!$W$2:$W$494,'Region 19'!$A$2:$A$494,I$1,'Region 19'!$X$2:$X$494,$D410,'Region 19'!$S$2:$S$494,$A410)</f>
        <v>#DIV/0!</v>
      </c>
      <c r="J410" t="e">
        <f>AVERAGEIFS('Region 19'!$W$2:$W$494,'Region 19'!$A$2:$A$494,J$1,'Region 19'!$X$2:$X$494,$D410,'Region 19'!$S$2:$S$494,$A410)</f>
        <v>#DIV/0!</v>
      </c>
      <c r="K410" t="e">
        <f>AVERAGEIFS('Region 19'!$W$2:$W$494,'Region 19'!$A$2:$A$494,K$1,'Region 19'!$X$2:$X$494,$D410,'Region 19'!$S$2:$S$494,$A410)</f>
        <v>#DIV/0!</v>
      </c>
      <c r="L410" t="e">
        <f>AVERAGEIFS('Region 19'!$W$2:$W$494,'Region 19'!$A$2:$A$494,L$1,'Region 19'!$X$2:$X$494,$D410,'Region 19'!$S$2:$S$494,$A410)</f>
        <v>#DIV/0!</v>
      </c>
      <c r="M410" t="e">
        <f>AVERAGEIFS('Region 19'!$W$2:$W$494,'Region 19'!$A$2:$A$494,M$1,'Region 19'!$X$2:$X$494,$D410,'Region 19'!$S$2:$S$494,$A410)</f>
        <v>#DIV/0!</v>
      </c>
      <c r="N410" t="e">
        <f>AVERAGEIFS('Region 19'!$W$2:$W$494,'Region 19'!$A$2:$A$494,N$1,'Region 19'!$X$2:$X$494,$D410,'Region 19'!$S$2:$S$494,$A410)</f>
        <v>#DIV/0!</v>
      </c>
      <c r="Q410" t="str">
        <f t="shared" si="383"/>
        <v>Copper</v>
      </c>
      <c r="R410" t="str">
        <f t="shared" si="384"/>
        <v>High-rise</v>
      </c>
      <c r="S410">
        <f t="shared" si="385"/>
        <v>19</v>
      </c>
      <c r="T410" t="str">
        <f t="shared" si="365"/>
        <v>-</v>
      </c>
      <c r="U410" t="str">
        <f t="shared" si="366"/>
        <v>-</v>
      </c>
      <c r="V410" t="str">
        <f t="shared" si="367"/>
        <v>-</v>
      </c>
      <c r="W410" t="str">
        <f t="shared" si="368"/>
        <v>-</v>
      </c>
      <c r="X410" t="str">
        <f t="shared" si="369"/>
        <v>-</v>
      </c>
      <c r="Y410" t="str">
        <f t="shared" si="370"/>
        <v>-</v>
      </c>
      <c r="Z410" t="str">
        <f t="shared" si="371"/>
        <v>-</v>
      </c>
      <c r="AA410" t="str">
        <f t="shared" si="372"/>
        <v>-</v>
      </c>
      <c r="AB410" t="str">
        <f t="shared" si="373"/>
        <v>-</v>
      </c>
      <c r="AC410" t="str">
        <f t="shared" si="374"/>
        <v>-</v>
      </c>
    </row>
    <row r="411" spans="1:29" x14ac:dyDescent="0.3">
      <c r="A411" t="s">
        <v>414</v>
      </c>
      <c r="B411" t="str">
        <f t="shared" si="396"/>
        <v>High-rise</v>
      </c>
      <c r="C411">
        <f t="shared" ref="C411:D411" si="401">C203</f>
        <v>20</v>
      </c>
      <c r="D411">
        <f t="shared" si="401"/>
        <v>4</v>
      </c>
      <c r="E411" t="e">
        <f>AVERAGEIFS('Region 20'!$W$2:$W$269,'Region 20'!$A$2:$A$269,E$1,'Region 20'!$X$2:$X$269,$D411,'Region 20'!$S$2:$S$269,$A411)</f>
        <v>#DIV/0!</v>
      </c>
      <c r="F411" t="e">
        <f>AVERAGEIFS('Region 20'!$W$2:$W$269,'Region 20'!$A$2:$A$269,F$1,'Region 20'!$X$2:$X$269,$D411,'Region 20'!$S$2:$S$269,$A411)</f>
        <v>#DIV/0!</v>
      </c>
      <c r="G411" t="e">
        <f>AVERAGEIFS('Region 20'!$W$2:$W$269,'Region 20'!$A$2:$A$269,G$1,'Region 20'!$X$2:$X$269,$D411,'Region 20'!$S$2:$S$269,$A411)</f>
        <v>#DIV/0!</v>
      </c>
      <c r="H411" t="e">
        <f>AVERAGEIFS('Region 20'!$W$2:$W$269,'Region 20'!$A$2:$A$269,H$1,'Region 20'!$X$2:$X$269,$D411,'Region 20'!$S$2:$S$269,$A411)</f>
        <v>#DIV/0!</v>
      </c>
      <c r="I411" t="e">
        <f>AVERAGEIFS('Region 20'!$W$2:$W$269,'Region 20'!$A$2:$A$269,I$1,'Region 20'!$X$2:$X$269,$D411,'Region 20'!$S$2:$S$269,$A411)</f>
        <v>#DIV/0!</v>
      </c>
      <c r="J411" t="e">
        <f>AVERAGEIFS('Region 20'!$W$2:$W$269,'Region 20'!$A$2:$A$269,J$1,'Region 20'!$X$2:$X$269,$D411,'Region 20'!$S$2:$S$269,$A411)</f>
        <v>#DIV/0!</v>
      </c>
      <c r="K411" t="e">
        <f>AVERAGEIFS('Region 20'!$W$2:$W$269,'Region 20'!$A$2:$A$269,K$1,'Region 20'!$X$2:$X$269,$D411,'Region 20'!$S$2:$S$269,$A411)</f>
        <v>#DIV/0!</v>
      </c>
      <c r="L411" t="e">
        <f>AVERAGEIFS('Region 20'!$W$2:$W$269,'Region 20'!$A$2:$A$269,L$1,'Region 20'!$X$2:$X$269,$D411,'Region 20'!$S$2:$S$269,$A411)</f>
        <v>#DIV/0!</v>
      </c>
      <c r="M411" t="e">
        <f>AVERAGEIFS('Region 20'!$W$2:$W$269,'Region 20'!$A$2:$A$269,M$1,'Region 20'!$X$2:$X$269,$D411,'Region 20'!$S$2:$S$269,$A411)</f>
        <v>#DIV/0!</v>
      </c>
      <c r="N411" t="e">
        <f>AVERAGEIFS('Region 20'!$W$2:$W$269,'Region 20'!$A$2:$A$269,N$1,'Region 20'!$X$2:$X$269,$D411,'Region 20'!$S$2:$S$269,$A411)</f>
        <v>#DIV/0!</v>
      </c>
      <c r="Q411" t="str">
        <f t="shared" si="383"/>
        <v>Copper</v>
      </c>
      <c r="R411" t="str">
        <f t="shared" si="384"/>
        <v>High-rise</v>
      </c>
      <c r="S411">
        <f t="shared" si="385"/>
        <v>20</v>
      </c>
      <c r="T411" t="str">
        <f t="shared" si="365"/>
        <v>-</v>
      </c>
      <c r="U411" t="str">
        <f t="shared" si="366"/>
        <v>-</v>
      </c>
      <c r="V411" t="str">
        <f t="shared" si="367"/>
        <v>-</v>
      </c>
      <c r="W411" t="str">
        <f t="shared" si="368"/>
        <v>-</v>
      </c>
      <c r="X411" t="str">
        <f t="shared" si="369"/>
        <v>-</v>
      </c>
      <c r="Y411" t="str">
        <f t="shared" si="370"/>
        <v>-</v>
      </c>
      <c r="Z411" t="str">
        <f t="shared" si="371"/>
        <v>-</v>
      </c>
      <c r="AA411" t="str">
        <f t="shared" si="372"/>
        <v>-</v>
      </c>
      <c r="AB411" t="str">
        <f t="shared" si="373"/>
        <v>-</v>
      </c>
      <c r="AC411" t="str">
        <f t="shared" si="374"/>
        <v>-</v>
      </c>
    </row>
    <row r="412" spans="1:29" x14ac:dyDescent="0.3">
      <c r="A412" t="s">
        <v>414</v>
      </c>
      <c r="B412" t="str">
        <f t="shared" si="396"/>
        <v>High-rise</v>
      </c>
      <c r="C412">
        <f t="shared" ref="C412:D412" si="402">C204</f>
        <v>21</v>
      </c>
      <c r="D412">
        <f t="shared" si="402"/>
        <v>4</v>
      </c>
      <c r="E412" t="e">
        <f>AVERAGEIFS('Region 21'!$W$2:$W$497,'Region 21'!$A$2:$A$497,E$1,'Region 21'!$X$2:$X$497,$D412,'Region 21'!$S$2:$S$497,$A412)</f>
        <v>#DIV/0!</v>
      </c>
      <c r="F412" t="e">
        <f>AVERAGEIFS('Region 21'!$W$2:$W$497,'Region 21'!$A$2:$A$497,F$1,'Region 21'!$X$2:$X$497,$D412,'Region 21'!$S$2:$S$497,$A412)</f>
        <v>#DIV/0!</v>
      </c>
      <c r="G412" t="e">
        <f>AVERAGEIFS('Region 21'!$W$2:$W$497,'Region 21'!$A$2:$A$497,G$1,'Region 21'!$X$2:$X$497,$D412,'Region 21'!$S$2:$S$497,$A412)</f>
        <v>#DIV/0!</v>
      </c>
      <c r="H412" t="e">
        <f>AVERAGEIFS('Region 21'!$W$2:$W$497,'Region 21'!$A$2:$A$497,H$1,'Region 21'!$X$2:$X$497,$D412,'Region 21'!$S$2:$S$497,$A412)</f>
        <v>#DIV/0!</v>
      </c>
      <c r="I412" t="e">
        <f>AVERAGEIFS('Region 21'!$W$2:$W$497,'Region 21'!$A$2:$A$497,I$1,'Region 21'!$X$2:$X$497,$D412,'Region 21'!$S$2:$S$497,$A412)</f>
        <v>#DIV/0!</v>
      </c>
      <c r="J412" t="e">
        <f>AVERAGEIFS('Region 21'!$W$2:$W$497,'Region 21'!$A$2:$A$497,J$1,'Region 21'!$X$2:$X$497,$D412,'Region 21'!$S$2:$S$497,$A412)</f>
        <v>#DIV/0!</v>
      </c>
      <c r="K412" t="e">
        <f>AVERAGEIFS('Region 21'!$W$2:$W$497,'Region 21'!$A$2:$A$497,K$1,'Region 21'!$X$2:$X$497,$D412,'Region 21'!$S$2:$S$497,$A412)</f>
        <v>#DIV/0!</v>
      </c>
      <c r="L412" t="e">
        <f>AVERAGEIFS('Region 21'!$W$2:$W$497,'Region 21'!$A$2:$A$497,L$1,'Region 21'!$X$2:$X$497,$D412,'Region 21'!$S$2:$S$497,$A412)</f>
        <v>#DIV/0!</v>
      </c>
      <c r="M412" t="e">
        <f>AVERAGEIFS('Region 21'!$W$2:$W$497,'Region 21'!$A$2:$A$497,M$1,'Region 21'!$X$2:$X$497,$D412,'Region 21'!$S$2:$S$497,$A412)</f>
        <v>#DIV/0!</v>
      </c>
      <c r="N412" t="e">
        <f>AVERAGEIFS('Region 21'!$W$2:$W$497,'Region 21'!$A$2:$A$497,N$1,'Region 21'!$X$2:$X$497,$D412,'Region 21'!$S$2:$S$497,$A412)</f>
        <v>#DIV/0!</v>
      </c>
      <c r="Q412" t="str">
        <f t="shared" si="383"/>
        <v>Copper</v>
      </c>
      <c r="R412" t="str">
        <f t="shared" si="384"/>
        <v>High-rise</v>
      </c>
      <c r="S412">
        <f t="shared" si="385"/>
        <v>21</v>
      </c>
      <c r="T412" t="str">
        <f t="shared" si="365"/>
        <v>-</v>
      </c>
      <c r="U412" t="str">
        <f t="shared" si="366"/>
        <v>-</v>
      </c>
      <c r="V412" t="str">
        <f t="shared" si="367"/>
        <v>-</v>
      </c>
      <c r="W412" t="str">
        <f t="shared" si="368"/>
        <v>-</v>
      </c>
      <c r="X412" t="str">
        <f t="shared" si="369"/>
        <v>-</v>
      </c>
      <c r="Y412" t="str">
        <f t="shared" si="370"/>
        <v>-</v>
      </c>
      <c r="Z412" t="str">
        <f t="shared" si="371"/>
        <v>-</v>
      </c>
      <c r="AA412" t="str">
        <f t="shared" si="372"/>
        <v>-</v>
      </c>
      <c r="AB412" t="str">
        <f t="shared" si="373"/>
        <v>-</v>
      </c>
      <c r="AC412" t="str">
        <f t="shared" si="374"/>
        <v>-</v>
      </c>
    </row>
    <row r="413" spans="1:29" x14ac:dyDescent="0.3">
      <c r="A413" t="s">
        <v>414</v>
      </c>
      <c r="B413" t="str">
        <f t="shared" si="396"/>
        <v>High-rise</v>
      </c>
      <c r="C413">
        <f t="shared" ref="C413:D413" si="403">C205</f>
        <v>22</v>
      </c>
      <c r="D413">
        <f t="shared" si="403"/>
        <v>4</v>
      </c>
      <c r="E413" t="e">
        <f>AVERAGEIFS('Region 22'!$W$2:$W$510,'Region 22'!$A$2:$A$510,E$1,'Region 22'!$X$2:$X$510,$D413,'Region 22'!$S$2:$S$510,$A413)</f>
        <v>#DIV/0!</v>
      </c>
      <c r="F413" t="e">
        <f>AVERAGEIFS('Region 22'!$W$2:$W$510,'Region 22'!$A$2:$A$510,F$1,'Region 22'!$X$2:$X$510,$D413,'Region 22'!$S$2:$S$510,$A413)</f>
        <v>#DIV/0!</v>
      </c>
      <c r="G413" t="e">
        <f>AVERAGEIFS('Region 22'!$W$2:$W$510,'Region 22'!$A$2:$A$510,G$1,'Region 22'!$X$2:$X$510,$D413,'Region 22'!$S$2:$S$510,$A413)</f>
        <v>#DIV/0!</v>
      </c>
      <c r="H413" t="e">
        <f>AVERAGEIFS('Region 22'!$W$2:$W$510,'Region 22'!$A$2:$A$510,H$1,'Region 22'!$X$2:$X$510,$D413,'Region 22'!$S$2:$S$510,$A413)</f>
        <v>#DIV/0!</v>
      </c>
      <c r="I413" t="e">
        <f>AVERAGEIFS('Region 22'!$W$2:$W$510,'Region 22'!$A$2:$A$510,I$1,'Region 22'!$X$2:$X$510,$D413,'Region 22'!$S$2:$S$510,$A413)</f>
        <v>#DIV/0!</v>
      </c>
      <c r="J413" t="e">
        <f>AVERAGEIFS('Region 22'!$W$2:$W$510,'Region 22'!$A$2:$A$510,J$1,'Region 22'!$X$2:$X$510,$D413,'Region 22'!$S$2:$S$510,$A413)</f>
        <v>#DIV/0!</v>
      </c>
      <c r="K413" t="e">
        <f>AVERAGEIFS('Region 22'!$W$2:$W$510,'Region 22'!$A$2:$A$510,K$1,'Region 22'!$X$2:$X$510,$D413,'Region 22'!$S$2:$S$510,$A413)</f>
        <v>#DIV/0!</v>
      </c>
      <c r="L413" t="e">
        <f>AVERAGEIFS('Region 22'!$W$2:$W$510,'Region 22'!$A$2:$A$510,L$1,'Region 22'!$X$2:$X$510,$D413,'Region 22'!$S$2:$S$510,$A413)</f>
        <v>#DIV/0!</v>
      </c>
      <c r="M413" t="e">
        <f>AVERAGEIFS('Region 22'!$W$2:$W$510,'Region 22'!$A$2:$A$510,M$1,'Region 22'!$X$2:$X$510,$D413,'Region 22'!$S$2:$S$510,$A413)</f>
        <v>#DIV/0!</v>
      </c>
      <c r="N413" t="e">
        <f>AVERAGEIFS('Region 22'!$W$2:$W$510,'Region 22'!$A$2:$A$510,N$1,'Region 22'!$X$2:$X$510,$D413,'Region 22'!$S$2:$S$510,$A413)</f>
        <v>#DIV/0!</v>
      </c>
      <c r="Q413" t="str">
        <f t="shared" si="383"/>
        <v>Copper</v>
      </c>
      <c r="R413" t="str">
        <f t="shared" si="384"/>
        <v>High-rise</v>
      </c>
      <c r="S413">
        <f t="shared" si="385"/>
        <v>22</v>
      </c>
      <c r="T413" t="str">
        <f t="shared" si="365"/>
        <v>-</v>
      </c>
      <c r="U413" t="str">
        <f t="shared" si="366"/>
        <v>-</v>
      </c>
      <c r="V413" t="str">
        <f t="shared" si="367"/>
        <v>-</v>
      </c>
      <c r="W413" t="str">
        <f t="shared" si="368"/>
        <v>-</v>
      </c>
      <c r="X413" t="str">
        <f t="shared" si="369"/>
        <v>-</v>
      </c>
      <c r="Y413" t="str">
        <f t="shared" si="370"/>
        <v>-</v>
      </c>
      <c r="Z413" t="str">
        <f t="shared" si="371"/>
        <v>-</v>
      </c>
      <c r="AA413" t="str">
        <f t="shared" si="372"/>
        <v>-</v>
      </c>
      <c r="AB413" t="str">
        <f t="shared" si="373"/>
        <v>-</v>
      </c>
      <c r="AC413" t="str">
        <f t="shared" si="374"/>
        <v>-</v>
      </c>
    </row>
    <row r="414" spans="1:29" x14ac:dyDescent="0.3">
      <c r="A414" t="s">
        <v>414</v>
      </c>
      <c r="B414" t="str">
        <f t="shared" si="396"/>
        <v>High-rise</v>
      </c>
      <c r="C414">
        <f t="shared" ref="C414:D414" si="404">C206</f>
        <v>23</v>
      </c>
      <c r="D414">
        <f t="shared" si="404"/>
        <v>4</v>
      </c>
      <c r="E414" t="e">
        <f>AVERAGEIFS('Region 23'!$W$2:$W$468,'Region 23'!$A$2:$A$468,E$1,'Region 23'!$X$2:$X$468,$D414,'Region 23'!$S$2:$S$468,$A414)</f>
        <v>#DIV/0!</v>
      </c>
      <c r="F414" t="e">
        <f>AVERAGEIFS('Region 23'!$W$2:$W$468,'Region 23'!$A$2:$A$468,F$1,'Region 23'!$X$2:$X$468,$D414,'Region 23'!$S$2:$S$468,$A414)</f>
        <v>#DIV/0!</v>
      </c>
      <c r="G414" t="e">
        <f>AVERAGEIFS('Region 23'!$W$2:$W$468,'Region 23'!$A$2:$A$468,G$1,'Region 23'!$X$2:$X$468,$D414,'Region 23'!$S$2:$S$468,$A414)</f>
        <v>#DIV/0!</v>
      </c>
      <c r="H414" t="e">
        <f>AVERAGEIFS('Region 23'!$W$2:$W$468,'Region 23'!$A$2:$A$468,H$1,'Region 23'!$X$2:$X$468,$D414,'Region 23'!$S$2:$S$468,$A414)</f>
        <v>#DIV/0!</v>
      </c>
      <c r="I414" t="e">
        <f>AVERAGEIFS('Region 23'!$W$2:$W$468,'Region 23'!$A$2:$A$468,I$1,'Region 23'!$X$2:$X$468,$D414,'Region 23'!$S$2:$S$468,$A414)</f>
        <v>#DIV/0!</v>
      </c>
      <c r="J414" t="e">
        <f>AVERAGEIFS('Region 23'!$W$2:$W$468,'Region 23'!$A$2:$A$468,J$1,'Region 23'!$X$2:$X$468,$D414,'Region 23'!$S$2:$S$468,$A414)</f>
        <v>#DIV/0!</v>
      </c>
      <c r="K414" t="e">
        <f>AVERAGEIFS('Region 23'!$W$2:$W$468,'Region 23'!$A$2:$A$468,K$1,'Region 23'!$X$2:$X$468,$D414,'Region 23'!$S$2:$S$468,$A414)</f>
        <v>#DIV/0!</v>
      </c>
      <c r="L414" t="e">
        <f>AVERAGEIFS('Region 23'!$W$2:$W$468,'Region 23'!$A$2:$A$468,L$1,'Region 23'!$X$2:$X$468,$D414,'Region 23'!$S$2:$S$468,$A414)</f>
        <v>#DIV/0!</v>
      </c>
      <c r="M414" t="e">
        <f>AVERAGEIFS('Region 23'!$W$2:$W$468,'Region 23'!$A$2:$A$468,M$1,'Region 23'!$X$2:$X$468,$D414,'Region 23'!$S$2:$S$468,$A414)</f>
        <v>#DIV/0!</v>
      </c>
      <c r="N414" t="e">
        <f>AVERAGEIFS('Region 23'!$W$2:$W$468,'Region 23'!$A$2:$A$468,N$1,'Region 23'!$X$2:$X$468,$D414,'Region 23'!$S$2:$S$468,$A414)</f>
        <v>#DIV/0!</v>
      </c>
      <c r="Q414" t="str">
        <f t="shared" si="383"/>
        <v>Copper</v>
      </c>
      <c r="R414" t="str">
        <f t="shared" si="384"/>
        <v>High-rise</v>
      </c>
      <c r="S414">
        <f t="shared" si="385"/>
        <v>23</v>
      </c>
      <c r="T414" t="str">
        <f t="shared" si="365"/>
        <v>-</v>
      </c>
      <c r="U414" t="str">
        <f t="shared" si="366"/>
        <v>-</v>
      </c>
      <c r="V414" t="str">
        <f t="shared" si="367"/>
        <v>-</v>
      </c>
      <c r="W414" t="str">
        <f t="shared" si="368"/>
        <v>-</v>
      </c>
      <c r="X414" t="str">
        <f t="shared" si="369"/>
        <v>-</v>
      </c>
      <c r="Y414" t="str">
        <f t="shared" si="370"/>
        <v>-</v>
      </c>
      <c r="Z414" t="str">
        <f t="shared" si="371"/>
        <v>-</v>
      </c>
      <c r="AA414" t="str">
        <f t="shared" si="372"/>
        <v>-</v>
      </c>
      <c r="AB414" t="str">
        <f t="shared" si="373"/>
        <v>-</v>
      </c>
      <c r="AC414" t="str">
        <f t="shared" si="374"/>
        <v>-</v>
      </c>
    </row>
    <row r="415" spans="1:29" x14ac:dyDescent="0.3">
      <c r="A415" t="s">
        <v>414</v>
      </c>
      <c r="B415" t="str">
        <f t="shared" si="396"/>
        <v>High-rise</v>
      </c>
      <c r="C415">
        <f t="shared" ref="C415:D415" si="405">C207</f>
        <v>24</v>
      </c>
      <c r="D415">
        <f t="shared" si="405"/>
        <v>4</v>
      </c>
      <c r="E415" t="e">
        <f>AVERAGEIFS('Region 24'!$W$2:$W$454,'Region 24'!$A$2:$A$454,E$1,'Region 24'!$X$2:$X$454,$D415,'Region 24'!$S$2:$S$454,$A415)</f>
        <v>#DIV/0!</v>
      </c>
      <c r="F415" t="e">
        <f>AVERAGEIFS('Region 24'!$W$2:$W$454,'Region 24'!$A$2:$A$454,F$1,'Region 24'!$X$2:$X$454,$D415,'Region 24'!$S$2:$S$454,$A415)</f>
        <v>#DIV/0!</v>
      </c>
      <c r="G415" t="e">
        <f>AVERAGEIFS('Region 24'!$W$2:$W$454,'Region 24'!$A$2:$A$454,G$1,'Region 24'!$X$2:$X$454,$D415,'Region 24'!$S$2:$S$454,$A415)</f>
        <v>#DIV/0!</v>
      </c>
      <c r="H415" t="e">
        <f>AVERAGEIFS('Region 24'!$W$2:$W$454,'Region 24'!$A$2:$A$454,H$1,'Region 24'!$X$2:$X$454,$D415,'Region 24'!$S$2:$S$454,$A415)</f>
        <v>#DIV/0!</v>
      </c>
      <c r="I415" t="e">
        <f>AVERAGEIFS('Region 24'!$W$2:$W$454,'Region 24'!$A$2:$A$454,I$1,'Region 24'!$X$2:$X$454,$D415,'Region 24'!$S$2:$S$454,$A415)</f>
        <v>#DIV/0!</v>
      </c>
      <c r="J415" t="e">
        <f>AVERAGEIFS('Region 24'!$W$2:$W$454,'Region 24'!$A$2:$A$454,J$1,'Region 24'!$X$2:$X$454,$D415,'Region 24'!$S$2:$S$454,$A415)</f>
        <v>#DIV/0!</v>
      </c>
      <c r="K415" t="e">
        <f>AVERAGEIFS('Region 24'!$W$2:$W$454,'Region 24'!$A$2:$A$454,K$1,'Region 24'!$X$2:$X$454,$D415,'Region 24'!$S$2:$S$454,$A415)</f>
        <v>#DIV/0!</v>
      </c>
      <c r="L415" t="e">
        <f>AVERAGEIFS('Region 24'!$W$2:$W$454,'Region 24'!$A$2:$A$454,L$1,'Region 24'!$X$2:$X$454,$D415,'Region 24'!$S$2:$S$454,$A415)</f>
        <v>#DIV/0!</v>
      </c>
      <c r="M415" t="e">
        <f>AVERAGEIFS('Region 24'!$W$2:$W$454,'Region 24'!$A$2:$A$454,M$1,'Region 24'!$X$2:$X$454,$D415,'Region 24'!$S$2:$S$454,$A415)</f>
        <v>#DIV/0!</v>
      </c>
      <c r="N415" t="e">
        <f>AVERAGEIFS('Region 24'!$W$2:$W$454,'Region 24'!$A$2:$A$454,N$1,'Region 24'!$X$2:$X$454,$D415,'Region 24'!$S$2:$S$454,$A415)</f>
        <v>#DIV/0!</v>
      </c>
      <c r="Q415" t="str">
        <f t="shared" si="383"/>
        <v>Copper</v>
      </c>
      <c r="R415" t="str">
        <f t="shared" si="384"/>
        <v>High-rise</v>
      </c>
      <c r="S415">
        <f t="shared" si="385"/>
        <v>24</v>
      </c>
      <c r="T415" t="str">
        <f t="shared" si="365"/>
        <v>-</v>
      </c>
      <c r="U415" t="str">
        <f t="shared" si="366"/>
        <v>-</v>
      </c>
      <c r="V415" t="str">
        <f t="shared" si="367"/>
        <v>-</v>
      </c>
      <c r="W415" t="str">
        <f t="shared" si="368"/>
        <v>-</v>
      </c>
      <c r="X415" t="str">
        <f t="shared" si="369"/>
        <v>-</v>
      </c>
      <c r="Y415" t="str">
        <f t="shared" si="370"/>
        <v>-</v>
      </c>
      <c r="Z415" t="str">
        <f t="shared" si="371"/>
        <v>-</v>
      </c>
      <c r="AA415" t="str">
        <f t="shared" si="372"/>
        <v>-</v>
      </c>
      <c r="AB415" t="str">
        <f t="shared" si="373"/>
        <v>-</v>
      </c>
      <c r="AC415" t="str">
        <f t="shared" si="374"/>
        <v>-</v>
      </c>
    </row>
    <row r="416" spans="1:29" x14ac:dyDescent="0.3">
      <c r="A416" t="s">
        <v>414</v>
      </c>
      <c r="B416" t="str">
        <f t="shared" si="396"/>
        <v>High-rise</v>
      </c>
      <c r="C416">
        <f t="shared" ref="C416:D416" si="406">C208</f>
        <v>25</v>
      </c>
      <c r="D416">
        <f t="shared" si="406"/>
        <v>4</v>
      </c>
      <c r="E416" t="e">
        <f>AVERAGEIFS('Region 25'!$W$2:$W$499,'Region 25'!$A$2:$A$499,E$1,'Region 25'!$X$2:$X$499,$D416,'Region 25'!$S$2:$S$499,$A416)</f>
        <v>#DIV/0!</v>
      </c>
      <c r="F416" t="e">
        <f>AVERAGEIFS('Region 25'!$W$2:$W$499,'Region 25'!$A$2:$A$499,F$1,'Region 25'!$X$2:$X$499,$D416,'Region 25'!$S$2:$S$499,$A416)</f>
        <v>#DIV/0!</v>
      </c>
      <c r="G416" t="e">
        <f>AVERAGEIFS('Region 25'!$W$2:$W$499,'Region 25'!$A$2:$A$499,G$1,'Region 25'!$X$2:$X$499,$D416,'Region 25'!$S$2:$S$499,$A416)</f>
        <v>#DIV/0!</v>
      </c>
      <c r="H416" t="e">
        <f>AVERAGEIFS('Region 25'!$W$2:$W$499,'Region 25'!$A$2:$A$499,H$1,'Region 25'!$X$2:$X$499,$D416,'Region 25'!$S$2:$S$499,$A416)</f>
        <v>#DIV/0!</v>
      </c>
      <c r="I416" t="e">
        <f>AVERAGEIFS('Region 25'!$W$2:$W$499,'Region 25'!$A$2:$A$499,I$1,'Region 25'!$X$2:$X$499,$D416,'Region 25'!$S$2:$S$499,$A416)</f>
        <v>#DIV/0!</v>
      </c>
      <c r="J416" t="e">
        <f>AVERAGEIFS('Region 25'!$W$2:$W$499,'Region 25'!$A$2:$A$499,J$1,'Region 25'!$X$2:$X$499,$D416,'Region 25'!$S$2:$S$499,$A416)</f>
        <v>#DIV/0!</v>
      </c>
      <c r="K416" t="e">
        <f>AVERAGEIFS('Region 25'!$W$2:$W$499,'Region 25'!$A$2:$A$499,K$1,'Region 25'!$X$2:$X$499,$D416,'Region 25'!$S$2:$S$499,$A416)</f>
        <v>#DIV/0!</v>
      </c>
      <c r="L416" t="e">
        <f>AVERAGEIFS('Region 25'!$W$2:$W$499,'Region 25'!$A$2:$A$499,L$1,'Region 25'!$X$2:$X$499,$D416,'Region 25'!$S$2:$S$499,$A416)</f>
        <v>#DIV/0!</v>
      </c>
      <c r="M416" t="e">
        <f>AVERAGEIFS('Region 25'!$W$2:$W$499,'Region 25'!$A$2:$A$499,M$1,'Region 25'!$X$2:$X$499,$D416,'Region 25'!$S$2:$S$499,$A416)</f>
        <v>#DIV/0!</v>
      </c>
      <c r="N416" t="e">
        <f>AVERAGEIFS('Region 25'!$W$2:$W$499,'Region 25'!$A$2:$A$499,N$1,'Region 25'!$X$2:$X$499,$D416,'Region 25'!$S$2:$S$499,$A416)</f>
        <v>#DIV/0!</v>
      </c>
      <c r="Q416" t="str">
        <f t="shared" si="383"/>
        <v>Copper</v>
      </c>
      <c r="R416" t="str">
        <f t="shared" si="384"/>
        <v>High-rise</v>
      </c>
      <c r="S416">
        <f t="shared" si="385"/>
        <v>25</v>
      </c>
      <c r="T416" t="str">
        <f t="shared" si="365"/>
        <v>-</v>
      </c>
      <c r="U416" t="str">
        <f t="shared" si="366"/>
        <v>-</v>
      </c>
      <c r="V416" t="str">
        <f t="shared" si="367"/>
        <v>-</v>
      </c>
      <c r="W416" t="str">
        <f t="shared" si="368"/>
        <v>-</v>
      </c>
      <c r="X416" t="str">
        <f t="shared" si="369"/>
        <v>-</v>
      </c>
      <c r="Y416" t="str">
        <f t="shared" si="370"/>
        <v>-</v>
      </c>
      <c r="Z416" t="str">
        <f t="shared" si="371"/>
        <v>-</v>
      </c>
      <c r="AA416" t="str">
        <f t="shared" si="372"/>
        <v>-</v>
      </c>
      <c r="AB416" t="str">
        <f t="shared" si="373"/>
        <v>-</v>
      </c>
      <c r="AC416" t="str">
        <f t="shared" si="374"/>
        <v>-</v>
      </c>
    </row>
    <row r="417" spans="1:29" x14ac:dyDescent="0.3">
      <c r="A417" t="s">
        <v>414</v>
      </c>
      <c r="B417" t="str">
        <f t="shared" si="396"/>
        <v>High-rise</v>
      </c>
      <c r="C417">
        <f t="shared" ref="C417:D417" si="407">C209</f>
        <v>26</v>
      </c>
      <c r="D417">
        <f t="shared" si="407"/>
        <v>4</v>
      </c>
      <c r="E417" t="e">
        <f ca="1">AVERAGEIFS('Region 26'!$W$2:$W$500,'Region 26'!$A$2:$A$500,E$1,'Region 26'!$X$2:$X$500,$D417,'Region 26'!$S$2:$S$500,$A417)</f>
        <v>#DIV/0!</v>
      </c>
      <c r="F417" t="e">
        <f ca="1">AVERAGEIFS('Region 26'!$W$2:$W$500,'Region 26'!$A$2:$A$500,F$1,'Region 26'!$X$2:$X$500,$D417,'Region 26'!$S$2:$S$500,$A417)</f>
        <v>#DIV/0!</v>
      </c>
      <c r="G417" t="e">
        <f ca="1">AVERAGEIFS('Region 26'!$W$2:$W$500,'Region 26'!$A$2:$A$500,G$1,'Region 26'!$X$2:$X$500,$D417,'Region 26'!$S$2:$S$500,$A417)</f>
        <v>#DIV/0!</v>
      </c>
      <c r="H417" t="e">
        <f ca="1">AVERAGEIFS('Region 26'!$W$2:$W$500,'Region 26'!$A$2:$A$500,H$1,'Region 26'!$X$2:$X$500,$D417,'Region 26'!$S$2:$S$500,$A417)</f>
        <v>#DIV/0!</v>
      </c>
      <c r="I417" t="e">
        <f ca="1">AVERAGEIFS('Region 26'!$W$2:$W$500,'Region 26'!$A$2:$A$500,I$1,'Region 26'!$X$2:$X$500,$D417,'Region 26'!$S$2:$S$500,$A417)</f>
        <v>#DIV/0!</v>
      </c>
      <c r="J417" t="e">
        <f ca="1">AVERAGEIFS('Region 26'!$W$2:$W$500,'Region 26'!$A$2:$A$500,J$1,'Region 26'!$X$2:$X$500,$D417,'Region 26'!$S$2:$S$500,$A417)</f>
        <v>#DIV/0!</v>
      </c>
      <c r="K417" t="e">
        <f ca="1">AVERAGEIFS('Region 26'!$W$2:$W$500,'Region 26'!$A$2:$A$500,K$1,'Region 26'!$X$2:$X$500,$D417,'Region 26'!$S$2:$S$500,$A417)</f>
        <v>#DIV/0!</v>
      </c>
      <c r="L417" t="e">
        <f ca="1">AVERAGEIFS('Region 26'!$W$2:$W$500,'Region 26'!$A$2:$A$500,L$1,'Region 26'!$X$2:$X$500,$D417,'Region 26'!$S$2:$S$500,$A417)</f>
        <v>#DIV/0!</v>
      </c>
      <c r="M417" t="e">
        <f ca="1">AVERAGEIFS('Region 26'!$W$2:$W$500,'Region 26'!$A$2:$A$500,M$1,'Region 26'!$X$2:$X$500,$D417,'Region 26'!$S$2:$S$500,$A417)</f>
        <v>#DIV/0!</v>
      </c>
      <c r="N417" t="e">
        <f ca="1">AVERAGEIFS('Region 26'!$W$2:$W$500,'Region 26'!$A$2:$A$500,N$1,'Region 26'!$X$2:$X$500,$D417,'Region 26'!$S$2:$S$500,$A417)</f>
        <v>#DIV/0!</v>
      </c>
      <c r="Q417" t="str">
        <f t="shared" si="383"/>
        <v>Copper</v>
      </c>
      <c r="R417" t="str">
        <f t="shared" si="384"/>
        <v>High-rise</v>
      </c>
      <c r="S417">
        <f t="shared" si="385"/>
        <v>26</v>
      </c>
      <c r="T417" t="str">
        <f t="shared" ca="1" si="365"/>
        <v>-</v>
      </c>
      <c r="U417" t="str">
        <f t="shared" ca="1" si="366"/>
        <v>-</v>
      </c>
      <c r="V417" t="str">
        <f t="shared" ca="1" si="367"/>
        <v>-</v>
      </c>
      <c r="W417" t="str">
        <f t="shared" ca="1" si="368"/>
        <v>-</v>
      </c>
      <c r="X417" t="str">
        <f t="shared" ca="1" si="369"/>
        <v>-</v>
      </c>
      <c r="Y417" t="str">
        <f t="shared" ca="1" si="370"/>
        <v>-</v>
      </c>
      <c r="Z417" t="str">
        <f t="shared" ca="1" si="371"/>
        <v>-</v>
      </c>
      <c r="AA417" t="str">
        <f t="shared" ca="1" si="372"/>
        <v>-</v>
      </c>
      <c r="AB417" t="str">
        <f t="shared" ca="1" si="373"/>
        <v>-</v>
      </c>
      <c r="AC417" t="str">
        <f t="shared" ca="1" si="374"/>
        <v>-</v>
      </c>
    </row>
    <row r="418" spans="1:29" x14ac:dyDescent="0.3">
      <c r="A418" t="s">
        <v>290</v>
      </c>
      <c r="B418" t="str">
        <f>B314</f>
        <v>Detached</v>
      </c>
      <c r="C418">
        <f>C314</f>
        <v>1</v>
      </c>
      <c r="D418">
        <f>D314</f>
        <v>1</v>
      </c>
      <c r="E418">
        <f>AVERAGEIFS('Region 1'!$W$2:$W$498,'Region 1'!$A$2:$A$498,E$1,'Region 1'!$X$2:$X$498,$D418,'Region 1'!$S$2:$S$498,$A418)</f>
        <v>14.454143521142729</v>
      </c>
      <c r="F418" t="e">
        <f>AVERAGEIFS('Region 1'!$W$2:$W$498,'Region 1'!$A$2:$A$498,F$1,'Region 1'!$X$2:$X$498,$D418,'Region 1'!$S$2:$S$498,$A418)</f>
        <v>#DIV/0!</v>
      </c>
      <c r="G418">
        <f>AVERAGEIFS('Region 1'!$W$2:$W$498,'Region 1'!$A$2:$A$498,G$1,'Region 1'!$X$2:$X$498,$D418,'Region 1'!$S$2:$S$498,$A418)</f>
        <v>6.6831750000000003</v>
      </c>
      <c r="H418" t="e">
        <f>AVERAGEIFS('Region 1'!$W$2:$W$498,'Region 1'!$A$2:$A$498,H$1,'Region 1'!$X$2:$X$498,$D418,'Region 1'!$S$2:$S$498,$A418)</f>
        <v>#DIV/0!</v>
      </c>
      <c r="I418" t="e">
        <f>AVERAGEIFS('Region 1'!$W$2:$W$498,'Region 1'!$A$2:$A$498,I$1,'Region 1'!$X$2:$X$498,$D418,'Region 1'!$S$2:$S$498,$A418)</f>
        <v>#DIV/0!</v>
      </c>
      <c r="J418" t="e">
        <f>AVERAGEIFS('Region 1'!$W$2:$W$498,'Region 1'!$A$2:$A$498,J$1,'Region 1'!$X$2:$X$498,$D418,'Region 1'!$S$2:$S$498,$A418)</f>
        <v>#DIV/0!</v>
      </c>
      <c r="K418" t="e">
        <f>AVERAGEIFS('Region 1'!$W$2:$W$498,'Region 1'!$A$2:$A$498,K$1,'Region 1'!$X$2:$X$498,$D418,'Region 1'!$S$2:$S$498,$A418)</f>
        <v>#DIV/0!</v>
      </c>
      <c r="L418" t="e">
        <f>AVERAGEIFS('Region 1'!$W$2:$W$498,'Region 1'!$A$2:$A$498,L$1,'Region 1'!$X$2:$X$498,$D418,'Region 1'!$S$2:$S$498,$A418)</f>
        <v>#DIV/0!</v>
      </c>
      <c r="M418" t="e">
        <f>AVERAGEIFS('Region 1'!$W$2:$W$498,'Region 1'!$A$2:$A$498,M$1,'Region 1'!$X$2:$X$498,$D418,'Region 1'!$S$2:$S$498,$A418)</f>
        <v>#DIV/0!</v>
      </c>
      <c r="N418" t="e">
        <f>AVERAGEIFS('Region 1'!$W$2:$W$498,'Region 1'!$A$2:$A$498,N$1,'Region 1'!$X$2:$X$498,$D418,'Region 1'!$S$2:$S$498,$A418)</f>
        <v>#DIV/0!</v>
      </c>
      <c r="Q418" t="str">
        <f t="shared" si="383"/>
        <v>Aluminium</v>
      </c>
      <c r="R418" t="str">
        <f t="shared" si="384"/>
        <v>Detached</v>
      </c>
      <c r="S418">
        <f t="shared" si="385"/>
        <v>1</v>
      </c>
      <c r="T418">
        <f t="shared" si="365"/>
        <v>14.454143521142729</v>
      </c>
      <c r="U418" t="str">
        <f t="shared" si="366"/>
        <v>-</v>
      </c>
      <c r="V418">
        <f t="shared" si="367"/>
        <v>6.6831750000000003</v>
      </c>
      <c r="W418" t="str">
        <f t="shared" si="368"/>
        <v>-</v>
      </c>
      <c r="X418" t="str">
        <f t="shared" si="369"/>
        <v>-</v>
      </c>
      <c r="Y418" t="str">
        <f t="shared" si="370"/>
        <v>-</v>
      </c>
      <c r="Z418" t="str">
        <f t="shared" si="371"/>
        <v>-</v>
      </c>
      <c r="AA418" t="str">
        <f t="shared" si="372"/>
        <v>-</v>
      </c>
      <c r="AB418" t="str">
        <f t="shared" si="373"/>
        <v>-</v>
      </c>
      <c r="AC418" t="str">
        <f t="shared" si="374"/>
        <v>-</v>
      </c>
    </row>
    <row r="419" spans="1:29" x14ac:dyDescent="0.3">
      <c r="A419" t="s">
        <v>290</v>
      </c>
      <c r="B419" t="str">
        <f t="shared" ref="B419:D419" si="408">B315</f>
        <v>Detached</v>
      </c>
      <c r="C419">
        <f t="shared" si="408"/>
        <v>2</v>
      </c>
      <c r="D419">
        <f t="shared" si="408"/>
        <v>1</v>
      </c>
      <c r="E419">
        <f>AVERAGEIFS('Region 2'!$W$2:$W$498,'Region 2'!$A$2:$A$498,E$1,'Region 2'!$X$2:$X$498,$D419,'Region 2'!$S$2:$S$498,$A419)</f>
        <v>0.35718616384696095</v>
      </c>
      <c r="F419">
        <f>AVERAGEIFS('Region 2'!$W$2:$W$498,'Region 2'!$A$2:$A$498,F$1,'Region 2'!$X$2:$X$498,$D419,'Region 2'!$S$2:$S$498,$A419)</f>
        <v>1.3636363636363635</v>
      </c>
      <c r="G419">
        <f>AVERAGEIFS('Region 2'!$W$2:$W$498,'Region 2'!$A$2:$A$498,G$1,'Region 2'!$X$2:$X$498,$D419,'Region 2'!$S$2:$S$498,$A419)</f>
        <v>2.5011389911698116</v>
      </c>
      <c r="H419" t="e">
        <f>AVERAGEIFS('Region 2'!$W$2:$W$498,'Region 2'!$A$2:$A$498,H$1,'Region 2'!$X$2:$X$498,$D419,'Region 2'!$S$2:$S$498,$A419)</f>
        <v>#DIV/0!</v>
      </c>
      <c r="I419" t="e">
        <f>AVERAGEIFS('Region 2'!$W$2:$W$498,'Region 2'!$A$2:$A$498,I$1,'Region 2'!$X$2:$X$498,$D419,'Region 2'!$S$2:$S$498,$A419)</f>
        <v>#DIV/0!</v>
      </c>
      <c r="J419" t="e">
        <f>AVERAGEIFS('Region 2'!$W$2:$W$498,'Region 2'!$A$2:$A$498,J$1,'Region 2'!$X$2:$X$498,$D419,'Region 2'!$S$2:$S$498,$A419)</f>
        <v>#DIV/0!</v>
      </c>
      <c r="K419" t="e">
        <f>AVERAGEIFS('Region 2'!$W$2:$W$498,'Region 2'!$A$2:$A$498,K$1,'Region 2'!$X$2:$X$498,$D419,'Region 2'!$S$2:$S$498,$A419)</f>
        <v>#DIV/0!</v>
      </c>
      <c r="L419" t="e">
        <f>AVERAGEIFS('Region 2'!$W$2:$W$498,'Region 2'!$A$2:$A$498,L$1,'Region 2'!$X$2:$X$498,$D419,'Region 2'!$S$2:$S$498,$A419)</f>
        <v>#DIV/0!</v>
      </c>
      <c r="M419" t="e">
        <f>AVERAGEIFS('Region 2'!$W$2:$W$498,'Region 2'!$A$2:$A$498,M$1,'Region 2'!$X$2:$X$498,$D419,'Region 2'!$S$2:$S$498,$A419)</f>
        <v>#DIV/0!</v>
      </c>
      <c r="N419" t="e">
        <f>AVERAGEIFS('Region 2'!$W$2:$W$498,'Region 2'!$A$2:$A$498,N$1,'Region 2'!$X$2:$X$498,$D419,'Region 2'!$S$2:$S$498,$A419)</f>
        <v>#DIV/0!</v>
      </c>
      <c r="Q419" t="str">
        <f t="shared" si="383"/>
        <v>Aluminium</v>
      </c>
      <c r="R419" t="str">
        <f t="shared" si="384"/>
        <v>Detached</v>
      </c>
      <c r="S419">
        <f t="shared" si="385"/>
        <v>2</v>
      </c>
      <c r="T419">
        <f t="shared" si="365"/>
        <v>0.35718616384696095</v>
      </c>
      <c r="U419">
        <f t="shared" si="366"/>
        <v>1.3636363636363635</v>
      </c>
      <c r="V419">
        <f t="shared" si="367"/>
        <v>2.5011389911698116</v>
      </c>
      <c r="W419" t="str">
        <f t="shared" si="368"/>
        <v>-</v>
      </c>
      <c r="X419" t="str">
        <f t="shared" si="369"/>
        <v>-</v>
      </c>
      <c r="Y419" t="str">
        <f t="shared" si="370"/>
        <v>-</v>
      </c>
      <c r="Z419" t="str">
        <f t="shared" si="371"/>
        <v>-</v>
      </c>
      <c r="AA419" t="str">
        <f t="shared" si="372"/>
        <v>-</v>
      </c>
      <c r="AB419" t="str">
        <f t="shared" si="373"/>
        <v>-</v>
      </c>
      <c r="AC419" t="str">
        <f t="shared" si="374"/>
        <v>-</v>
      </c>
    </row>
    <row r="420" spans="1:29" x14ac:dyDescent="0.3">
      <c r="A420" t="s">
        <v>290</v>
      </c>
      <c r="B420" t="str">
        <f t="shared" ref="B420:D420" si="409">B316</f>
        <v>Detached</v>
      </c>
      <c r="C420">
        <f t="shared" si="409"/>
        <v>3</v>
      </c>
      <c r="D420">
        <f t="shared" si="409"/>
        <v>1</v>
      </c>
      <c r="E420" t="e">
        <f ca="1">AVERAGEIFS('Region 3'!$W$2:$W$500,'Region 3'!$A$2:$A$500,E$1,'Region 3'!$X$2:$X$500,$D420,'Region 3'!$S$2:$S$500,$A420)</f>
        <v>#DIV/0!</v>
      </c>
      <c r="F420" t="e">
        <f ca="1">AVERAGEIFS('Region 3'!$W$2:$W$500,'Region 3'!$A$2:$A$500,F$1,'Region 3'!$X$2:$X$500,$D420,'Region 3'!$S$2:$S$500,$A420)</f>
        <v>#DIV/0!</v>
      </c>
      <c r="G420" t="e">
        <f ca="1">AVERAGEIFS('Region 3'!$W$2:$W$500,'Region 3'!$A$2:$A$500,G$1,'Region 3'!$X$2:$X$500,$D420,'Region 3'!$S$2:$S$500,$A420)</f>
        <v>#DIV/0!</v>
      </c>
      <c r="H420" t="e">
        <f ca="1">AVERAGEIFS('Region 3'!$W$2:$W$500,'Region 3'!$A$2:$A$500,H$1,'Region 3'!$X$2:$X$500,$D420,'Region 3'!$S$2:$S$500,$A420)</f>
        <v>#DIV/0!</v>
      </c>
      <c r="I420" t="e">
        <f ca="1">AVERAGEIFS('Region 3'!$W$2:$W$500,'Region 3'!$A$2:$A$500,I$1,'Region 3'!$X$2:$X$500,$D420,'Region 3'!$S$2:$S$500,$A420)</f>
        <v>#DIV/0!</v>
      </c>
      <c r="J420" t="e">
        <f ca="1">AVERAGEIFS('Region 3'!$W$2:$W$500,'Region 3'!$A$2:$A$500,J$1,'Region 3'!$X$2:$X$500,$D420,'Region 3'!$S$2:$S$500,$A420)</f>
        <v>#DIV/0!</v>
      </c>
      <c r="K420" t="e">
        <f ca="1">AVERAGEIFS('Region 3'!$W$2:$W$500,'Region 3'!$A$2:$A$500,K$1,'Region 3'!$X$2:$X$500,$D420,'Region 3'!$S$2:$S$500,$A420)</f>
        <v>#DIV/0!</v>
      </c>
      <c r="L420" t="e">
        <f ca="1">AVERAGEIFS('Region 3'!$W$2:$W$500,'Region 3'!$A$2:$A$500,L$1,'Region 3'!$X$2:$X$500,$D420,'Region 3'!$S$2:$S$500,$A420)</f>
        <v>#DIV/0!</v>
      </c>
      <c r="M420" t="e">
        <f ca="1">AVERAGEIFS('Region 3'!$W$2:$W$500,'Region 3'!$A$2:$A$500,M$1,'Region 3'!$X$2:$X$500,$D420,'Region 3'!$S$2:$S$500,$A420)</f>
        <v>#DIV/0!</v>
      </c>
      <c r="N420" t="e">
        <f ca="1">AVERAGEIFS('Region 3'!$W$2:$W$500,'Region 3'!$A$2:$A$500,N$1,'Region 3'!$X$2:$X$500,$D420,'Region 3'!$S$2:$S$500,$A420)</f>
        <v>#DIV/0!</v>
      </c>
      <c r="Q420" t="str">
        <f t="shared" si="383"/>
        <v>Aluminium</v>
      </c>
      <c r="R420" t="str">
        <f t="shared" si="384"/>
        <v>Detached</v>
      </c>
      <c r="S420">
        <f t="shared" si="385"/>
        <v>3</v>
      </c>
      <c r="T420" t="str">
        <f t="shared" ca="1" si="365"/>
        <v>-</v>
      </c>
      <c r="U420" t="str">
        <f t="shared" ca="1" si="366"/>
        <v>-</v>
      </c>
      <c r="V420" t="str">
        <f t="shared" ca="1" si="367"/>
        <v>-</v>
      </c>
      <c r="W420" t="str">
        <f t="shared" ca="1" si="368"/>
        <v>-</v>
      </c>
      <c r="X420" t="str">
        <f t="shared" ca="1" si="369"/>
        <v>-</v>
      </c>
      <c r="Y420" t="str">
        <f t="shared" ca="1" si="370"/>
        <v>-</v>
      </c>
      <c r="Z420" t="str">
        <f t="shared" ca="1" si="371"/>
        <v>-</v>
      </c>
      <c r="AA420" t="str">
        <f t="shared" ca="1" si="372"/>
        <v>-</v>
      </c>
      <c r="AB420" t="str">
        <f t="shared" ca="1" si="373"/>
        <v>-</v>
      </c>
      <c r="AC420" t="str">
        <f t="shared" ca="1" si="374"/>
        <v>-</v>
      </c>
    </row>
    <row r="421" spans="1:29" x14ac:dyDescent="0.3">
      <c r="A421" t="s">
        <v>290</v>
      </c>
      <c r="B421" t="str">
        <f t="shared" ref="B421:D421" si="410">B317</f>
        <v>Detached</v>
      </c>
      <c r="C421">
        <f t="shared" si="410"/>
        <v>4</v>
      </c>
      <c r="D421">
        <f t="shared" si="410"/>
        <v>1</v>
      </c>
      <c r="E421" t="e">
        <f>AVERAGEIFS('Region 4'!$W$2:$W$10,'Region 4'!$A$2:$A$10,E$1,'Region 4'!$X$2:$X$10,$D421,'Region 4'!$S$2:$S$10,$A421)</f>
        <v>#DIV/0!</v>
      </c>
      <c r="F421" t="e">
        <f>AVERAGEIFS('Region 4'!$W$2:$W$10,'Region 4'!$A$2:$A$10,F$1,'Region 4'!$X$2:$X$10,$D421,'Region 4'!$S$2:$S$10,$A421)</f>
        <v>#DIV/0!</v>
      </c>
      <c r="G421" t="e">
        <f>AVERAGEIFS('Region 4'!$W$2:$W$10,'Region 4'!$A$2:$A$10,G$1,'Region 4'!$X$2:$X$10,$D421,'Region 4'!$S$2:$S$10,$A421)</f>
        <v>#DIV/0!</v>
      </c>
      <c r="H421" t="e">
        <f>AVERAGEIFS('Region 4'!$W$2:$W$10,'Region 4'!$A$2:$A$10,H$1,'Region 4'!$X$2:$X$10,$D421,'Region 4'!$S$2:$S$10,$A421)</f>
        <v>#DIV/0!</v>
      </c>
      <c r="I421" t="e">
        <f>AVERAGEIFS('Region 4'!$W$2:$W$10,'Region 4'!$A$2:$A$10,I$1,'Region 4'!$X$2:$X$10,$D421,'Region 4'!$S$2:$S$10,$A421)</f>
        <v>#DIV/0!</v>
      </c>
      <c r="J421" t="e">
        <f>AVERAGEIFS('Region 4'!$W$2:$W$10,'Region 4'!$A$2:$A$10,J$1,'Region 4'!$X$2:$X$10,$D421,'Region 4'!$S$2:$S$10,$A421)</f>
        <v>#DIV/0!</v>
      </c>
      <c r="K421" t="e">
        <f>AVERAGEIFS('Region 4'!$W$2:$W$10,'Region 4'!$A$2:$A$10,K$1,'Region 4'!$X$2:$X$10,$D421,'Region 4'!$S$2:$S$10,$A421)</f>
        <v>#DIV/0!</v>
      </c>
      <c r="L421" t="e">
        <f>AVERAGEIFS('Region 4'!$W$2:$W$10,'Region 4'!$A$2:$A$10,L$1,'Region 4'!$X$2:$X$10,$D421,'Region 4'!$S$2:$S$10,$A421)</f>
        <v>#DIV/0!</v>
      </c>
      <c r="M421" t="e">
        <f>AVERAGEIFS('Region 4'!$W$2:$W$10,'Region 4'!$A$2:$A$10,M$1,'Region 4'!$X$2:$X$10,$D421,'Region 4'!$S$2:$S$10,$A421)</f>
        <v>#DIV/0!</v>
      </c>
      <c r="N421" t="e">
        <f>AVERAGEIFS('Region 4'!$W$2:$W$10,'Region 4'!$A$2:$A$10,N$1,'Region 4'!$X$2:$X$10,$D421,'Region 4'!$S$2:$S$10,$A421)</f>
        <v>#DIV/0!</v>
      </c>
      <c r="Q421" t="str">
        <f t="shared" si="383"/>
        <v>Aluminium</v>
      </c>
      <c r="R421" t="str">
        <f t="shared" si="384"/>
        <v>Detached</v>
      </c>
      <c r="S421">
        <f t="shared" si="385"/>
        <v>4</v>
      </c>
      <c r="T421" t="str">
        <f t="shared" si="365"/>
        <v>-</v>
      </c>
      <c r="U421" t="str">
        <f t="shared" si="366"/>
        <v>-</v>
      </c>
      <c r="V421" t="str">
        <f t="shared" si="367"/>
        <v>-</v>
      </c>
      <c r="W421" t="str">
        <f t="shared" si="368"/>
        <v>-</v>
      </c>
      <c r="X421" t="str">
        <f t="shared" si="369"/>
        <v>-</v>
      </c>
      <c r="Y421" t="str">
        <f t="shared" si="370"/>
        <v>-</v>
      </c>
      <c r="Z421" t="str">
        <f t="shared" si="371"/>
        <v>-</v>
      </c>
      <c r="AA421" t="str">
        <f t="shared" si="372"/>
        <v>-</v>
      </c>
      <c r="AB421" t="str">
        <f t="shared" si="373"/>
        <v>-</v>
      </c>
      <c r="AC421" t="str">
        <f t="shared" si="374"/>
        <v>-</v>
      </c>
    </row>
    <row r="422" spans="1:29" x14ac:dyDescent="0.3">
      <c r="A422" t="s">
        <v>290</v>
      </c>
      <c r="B422" t="str">
        <f t="shared" ref="B422:D422" si="411">B318</f>
        <v>Detached</v>
      </c>
      <c r="C422">
        <f t="shared" si="411"/>
        <v>5</v>
      </c>
      <c r="D422">
        <f t="shared" si="411"/>
        <v>1</v>
      </c>
      <c r="E422" t="e">
        <f>AVERAGEIFS('Region 5'!$W$2:$W$496,'Region 5'!$A$2:$A$496,E$1,'Region 5'!$X$2:$X$496,$D422,'Region 5'!$S$2:$S$496,$A422)</f>
        <v>#DIV/0!</v>
      </c>
      <c r="F422" t="e">
        <f>AVERAGEIFS('Region 5'!$W$2:$W$496,'Region 5'!$A$2:$A$496,F$1,'Region 5'!$X$2:$X$496,$D422,'Region 5'!$S$2:$S$496,$A422)</f>
        <v>#DIV/0!</v>
      </c>
      <c r="G422" t="e">
        <f>AVERAGEIFS('Region 5'!$W$2:$W$496,'Region 5'!$A$2:$A$496,G$1,'Region 5'!$X$2:$X$496,$D422,'Region 5'!$S$2:$S$496,$A422)</f>
        <v>#DIV/0!</v>
      </c>
      <c r="H422" t="e">
        <f>AVERAGEIFS('Region 5'!$W$2:$W$496,'Region 5'!$A$2:$A$496,H$1,'Region 5'!$X$2:$X$496,$D422,'Region 5'!$S$2:$S$496,$A422)</f>
        <v>#DIV/0!</v>
      </c>
      <c r="I422" t="e">
        <f>AVERAGEIFS('Region 5'!$W$2:$W$496,'Region 5'!$A$2:$A$496,I$1,'Region 5'!$X$2:$X$496,$D422,'Region 5'!$S$2:$S$496,$A422)</f>
        <v>#DIV/0!</v>
      </c>
      <c r="J422" t="e">
        <f>AVERAGEIFS('Region 5'!$W$2:$W$496,'Region 5'!$A$2:$A$496,J$1,'Region 5'!$X$2:$X$496,$D422,'Region 5'!$S$2:$S$496,$A422)</f>
        <v>#DIV/0!</v>
      </c>
      <c r="K422" t="e">
        <f>AVERAGEIFS('Region 5'!$W$2:$W$496,'Region 5'!$A$2:$A$496,K$1,'Region 5'!$X$2:$X$496,$D422,'Region 5'!$S$2:$S$496,$A422)</f>
        <v>#DIV/0!</v>
      </c>
      <c r="L422" t="e">
        <f>AVERAGEIFS('Region 5'!$W$2:$W$496,'Region 5'!$A$2:$A$496,L$1,'Region 5'!$X$2:$X$496,$D422,'Region 5'!$S$2:$S$496,$A422)</f>
        <v>#DIV/0!</v>
      </c>
      <c r="M422" t="e">
        <f>AVERAGEIFS('Region 5'!$W$2:$W$496,'Region 5'!$A$2:$A$496,M$1,'Region 5'!$X$2:$X$496,$D422,'Region 5'!$S$2:$S$496,$A422)</f>
        <v>#DIV/0!</v>
      </c>
      <c r="N422" t="e">
        <f>AVERAGEIFS('Region 5'!$W$2:$W$496,'Region 5'!$A$2:$A$496,N$1,'Region 5'!$X$2:$X$496,$D422,'Region 5'!$S$2:$S$496,$A422)</f>
        <v>#DIV/0!</v>
      </c>
      <c r="Q422" t="str">
        <f t="shared" si="383"/>
        <v>Aluminium</v>
      </c>
      <c r="R422" t="str">
        <f t="shared" si="384"/>
        <v>Detached</v>
      </c>
      <c r="S422">
        <f t="shared" si="385"/>
        <v>5</v>
      </c>
      <c r="T422" t="str">
        <f t="shared" si="365"/>
        <v>-</v>
      </c>
      <c r="U422" t="str">
        <f t="shared" si="366"/>
        <v>-</v>
      </c>
      <c r="V422" t="str">
        <f t="shared" si="367"/>
        <v>-</v>
      </c>
      <c r="W422" t="str">
        <f t="shared" si="368"/>
        <v>-</v>
      </c>
      <c r="X422" t="str">
        <f t="shared" si="369"/>
        <v>-</v>
      </c>
      <c r="Y422" t="str">
        <f t="shared" si="370"/>
        <v>-</v>
      </c>
      <c r="Z422" t="str">
        <f t="shared" si="371"/>
        <v>-</v>
      </c>
      <c r="AA422" t="str">
        <f t="shared" si="372"/>
        <v>-</v>
      </c>
      <c r="AB422" t="str">
        <f t="shared" si="373"/>
        <v>-</v>
      </c>
      <c r="AC422" t="str">
        <f t="shared" si="374"/>
        <v>-</v>
      </c>
    </row>
    <row r="423" spans="1:29" x14ac:dyDescent="0.3">
      <c r="A423" t="s">
        <v>290</v>
      </c>
      <c r="B423" t="str">
        <f t="shared" ref="B423:D423" si="412">B319</f>
        <v>Detached</v>
      </c>
      <c r="C423">
        <f t="shared" si="412"/>
        <v>6</v>
      </c>
      <c r="D423">
        <f t="shared" si="412"/>
        <v>1</v>
      </c>
      <c r="E423" t="e">
        <f>AVERAGEIFS('Region 6'!$W$2:$W$496,'Region 6'!$A$2:$A$496,E$1,'Region 6'!$X$2:$X$496,$D423,'Region 6'!$S$2:$S$496,$A423)</f>
        <v>#DIV/0!</v>
      </c>
      <c r="F423" t="e">
        <f>AVERAGEIFS('Region 6'!$W$2:$W$496,'Region 6'!$A$2:$A$496,F$1,'Region 6'!$X$2:$X$496,$D423,'Region 6'!$S$2:$S$496,$A423)</f>
        <v>#DIV/0!</v>
      </c>
      <c r="G423" t="e">
        <f>AVERAGEIFS('Region 6'!$W$2:$W$496,'Region 6'!$A$2:$A$496,G$1,'Region 6'!$X$2:$X$496,$D423,'Region 6'!$S$2:$S$496,$A423)</f>
        <v>#DIV/0!</v>
      </c>
      <c r="H423" t="e">
        <f>AVERAGEIFS('Region 6'!$W$2:$W$496,'Region 6'!$A$2:$A$496,H$1,'Region 6'!$X$2:$X$496,$D423,'Region 6'!$S$2:$S$496,$A423)</f>
        <v>#DIV/0!</v>
      </c>
      <c r="I423" t="e">
        <f>AVERAGEIFS('Region 6'!$W$2:$W$496,'Region 6'!$A$2:$A$496,I$1,'Region 6'!$X$2:$X$496,$D423,'Region 6'!$S$2:$S$496,$A423)</f>
        <v>#DIV/0!</v>
      </c>
      <c r="J423" t="e">
        <f>AVERAGEIFS('Region 6'!$W$2:$W$496,'Region 6'!$A$2:$A$496,J$1,'Region 6'!$X$2:$X$496,$D423,'Region 6'!$S$2:$S$496,$A423)</f>
        <v>#DIV/0!</v>
      </c>
      <c r="K423" t="e">
        <f>AVERAGEIFS('Region 6'!$W$2:$W$496,'Region 6'!$A$2:$A$496,K$1,'Region 6'!$X$2:$X$496,$D423,'Region 6'!$S$2:$S$496,$A423)</f>
        <v>#DIV/0!</v>
      </c>
      <c r="L423" t="e">
        <f>AVERAGEIFS('Region 6'!$W$2:$W$496,'Region 6'!$A$2:$A$496,L$1,'Region 6'!$X$2:$X$496,$D423,'Region 6'!$S$2:$S$496,$A423)</f>
        <v>#DIV/0!</v>
      </c>
      <c r="M423" t="e">
        <f>AVERAGEIFS('Region 6'!$W$2:$W$496,'Region 6'!$A$2:$A$496,M$1,'Region 6'!$X$2:$X$496,$D423,'Region 6'!$S$2:$S$496,$A423)</f>
        <v>#DIV/0!</v>
      </c>
      <c r="N423" t="e">
        <f>AVERAGEIFS('Region 6'!$W$2:$W$496,'Region 6'!$A$2:$A$496,N$1,'Region 6'!$X$2:$X$496,$D423,'Region 6'!$S$2:$S$496,$A423)</f>
        <v>#DIV/0!</v>
      </c>
      <c r="Q423" t="str">
        <f t="shared" si="383"/>
        <v>Aluminium</v>
      </c>
      <c r="R423" t="str">
        <f t="shared" si="384"/>
        <v>Detached</v>
      </c>
      <c r="S423">
        <f t="shared" si="385"/>
        <v>6</v>
      </c>
      <c r="T423" t="str">
        <f t="shared" si="365"/>
        <v>-</v>
      </c>
      <c r="U423" t="str">
        <f t="shared" si="366"/>
        <v>-</v>
      </c>
      <c r="V423" t="str">
        <f t="shared" si="367"/>
        <v>-</v>
      </c>
      <c r="W423" t="str">
        <f t="shared" si="368"/>
        <v>-</v>
      </c>
      <c r="X423" t="str">
        <f t="shared" si="369"/>
        <v>-</v>
      </c>
      <c r="Y423" t="str">
        <f t="shared" si="370"/>
        <v>-</v>
      </c>
      <c r="Z423" t="str">
        <f t="shared" si="371"/>
        <v>-</v>
      </c>
      <c r="AA423" t="str">
        <f t="shared" si="372"/>
        <v>-</v>
      </c>
      <c r="AB423" t="str">
        <f t="shared" si="373"/>
        <v>-</v>
      </c>
      <c r="AC423" t="str">
        <f t="shared" si="374"/>
        <v>-</v>
      </c>
    </row>
    <row r="424" spans="1:29" x14ac:dyDescent="0.3">
      <c r="A424" t="s">
        <v>290</v>
      </c>
      <c r="B424" t="str">
        <f t="shared" ref="B424:D424" si="413">B320</f>
        <v>Detached</v>
      </c>
      <c r="C424">
        <f t="shared" si="413"/>
        <v>7</v>
      </c>
      <c r="D424">
        <f t="shared" si="413"/>
        <v>1</v>
      </c>
      <c r="E424" t="e">
        <f ca="1">AVERAGEIFS('Region 7'!$W$2:$W$500,'Region 7'!$A$2:$A$500,E$1,'Region 7'!$X$2:$X$500,$D424,'Region 7'!$S$2:$S$500,$A424)</f>
        <v>#DIV/0!</v>
      </c>
      <c r="F424" t="e">
        <f ca="1">AVERAGEIFS('Region 7'!$W$2:$W$500,'Region 7'!$A$2:$A$500,F$1,'Region 7'!$X$2:$X$500,$D424,'Region 7'!$S$2:$S$500,$A424)</f>
        <v>#DIV/0!</v>
      </c>
      <c r="G424" t="e">
        <f ca="1">AVERAGEIFS('Region 7'!$W$2:$W$500,'Region 7'!$A$2:$A$500,G$1,'Region 7'!$X$2:$X$500,$D424,'Region 7'!$S$2:$S$500,$A424)</f>
        <v>#DIV/0!</v>
      </c>
      <c r="H424" t="e">
        <f ca="1">AVERAGEIFS('Region 7'!$W$2:$W$500,'Region 7'!$A$2:$A$500,H$1,'Region 7'!$X$2:$X$500,$D424,'Region 7'!$S$2:$S$500,$A424)</f>
        <v>#DIV/0!</v>
      </c>
      <c r="I424" t="e">
        <f ca="1">AVERAGEIFS('Region 7'!$W$2:$W$500,'Region 7'!$A$2:$A$500,I$1,'Region 7'!$X$2:$X$500,$D424,'Region 7'!$S$2:$S$500,$A424)</f>
        <v>#DIV/0!</v>
      </c>
      <c r="J424" t="e">
        <f ca="1">AVERAGEIFS('Region 7'!$W$2:$W$500,'Region 7'!$A$2:$A$500,J$1,'Region 7'!$X$2:$X$500,$D424,'Region 7'!$S$2:$S$500,$A424)</f>
        <v>#DIV/0!</v>
      </c>
      <c r="K424" t="e">
        <f ca="1">AVERAGEIFS('Region 7'!$W$2:$W$500,'Region 7'!$A$2:$A$500,K$1,'Region 7'!$X$2:$X$500,$D424,'Region 7'!$S$2:$S$500,$A424)</f>
        <v>#DIV/0!</v>
      </c>
      <c r="L424" t="e">
        <f ca="1">AVERAGEIFS('Region 7'!$W$2:$W$500,'Region 7'!$A$2:$A$500,L$1,'Region 7'!$X$2:$X$500,$D424,'Region 7'!$S$2:$S$500,$A424)</f>
        <v>#DIV/0!</v>
      </c>
      <c r="M424" t="e">
        <f ca="1">AVERAGEIFS('Region 7'!$W$2:$W$500,'Region 7'!$A$2:$A$500,M$1,'Region 7'!$X$2:$X$500,$D424,'Region 7'!$S$2:$S$500,$A424)</f>
        <v>#DIV/0!</v>
      </c>
      <c r="N424" t="e">
        <f ca="1">AVERAGEIFS('Region 7'!$W$2:$W$500,'Region 7'!$A$2:$A$500,N$1,'Region 7'!$X$2:$X$500,$D424,'Region 7'!$S$2:$S$500,$A424)</f>
        <v>#DIV/0!</v>
      </c>
      <c r="Q424" t="str">
        <f t="shared" si="383"/>
        <v>Aluminium</v>
      </c>
      <c r="R424" t="str">
        <f t="shared" si="384"/>
        <v>Detached</v>
      </c>
      <c r="S424">
        <f t="shared" si="385"/>
        <v>7</v>
      </c>
      <c r="T424" t="str">
        <f t="shared" ca="1" si="365"/>
        <v>-</v>
      </c>
      <c r="U424" t="str">
        <f t="shared" ca="1" si="366"/>
        <v>-</v>
      </c>
      <c r="V424" t="str">
        <f t="shared" ca="1" si="367"/>
        <v>-</v>
      </c>
      <c r="W424" t="str">
        <f t="shared" ca="1" si="368"/>
        <v>-</v>
      </c>
      <c r="X424" t="str">
        <f t="shared" ca="1" si="369"/>
        <v>-</v>
      </c>
      <c r="Y424" t="str">
        <f t="shared" ca="1" si="370"/>
        <v>-</v>
      </c>
      <c r="Z424" t="str">
        <f t="shared" ca="1" si="371"/>
        <v>-</v>
      </c>
      <c r="AA424" t="str">
        <f t="shared" ca="1" si="372"/>
        <v>-</v>
      </c>
      <c r="AB424" t="str">
        <f t="shared" ca="1" si="373"/>
        <v>-</v>
      </c>
      <c r="AC424" t="str">
        <f t="shared" ca="1" si="374"/>
        <v>-</v>
      </c>
    </row>
    <row r="425" spans="1:29" x14ac:dyDescent="0.3">
      <c r="A425" t="s">
        <v>290</v>
      </c>
      <c r="B425" t="str">
        <f t="shared" ref="B425:D425" si="414">B321</f>
        <v>Detached</v>
      </c>
      <c r="C425">
        <f t="shared" si="414"/>
        <v>8</v>
      </c>
      <c r="D425">
        <f t="shared" si="414"/>
        <v>1</v>
      </c>
      <c r="E425">
        <f>AVERAGEIFS('Region 8'!$W$2:$W$497,'Region 8'!$A$2:$A$497,E$1,'Region 8'!$X$2:$X$497,$D425,'Region 8'!$S$2:$S$497,$A425)</f>
        <v>2.8863709207098167</v>
      </c>
      <c r="F425" t="e">
        <f>AVERAGEIFS('Region 8'!$W$2:$W$497,'Region 8'!$A$2:$A$497,F$1,'Region 8'!$X$2:$X$497,$D425,'Region 8'!$S$2:$S$497,$A425)</f>
        <v>#DIV/0!</v>
      </c>
      <c r="G425" t="e">
        <f>AVERAGEIFS('Region 8'!$W$2:$W$497,'Region 8'!$A$2:$A$497,G$1,'Region 8'!$X$2:$X$497,$D425,'Region 8'!$S$2:$S$497,$A425)</f>
        <v>#DIV/0!</v>
      </c>
      <c r="H425" t="e">
        <f>AVERAGEIFS('Region 8'!$W$2:$W$497,'Region 8'!$A$2:$A$497,H$1,'Region 8'!$X$2:$X$497,$D425,'Region 8'!$S$2:$S$497,$A425)</f>
        <v>#DIV/0!</v>
      </c>
      <c r="I425" t="e">
        <f>AVERAGEIFS('Region 8'!$W$2:$W$497,'Region 8'!$A$2:$A$497,I$1,'Region 8'!$X$2:$X$497,$D425,'Region 8'!$S$2:$S$497,$A425)</f>
        <v>#DIV/0!</v>
      </c>
      <c r="J425" t="e">
        <f>AVERAGEIFS('Region 8'!$W$2:$W$497,'Region 8'!$A$2:$A$497,J$1,'Region 8'!$X$2:$X$497,$D425,'Region 8'!$S$2:$S$497,$A425)</f>
        <v>#DIV/0!</v>
      </c>
      <c r="K425" t="e">
        <f>AVERAGEIFS('Region 8'!$W$2:$W$497,'Region 8'!$A$2:$A$497,K$1,'Region 8'!$X$2:$X$497,$D425,'Region 8'!$S$2:$S$497,$A425)</f>
        <v>#DIV/0!</v>
      </c>
      <c r="L425" t="e">
        <f>AVERAGEIFS('Region 8'!$W$2:$W$497,'Region 8'!$A$2:$A$497,L$1,'Region 8'!$X$2:$X$497,$D425,'Region 8'!$S$2:$S$497,$A425)</f>
        <v>#DIV/0!</v>
      </c>
      <c r="M425" t="e">
        <f>AVERAGEIFS('Region 8'!$W$2:$W$497,'Region 8'!$A$2:$A$497,M$1,'Region 8'!$X$2:$X$497,$D425,'Region 8'!$S$2:$S$497,$A425)</f>
        <v>#DIV/0!</v>
      </c>
      <c r="N425" t="e">
        <f>AVERAGEIFS('Region 8'!$W$2:$W$497,'Region 8'!$A$2:$A$497,N$1,'Region 8'!$X$2:$X$497,$D425,'Region 8'!$S$2:$S$497,$A425)</f>
        <v>#DIV/0!</v>
      </c>
      <c r="Q425" t="str">
        <f t="shared" si="383"/>
        <v>Aluminium</v>
      </c>
      <c r="R425" t="str">
        <f t="shared" si="384"/>
        <v>Detached</v>
      </c>
      <c r="S425">
        <f t="shared" si="385"/>
        <v>8</v>
      </c>
      <c r="T425">
        <f t="shared" si="365"/>
        <v>2.8863709207098167</v>
      </c>
      <c r="U425" t="str">
        <f t="shared" si="366"/>
        <v>-</v>
      </c>
      <c r="V425" t="str">
        <f t="shared" si="367"/>
        <v>-</v>
      </c>
      <c r="W425" t="str">
        <f t="shared" si="368"/>
        <v>-</v>
      </c>
      <c r="X425" t="str">
        <f t="shared" si="369"/>
        <v>-</v>
      </c>
      <c r="Y425" t="str">
        <f t="shared" si="370"/>
        <v>-</v>
      </c>
      <c r="Z425" t="str">
        <f t="shared" si="371"/>
        <v>-</v>
      </c>
      <c r="AA425" t="str">
        <f t="shared" si="372"/>
        <v>-</v>
      </c>
      <c r="AB425" t="str">
        <f t="shared" si="373"/>
        <v>-</v>
      </c>
      <c r="AC425" t="str">
        <f t="shared" si="374"/>
        <v>-</v>
      </c>
    </row>
    <row r="426" spans="1:29" x14ac:dyDescent="0.3">
      <c r="A426" t="s">
        <v>290</v>
      </c>
      <c r="B426" t="str">
        <f t="shared" ref="B426:D426" si="415">B322</f>
        <v>Detached</v>
      </c>
      <c r="C426">
        <f t="shared" si="415"/>
        <v>9</v>
      </c>
      <c r="D426">
        <f t="shared" si="415"/>
        <v>1</v>
      </c>
      <c r="E426" t="e">
        <f ca="1">AVERAGEIFS('Region 9'!$W$2:$W$500,'Region 9'!$A$2:$A$500,E$1,'Region 9'!$X$2:$X$500,$D426,'Region 9'!$S$2:$S$500,$A426)</f>
        <v>#DIV/0!</v>
      </c>
      <c r="F426" t="e">
        <f ca="1">AVERAGEIFS('Region 9'!$W$2:$W$500,'Region 9'!$A$2:$A$500,F$1,'Region 9'!$X$2:$X$500,$D426,'Region 9'!$S$2:$S$500,$A426)</f>
        <v>#DIV/0!</v>
      </c>
      <c r="G426" t="e">
        <f ca="1">AVERAGEIFS('Region 9'!$W$2:$W$500,'Region 9'!$A$2:$A$500,G$1,'Region 9'!$X$2:$X$500,$D426,'Region 9'!$S$2:$S$500,$A426)</f>
        <v>#DIV/0!</v>
      </c>
      <c r="H426" t="e">
        <f ca="1">AVERAGEIFS('Region 9'!$W$2:$W$500,'Region 9'!$A$2:$A$500,H$1,'Region 9'!$X$2:$X$500,$D426,'Region 9'!$S$2:$S$500,$A426)</f>
        <v>#DIV/0!</v>
      </c>
      <c r="I426" t="e">
        <f ca="1">AVERAGEIFS('Region 9'!$W$2:$W$500,'Region 9'!$A$2:$A$500,I$1,'Region 9'!$X$2:$X$500,$D426,'Region 9'!$S$2:$S$500,$A426)</f>
        <v>#DIV/0!</v>
      </c>
      <c r="J426" t="e">
        <f ca="1">AVERAGEIFS('Region 9'!$W$2:$W$500,'Region 9'!$A$2:$A$500,J$1,'Region 9'!$X$2:$X$500,$D426,'Region 9'!$S$2:$S$500,$A426)</f>
        <v>#DIV/0!</v>
      </c>
      <c r="K426" t="e">
        <f ca="1">AVERAGEIFS('Region 9'!$W$2:$W$500,'Region 9'!$A$2:$A$500,K$1,'Region 9'!$X$2:$X$500,$D426,'Region 9'!$S$2:$S$500,$A426)</f>
        <v>#DIV/0!</v>
      </c>
      <c r="L426" t="e">
        <f ca="1">AVERAGEIFS('Region 9'!$W$2:$W$500,'Region 9'!$A$2:$A$500,L$1,'Region 9'!$X$2:$X$500,$D426,'Region 9'!$S$2:$S$500,$A426)</f>
        <v>#DIV/0!</v>
      </c>
      <c r="M426" t="e">
        <f ca="1">AVERAGEIFS('Region 9'!$W$2:$W$500,'Region 9'!$A$2:$A$500,M$1,'Region 9'!$X$2:$X$500,$D426,'Region 9'!$S$2:$S$500,$A426)</f>
        <v>#DIV/0!</v>
      </c>
      <c r="N426" t="e">
        <f ca="1">AVERAGEIFS('Region 9'!$W$2:$W$500,'Region 9'!$A$2:$A$500,N$1,'Region 9'!$X$2:$X$500,$D426,'Region 9'!$S$2:$S$500,$A426)</f>
        <v>#DIV/0!</v>
      </c>
      <c r="Q426" t="str">
        <f t="shared" si="383"/>
        <v>Aluminium</v>
      </c>
      <c r="R426" t="str">
        <f t="shared" si="384"/>
        <v>Detached</v>
      </c>
      <c r="S426">
        <f t="shared" si="385"/>
        <v>9</v>
      </c>
      <c r="T426" t="str">
        <f t="shared" ca="1" si="365"/>
        <v>-</v>
      </c>
      <c r="U426" t="str">
        <f t="shared" ca="1" si="366"/>
        <v>-</v>
      </c>
      <c r="V426" t="str">
        <f t="shared" ca="1" si="367"/>
        <v>-</v>
      </c>
      <c r="W426" t="str">
        <f t="shared" ca="1" si="368"/>
        <v>-</v>
      </c>
      <c r="X426" t="str">
        <f t="shared" ca="1" si="369"/>
        <v>-</v>
      </c>
      <c r="Y426" t="str">
        <f t="shared" ca="1" si="370"/>
        <v>-</v>
      </c>
      <c r="Z426" t="str">
        <f t="shared" ca="1" si="371"/>
        <v>-</v>
      </c>
      <c r="AA426" t="str">
        <f t="shared" ca="1" si="372"/>
        <v>-</v>
      </c>
      <c r="AB426" t="str">
        <f t="shared" ca="1" si="373"/>
        <v>-</v>
      </c>
      <c r="AC426" t="str">
        <f t="shared" ca="1" si="374"/>
        <v>-</v>
      </c>
    </row>
    <row r="427" spans="1:29" x14ac:dyDescent="0.3">
      <c r="A427" t="s">
        <v>290</v>
      </c>
      <c r="B427" t="str">
        <f t="shared" ref="B427:D427" si="416">B323</f>
        <v>Detached</v>
      </c>
      <c r="C427">
        <f t="shared" si="416"/>
        <v>10</v>
      </c>
      <c r="D427">
        <f t="shared" si="416"/>
        <v>1</v>
      </c>
      <c r="E427" t="e">
        <f>AVERAGEIFS('Region 10'!$W$2:$W$500,'Region 10'!$A$2:$A$500,E$1,'Region 10'!$X$2:$X$500,$D427,'Region 10'!$S$2:$S$500,$A427)</f>
        <v>#DIV/0!</v>
      </c>
      <c r="F427" t="e">
        <f>AVERAGEIFS('Region 10'!$W$2:$W$500,'Region 10'!$A$2:$A$500,F$1,'Region 10'!$X$2:$X$500,$D427,'Region 10'!$S$2:$S$500,$A427)</f>
        <v>#DIV/0!</v>
      </c>
      <c r="G427" t="e">
        <f>AVERAGEIFS('Region 10'!$W$2:$W$500,'Region 10'!$A$2:$A$500,G$1,'Region 10'!$X$2:$X$500,$D427,'Region 10'!$S$2:$S$500,$A427)</f>
        <v>#DIV/0!</v>
      </c>
      <c r="H427" t="e">
        <f>AVERAGEIFS('Region 10'!$W$2:$W$500,'Region 10'!$A$2:$A$500,H$1,'Region 10'!$X$2:$X$500,$D427,'Region 10'!$S$2:$S$500,$A427)</f>
        <v>#DIV/0!</v>
      </c>
      <c r="I427" t="e">
        <f>AVERAGEIFS('Region 10'!$W$2:$W$500,'Region 10'!$A$2:$A$500,I$1,'Region 10'!$X$2:$X$500,$D427,'Region 10'!$S$2:$S$500,$A427)</f>
        <v>#DIV/0!</v>
      </c>
      <c r="J427" t="e">
        <f>AVERAGEIFS('Region 10'!$W$2:$W$500,'Region 10'!$A$2:$A$500,J$1,'Region 10'!$X$2:$X$500,$D427,'Region 10'!$S$2:$S$500,$A427)</f>
        <v>#DIV/0!</v>
      </c>
      <c r="K427" t="e">
        <f>AVERAGEIFS('Region 10'!$W$2:$W$500,'Region 10'!$A$2:$A$500,K$1,'Region 10'!$X$2:$X$500,$D427,'Region 10'!$S$2:$S$500,$A427)</f>
        <v>#DIV/0!</v>
      </c>
      <c r="L427" t="e">
        <f>AVERAGEIFS('Region 10'!$W$2:$W$500,'Region 10'!$A$2:$A$500,L$1,'Region 10'!$X$2:$X$500,$D427,'Region 10'!$S$2:$S$500,$A427)</f>
        <v>#DIV/0!</v>
      </c>
      <c r="M427" t="e">
        <f>AVERAGEIFS('Region 10'!$W$2:$W$500,'Region 10'!$A$2:$A$500,M$1,'Region 10'!$X$2:$X$500,$D427,'Region 10'!$S$2:$S$500,$A427)</f>
        <v>#DIV/0!</v>
      </c>
      <c r="N427" t="e">
        <f>AVERAGEIFS('Region 10'!$W$2:$W$500,'Region 10'!$A$2:$A$500,N$1,'Region 10'!$X$2:$X$500,$D427,'Region 10'!$S$2:$S$500,$A427)</f>
        <v>#DIV/0!</v>
      </c>
      <c r="Q427" t="str">
        <f t="shared" si="383"/>
        <v>Aluminium</v>
      </c>
      <c r="R427" t="str">
        <f t="shared" si="384"/>
        <v>Detached</v>
      </c>
      <c r="S427">
        <f t="shared" si="385"/>
        <v>10</v>
      </c>
      <c r="T427" t="str">
        <f t="shared" si="365"/>
        <v>-</v>
      </c>
      <c r="U427" t="str">
        <f t="shared" si="366"/>
        <v>-</v>
      </c>
      <c r="V427" t="str">
        <f t="shared" si="367"/>
        <v>-</v>
      </c>
      <c r="W427" t="str">
        <f t="shared" si="368"/>
        <v>-</v>
      </c>
      <c r="X427" t="str">
        <f t="shared" si="369"/>
        <v>-</v>
      </c>
      <c r="Y427" t="str">
        <f t="shared" si="370"/>
        <v>-</v>
      </c>
      <c r="Z427" t="str">
        <f t="shared" si="371"/>
        <v>-</v>
      </c>
      <c r="AA427" t="str">
        <f t="shared" si="372"/>
        <v>-</v>
      </c>
      <c r="AB427" t="str">
        <f t="shared" si="373"/>
        <v>-</v>
      </c>
      <c r="AC427" t="str">
        <f t="shared" si="374"/>
        <v>-</v>
      </c>
    </row>
    <row r="428" spans="1:29" x14ac:dyDescent="0.3">
      <c r="A428" t="s">
        <v>290</v>
      </c>
      <c r="B428" t="str">
        <f t="shared" ref="B428:D428" si="417">B324</f>
        <v>Detached</v>
      </c>
      <c r="C428">
        <f t="shared" si="417"/>
        <v>11</v>
      </c>
      <c r="D428">
        <f t="shared" si="417"/>
        <v>1</v>
      </c>
      <c r="E428" t="e">
        <f>AVERAGEIFS('Region 11'!$W$2:$W$391,'Region 11'!$A$2:$A$391,E$1,'Region 11'!$X$2:$X$391,$D428,'Region 11'!$S$2:$S$391,$A428)</f>
        <v>#DIV/0!</v>
      </c>
      <c r="F428" t="e">
        <f>AVERAGEIFS('Region 11'!$W$2:$W$391,'Region 11'!$A$2:$A$391,F$1,'Region 11'!$X$2:$X$391,$D428,'Region 11'!$S$2:$S$391,$A428)</f>
        <v>#DIV/0!</v>
      </c>
      <c r="G428" t="e">
        <f>AVERAGEIFS('Region 11'!$W$2:$W$391,'Region 11'!$A$2:$A$391,G$1,'Region 11'!$X$2:$X$391,$D428,'Region 11'!$S$2:$S$391,$A428)</f>
        <v>#DIV/0!</v>
      </c>
      <c r="H428" t="e">
        <f>AVERAGEIFS('Region 11'!$W$2:$W$391,'Region 11'!$A$2:$A$391,H$1,'Region 11'!$X$2:$X$391,$D428,'Region 11'!$S$2:$S$391,$A428)</f>
        <v>#DIV/0!</v>
      </c>
      <c r="I428">
        <f>AVERAGEIFS('Region 11'!$W$2:$W$391,'Region 11'!$A$2:$A$391,I$1,'Region 11'!$X$2:$X$391,$D428,'Region 11'!$S$2:$S$391,$A428)</f>
        <v>0.93484419263456087</v>
      </c>
      <c r="J428" t="e">
        <f>AVERAGEIFS('Region 11'!$W$2:$W$391,'Region 11'!$A$2:$A$391,J$1,'Region 11'!$X$2:$X$391,$D428,'Region 11'!$S$2:$S$391,$A428)</f>
        <v>#DIV/0!</v>
      </c>
      <c r="K428" t="e">
        <f>AVERAGEIFS('Region 11'!$W$2:$W$391,'Region 11'!$A$2:$A$391,K$1,'Region 11'!$X$2:$X$391,$D428,'Region 11'!$S$2:$S$391,$A428)</f>
        <v>#DIV/0!</v>
      </c>
      <c r="L428" t="e">
        <f>AVERAGEIFS('Region 11'!$W$2:$W$391,'Region 11'!$A$2:$A$391,L$1,'Region 11'!$X$2:$X$391,$D428,'Region 11'!$S$2:$S$391,$A428)</f>
        <v>#DIV/0!</v>
      </c>
      <c r="M428" t="e">
        <f>AVERAGEIFS('Region 11'!$W$2:$W$391,'Region 11'!$A$2:$A$391,M$1,'Region 11'!$X$2:$X$391,$D428,'Region 11'!$S$2:$S$391,$A428)</f>
        <v>#DIV/0!</v>
      </c>
      <c r="N428" t="e">
        <f>AVERAGEIFS('Region 11'!$W$2:$W$391,'Region 11'!$A$2:$A$391,N$1,'Region 11'!$X$2:$X$391,$D428,'Region 11'!$S$2:$S$391,$A428)</f>
        <v>#DIV/0!</v>
      </c>
      <c r="Q428" t="str">
        <f t="shared" si="383"/>
        <v>Aluminium</v>
      </c>
      <c r="R428" t="str">
        <f t="shared" si="384"/>
        <v>Detached</v>
      </c>
      <c r="S428">
        <f t="shared" si="385"/>
        <v>11</v>
      </c>
      <c r="T428" t="str">
        <f t="shared" si="365"/>
        <v>-</v>
      </c>
      <c r="U428" t="str">
        <f t="shared" si="366"/>
        <v>-</v>
      </c>
      <c r="V428" t="str">
        <f t="shared" si="367"/>
        <v>-</v>
      </c>
      <c r="W428" t="str">
        <f t="shared" si="368"/>
        <v>-</v>
      </c>
      <c r="X428">
        <f t="shared" si="369"/>
        <v>0.93484419263456087</v>
      </c>
      <c r="Y428" t="str">
        <f t="shared" si="370"/>
        <v>-</v>
      </c>
      <c r="Z428" t="str">
        <f t="shared" si="371"/>
        <v>-</v>
      </c>
      <c r="AA428" t="str">
        <f t="shared" si="372"/>
        <v>-</v>
      </c>
      <c r="AB428" t="str">
        <f t="shared" si="373"/>
        <v>-</v>
      </c>
      <c r="AC428" t="str">
        <f t="shared" si="374"/>
        <v>-</v>
      </c>
    </row>
    <row r="429" spans="1:29" x14ac:dyDescent="0.3">
      <c r="A429" t="s">
        <v>290</v>
      </c>
      <c r="B429" t="str">
        <f t="shared" ref="B429:D429" si="418">B325</f>
        <v>Detached</v>
      </c>
      <c r="C429">
        <f t="shared" si="418"/>
        <v>12</v>
      </c>
      <c r="D429">
        <f t="shared" si="418"/>
        <v>1</v>
      </c>
      <c r="E429" t="e">
        <f>AVERAGEIFS('Region 12'!$W$2:$W$459,'Region 12'!$A$2:$A$459,E$1,'Region 12'!$X$2:$X$459,$D429,'Region 12'!$S$2:$S$459,$A429)</f>
        <v>#DIV/0!</v>
      </c>
      <c r="F429" t="e">
        <f>AVERAGEIFS('Region 12'!$W$2:$W$459,'Region 12'!$A$2:$A$459,F$1,'Region 12'!$X$2:$X$459,$D429,'Region 12'!$S$2:$S$459,$A429)</f>
        <v>#DIV/0!</v>
      </c>
      <c r="G429" t="e">
        <f>AVERAGEIFS('Region 12'!$W$2:$W$459,'Region 12'!$A$2:$A$459,G$1,'Region 12'!$X$2:$X$459,$D429,'Region 12'!$S$2:$S$459,$A429)</f>
        <v>#DIV/0!</v>
      </c>
      <c r="H429" t="e">
        <f>AVERAGEIFS('Region 12'!$W$2:$W$459,'Region 12'!$A$2:$A$459,H$1,'Region 12'!$X$2:$X$459,$D429,'Region 12'!$S$2:$S$459,$A429)</f>
        <v>#DIV/0!</v>
      </c>
      <c r="I429" t="e">
        <f>AVERAGEIFS('Region 12'!$W$2:$W$459,'Region 12'!$A$2:$A$459,I$1,'Region 12'!$X$2:$X$459,$D429,'Region 12'!$S$2:$S$459,$A429)</f>
        <v>#DIV/0!</v>
      </c>
      <c r="J429" t="e">
        <f>AVERAGEIFS('Region 12'!$W$2:$W$459,'Region 12'!$A$2:$A$459,J$1,'Region 12'!$X$2:$X$459,$D429,'Region 12'!$S$2:$S$459,$A429)</f>
        <v>#DIV/0!</v>
      </c>
      <c r="K429" t="e">
        <f>AVERAGEIFS('Region 12'!$W$2:$W$459,'Region 12'!$A$2:$A$459,K$1,'Region 12'!$X$2:$X$459,$D429,'Region 12'!$S$2:$S$459,$A429)</f>
        <v>#DIV/0!</v>
      </c>
      <c r="L429" t="e">
        <f>AVERAGEIFS('Region 12'!$W$2:$W$459,'Region 12'!$A$2:$A$459,L$1,'Region 12'!$X$2:$X$459,$D429,'Region 12'!$S$2:$S$459,$A429)</f>
        <v>#DIV/0!</v>
      </c>
      <c r="M429" t="e">
        <f>AVERAGEIFS('Region 12'!$W$2:$W$459,'Region 12'!$A$2:$A$459,M$1,'Region 12'!$X$2:$X$459,$D429,'Region 12'!$S$2:$S$459,$A429)</f>
        <v>#DIV/0!</v>
      </c>
      <c r="N429" t="e">
        <f>AVERAGEIFS('Region 12'!$W$2:$W$459,'Region 12'!$A$2:$A$459,N$1,'Region 12'!$X$2:$X$459,$D429,'Region 12'!$S$2:$S$459,$A429)</f>
        <v>#DIV/0!</v>
      </c>
      <c r="Q429" t="str">
        <f t="shared" si="383"/>
        <v>Aluminium</v>
      </c>
      <c r="R429" t="str">
        <f t="shared" si="384"/>
        <v>Detached</v>
      </c>
      <c r="S429">
        <f t="shared" si="385"/>
        <v>12</v>
      </c>
      <c r="T429" t="str">
        <f t="shared" si="365"/>
        <v>-</v>
      </c>
      <c r="U429" t="str">
        <f t="shared" si="366"/>
        <v>-</v>
      </c>
      <c r="V429" t="str">
        <f t="shared" si="367"/>
        <v>-</v>
      </c>
      <c r="W429" t="str">
        <f t="shared" si="368"/>
        <v>-</v>
      </c>
      <c r="X429" t="str">
        <f t="shared" si="369"/>
        <v>-</v>
      </c>
      <c r="Y429" t="str">
        <f t="shared" si="370"/>
        <v>-</v>
      </c>
      <c r="Z429" t="str">
        <f t="shared" si="371"/>
        <v>-</v>
      </c>
      <c r="AA429" t="str">
        <f t="shared" si="372"/>
        <v>-</v>
      </c>
      <c r="AB429" t="str">
        <f t="shared" si="373"/>
        <v>-</v>
      </c>
      <c r="AC429" t="str">
        <f t="shared" si="374"/>
        <v>-</v>
      </c>
    </row>
    <row r="430" spans="1:29" x14ac:dyDescent="0.3">
      <c r="A430" t="s">
        <v>290</v>
      </c>
      <c r="B430" t="str">
        <f t="shared" ref="B430:D430" si="419">B326</f>
        <v>Detached</v>
      </c>
      <c r="C430">
        <f t="shared" si="419"/>
        <v>13</v>
      </c>
      <c r="D430">
        <f t="shared" si="419"/>
        <v>1</v>
      </c>
      <c r="E430" t="e">
        <f>AVERAGEIFS('Region 13'!$W$2:$W$500,'Region 13'!$A$2:$A$500,E$1,'Region 13'!$X$2:$X$500,$D430,'Region 13'!$S$2:$S$500,$A430)</f>
        <v>#DIV/0!</v>
      </c>
      <c r="F430" t="e">
        <f>AVERAGEIFS('Region 13'!$W$2:$W$500,'Region 13'!$A$2:$A$500,F$1,'Region 13'!$X$2:$X$500,$D430,'Region 13'!$S$2:$S$500,$A430)</f>
        <v>#DIV/0!</v>
      </c>
      <c r="G430" t="e">
        <f>AVERAGEIFS('Region 13'!$W$2:$W$500,'Region 13'!$A$2:$A$500,G$1,'Region 13'!$X$2:$X$500,$D430,'Region 13'!$S$2:$S$500,$A430)</f>
        <v>#DIV/0!</v>
      </c>
      <c r="H430" t="e">
        <f>AVERAGEIFS('Region 13'!$W$2:$W$500,'Region 13'!$A$2:$A$500,H$1,'Region 13'!$X$2:$X$500,$D430,'Region 13'!$S$2:$S$500,$A430)</f>
        <v>#DIV/0!</v>
      </c>
      <c r="I430" t="e">
        <f>AVERAGEIFS('Region 13'!$W$2:$W$500,'Region 13'!$A$2:$A$500,I$1,'Region 13'!$X$2:$X$500,$D430,'Region 13'!$S$2:$S$500,$A430)</f>
        <v>#DIV/0!</v>
      </c>
      <c r="J430" t="e">
        <f>AVERAGEIFS('Region 13'!$W$2:$W$500,'Region 13'!$A$2:$A$500,J$1,'Region 13'!$X$2:$X$500,$D430,'Region 13'!$S$2:$S$500,$A430)</f>
        <v>#DIV/0!</v>
      </c>
      <c r="K430" t="e">
        <f>AVERAGEIFS('Region 13'!$W$2:$W$500,'Region 13'!$A$2:$A$500,K$1,'Region 13'!$X$2:$X$500,$D430,'Region 13'!$S$2:$S$500,$A430)</f>
        <v>#DIV/0!</v>
      </c>
      <c r="L430" t="e">
        <f>AVERAGEIFS('Region 13'!$W$2:$W$500,'Region 13'!$A$2:$A$500,L$1,'Region 13'!$X$2:$X$500,$D430,'Region 13'!$S$2:$S$500,$A430)</f>
        <v>#DIV/0!</v>
      </c>
      <c r="M430" t="e">
        <f>AVERAGEIFS('Region 13'!$W$2:$W$500,'Region 13'!$A$2:$A$500,M$1,'Region 13'!$X$2:$X$500,$D430,'Region 13'!$S$2:$S$500,$A430)</f>
        <v>#DIV/0!</v>
      </c>
      <c r="N430" t="e">
        <f>AVERAGEIFS('Region 13'!$W$2:$W$500,'Region 13'!$A$2:$A$500,N$1,'Region 13'!$X$2:$X$500,$D430,'Region 13'!$S$2:$S$500,$A430)</f>
        <v>#DIV/0!</v>
      </c>
      <c r="Q430" t="str">
        <f t="shared" si="383"/>
        <v>Aluminium</v>
      </c>
      <c r="R430" t="str">
        <f t="shared" si="384"/>
        <v>Detached</v>
      </c>
      <c r="S430">
        <f t="shared" si="385"/>
        <v>13</v>
      </c>
      <c r="T430" t="str">
        <f t="shared" si="365"/>
        <v>-</v>
      </c>
      <c r="U430" t="str">
        <f t="shared" si="366"/>
        <v>-</v>
      </c>
      <c r="V430" t="str">
        <f t="shared" si="367"/>
        <v>-</v>
      </c>
      <c r="W430" t="str">
        <f t="shared" si="368"/>
        <v>-</v>
      </c>
      <c r="X430" t="str">
        <f t="shared" si="369"/>
        <v>-</v>
      </c>
      <c r="Y430" t="str">
        <f t="shared" si="370"/>
        <v>-</v>
      </c>
      <c r="Z430" t="str">
        <f t="shared" si="371"/>
        <v>-</v>
      </c>
      <c r="AA430" t="str">
        <f t="shared" si="372"/>
        <v>-</v>
      </c>
      <c r="AB430" t="str">
        <f t="shared" si="373"/>
        <v>-</v>
      </c>
      <c r="AC430" t="str">
        <f t="shared" si="374"/>
        <v>-</v>
      </c>
    </row>
    <row r="431" spans="1:29" x14ac:dyDescent="0.3">
      <c r="A431" t="s">
        <v>290</v>
      </c>
      <c r="B431" t="str">
        <f t="shared" ref="B431:D431" si="420">B327</f>
        <v>Detached</v>
      </c>
      <c r="C431">
        <f t="shared" si="420"/>
        <v>14</v>
      </c>
      <c r="D431">
        <f t="shared" si="420"/>
        <v>1</v>
      </c>
      <c r="E431" t="e">
        <f ca="1">AVERAGEIFS('Region 14'!$W$2:$W$500,'Region 14'!$A$2:$A$500,E$1,'Region 14'!$X$2:$X$500,$D431,'Region 14'!$S$2:$S$500,$A431)</f>
        <v>#DIV/0!</v>
      </c>
      <c r="F431" t="e">
        <f ca="1">AVERAGEIFS('Region 14'!$W$2:$W$500,'Region 14'!$A$2:$A$500,F$1,'Region 14'!$X$2:$X$500,$D431,'Region 14'!$S$2:$S$500,$A431)</f>
        <v>#DIV/0!</v>
      </c>
      <c r="G431" t="e">
        <f ca="1">AVERAGEIFS('Region 14'!$W$2:$W$500,'Region 14'!$A$2:$A$500,G$1,'Region 14'!$X$2:$X$500,$D431,'Region 14'!$S$2:$S$500,$A431)</f>
        <v>#DIV/0!</v>
      </c>
      <c r="H431" t="e">
        <f ca="1">AVERAGEIFS('Region 14'!$W$2:$W$500,'Region 14'!$A$2:$A$500,H$1,'Region 14'!$X$2:$X$500,$D431,'Region 14'!$S$2:$S$500,$A431)</f>
        <v>#DIV/0!</v>
      </c>
      <c r="I431" t="e">
        <f ca="1">AVERAGEIFS('Region 14'!$W$2:$W$500,'Region 14'!$A$2:$A$500,I$1,'Region 14'!$X$2:$X$500,$D431,'Region 14'!$S$2:$S$500,$A431)</f>
        <v>#DIV/0!</v>
      </c>
      <c r="J431" t="e">
        <f ca="1">AVERAGEIFS('Region 14'!$W$2:$W$500,'Region 14'!$A$2:$A$500,J$1,'Region 14'!$X$2:$X$500,$D431,'Region 14'!$S$2:$S$500,$A431)</f>
        <v>#DIV/0!</v>
      </c>
      <c r="K431" t="e">
        <f ca="1">AVERAGEIFS('Region 14'!$W$2:$W$500,'Region 14'!$A$2:$A$500,K$1,'Region 14'!$X$2:$X$500,$D431,'Region 14'!$S$2:$S$500,$A431)</f>
        <v>#DIV/0!</v>
      </c>
      <c r="L431" t="e">
        <f ca="1">AVERAGEIFS('Region 14'!$W$2:$W$500,'Region 14'!$A$2:$A$500,L$1,'Region 14'!$X$2:$X$500,$D431,'Region 14'!$S$2:$S$500,$A431)</f>
        <v>#DIV/0!</v>
      </c>
      <c r="M431" t="e">
        <f ca="1">AVERAGEIFS('Region 14'!$W$2:$W$500,'Region 14'!$A$2:$A$500,M$1,'Region 14'!$X$2:$X$500,$D431,'Region 14'!$S$2:$S$500,$A431)</f>
        <v>#DIV/0!</v>
      </c>
      <c r="N431" t="e">
        <f ca="1">AVERAGEIFS('Region 14'!$W$2:$W$500,'Region 14'!$A$2:$A$500,N$1,'Region 14'!$X$2:$X$500,$D431,'Region 14'!$S$2:$S$500,$A431)</f>
        <v>#DIV/0!</v>
      </c>
      <c r="Q431" t="str">
        <f t="shared" si="383"/>
        <v>Aluminium</v>
      </c>
      <c r="R431" t="str">
        <f t="shared" si="384"/>
        <v>Detached</v>
      </c>
      <c r="S431">
        <f t="shared" si="385"/>
        <v>14</v>
      </c>
      <c r="T431" t="str">
        <f t="shared" ca="1" si="365"/>
        <v>-</v>
      </c>
      <c r="U431" t="str">
        <f t="shared" ca="1" si="366"/>
        <v>-</v>
      </c>
      <c r="V431" t="str">
        <f t="shared" ca="1" si="367"/>
        <v>-</v>
      </c>
      <c r="W431" t="str">
        <f t="shared" ca="1" si="368"/>
        <v>-</v>
      </c>
      <c r="X431" t="str">
        <f t="shared" ca="1" si="369"/>
        <v>-</v>
      </c>
      <c r="Y431" t="str">
        <f t="shared" ca="1" si="370"/>
        <v>-</v>
      </c>
      <c r="Z431" t="str">
        <f t="shared" ca="1" si="371"/>
        <v>-</v>
      </c>
      <c r="AA431" t="str">
        <f t="shared" ca="1" si="372"/>
        <v>-</v>
      </c>
      <c r="AB431" t="str">
        <f t="shared" ca="1" si="373"/>
        <v>-</v>
      </c>
      <c r="AC431" t="str">
        <f t="shared" ca="1" si="374"/>
        <v>-</v>
      </c>
    </row>
    <row r="432" spans="1:29" x14ac:dyDescent="0.3">
      <c r="A432" t="s">
        <v>290</v>
      </c>
      <c r="B432" t="str">
        <f t="shared" ref="B432:D432" si="421">B328</f>
        <v>Detached</v>
      </c>
      <c r="C432">
        <f t="shared" si="421"/>
        <v>15</v>
      </c>
      <c r="D432">
        <f t="shared" si="421"/>
        <v>1</v>
      </c>
      <c r="E432" t="e">
        <f ca="1">AVERAGEIFS('Region 15'!$W$2:$W$500,'Region 15'!$A$2:$A$500,E$1,'Region 15'!$X$2:$X$500,$D432,'Region 15'!$S$2:$S$500,$A432)</f>
        <v>#DIV/0!</v>
      </c>
      <c r="F432" t="e">
        <f ca="1">AVERAGEIFS('Region 15'!$W$2:$W$500,'Region 15'!$A$2:$A$500,F$1,'Region 15'!$X$2:$X$500,$D432,'Region 15'!$S$2:$S$500,$A432)</f>
        <v>#DIV/0!</v>
      </c>
      <c r="G432" t="e">
        <f ca="1">AVERAGEIFS('Region 15'!$W$2:$W$500,'Region 15'!$A$2:$A$500,G$1,'Region 15'!$X$2:$X$500,$D432,'Region 15'!$S$2:$S$500,$A432)</f>
        <v>#DIV/0!</v>
      </c>
      <c r="H432" t="e">
        <f ca="1">AVERAGEIFS('Region 15'!$W$2:$W$500,'Region 15'!$A$2:$A$500,H$1,'Region 15'!$X$2:$X$500,$D432,'Region 15'!$S$2:$S$500,$A432)</f>
        <v>#DIV/0!</v>
      </c>
      <c r="I432" t="e">
        <f ca="1">AVERAGEIFS('Region 15'!$W$2:$W$500,'Region 15'!$A$2:$A$500,I$1,'Region 15'!$X$2:$X$500,$D432,'Region 15'!$S$2:$S$500,$A432)</f>
        <v>#DIV/0!</v>
      </c>
      <c r="J432" t="e">
        <f ca="1">AVERAGEIFS('Region 15'!$W$2:$W$500,'Region 15'!$A$2:$A$500,J$1,'Region 15'!$X$2:$X$500,$D432,'Region 15'!$S$2:$S$500,$A432)</f>
        <v>#DIV/0!</v>
      </c>
      <c r="K432" t="e">
        <f ca="1">AVERAGEIFS('Region 15'!$W$2:$W$500,'Region 15'!$A$2:$A$500,K$1,'Region 15'!$X$2:$X$500,$D432,'Region 15'!$S$2:$S$500,$A432)</f>
        <v>#DIV/0!</v>
      </c>
      <c r="L432" t="e">
        <f ca="1">AVERAGEIFS('Region 15'!$W$2:$W$500,'Region 15'!$A$2:$A$500,L$1,'Region 15'!$X$2:$X$500,$D432,'Region 15'!$S$2:$S$500,$A432)</f>
        <v>#DIV/0!</v>
      </c>
      <c r="M432" t="e">
        <f ca="1">AVERAGEIFS('Region 15'!$W$2:$W$500,'Region 15'!$A$2:$A$500,M$1,'Region 15'!$X$2:$X$500,$D432,'Region 15'!$S$2:$S$500,$A432)</f>
        <v>#DIV/0!</v>
      </c>
      <c r="N432" t="e">
        <f ca="1">AVERAGEIFS('Region 15'!$W$2:$W$500,'Region 15'!$A$2:$A$500,N$1,'Region 15'!$X$2:$X$500,$D432,'Region 15'!$S$2:$S$500,$A432)</f>
        <v>#DIV/0!</v>
      </c>
      <c r="Q432" t="str">
        <f t="shared" si="383"/>
        <v>Aluminium</v>
      </c>
      <c r="R432" t="str">
        <f t="shared" si="384"/>
        <v>Detached</v>
      </c>
      <c r="S432">
        <f t="shared" si="385"/>
        <v>15</v>
      </c>
      <c r="T432" t="str">
        <f t="shared" ca="1" si="365"/>
        <v>-</v>
      </c>
      <c r="U432" t="str">
        <f t="shared" ca="1" si="366"/>
        <v>-</v>
      </c>
      <c r="V432" t="str">
        <f t="shared" ca="1" si="367"/>
        <v>-</v>
      </c>
      <c r="W432" t="str">
        <f t="shared" ca="1" si="368"/>
        <v>-</v>
      </c>
      <c r="X432" t="str">
        <f t="shared" ca="1" si="369"/>
        <v>-</v>
      </c>
      <c r="Y432" t="str">
        <f t="shared" ca="1" si="370"/>
        <v>-</v>
      </c>
      <c r="Z432" t="str">
        <f t="shared" ca="1" si="371"/>
        <v>-</v>
      </c>
      <c r="AA432" t="str">
        <f t="shared" ca="1" si="372"/>
        <v>-</v>
      </c>
      <c r="AB432" t="str">
        <f t="shared" ca="1" si="373"/>
        <v>-</v>
      </c>
      <c r="AC432" t="str">
        <f t="shared" ca="1" si="374"/>
        <v>-</v>
      </c>
    </row>
    <row r="433" spans="1:29" x14ac:dyDescent="0.3">
      <c r="A433" t="s">
        <v>290</v>
      </c>
      <c r="B433" t="str">
        <f t="shared" ref="B433:D433" si="422">B329</f>
        <v>Detached</v>
      </c>
      <c r="C433">
        <f t="shared" si="422"/>
        <v>16</v>
      </c>
      <c r="D433">
        <f t="shared" si="422"/>
        <v>1</v>
      </c>
      <c r="E433" t="e">
        <f ca="1">AVERAGEIFS('Region 16'!$W$2:$W$500,'Region 16'!$A$2:$A$500,E$1,'Region 16'!$X$2:$X$500,$D433,'Region 16'!$S$2:$S$500,$A433)</f>
        <v>#DIV/0!</v>
      </c>
      <c r="F433" t="e">
        <f ca="1">AVERAGEIFS('Region 16'!$W$2:$W$500,'Region 16'!$A$2:$A$500,F$1,'Region 16'!$X$2:$X$500,$D433,'Region 16'!$S$2:$S$500,$A433)</f>
        <v>#DIV/0!</v>
      </c>
      <c r="G433" t="e">
        <f ca="1">AVERAGEIFS('Region 16'!$W$2:$W$500,'Region 16'!$A$2:$A$500,G$1,'Region 16'!$X$2:$X$500,$D433,'Region 16'!$S$2:$S$500,$A433)</f>
        <v>#DIV/0!</v>
      </c>
      <c r="H433" t="e">
        <f ca="1">AVERAGEIFS('Region 16'!$W$2:$W$500,'Region 16'!$A$2:$A$500,H$1,'Region 16'!$X$2:$X$500,$D433,'Region 16'!$S$2:$S$500,$A433)</f>
        <v>#DIV/0!</v>
      </c>
      <c r="I433" t="e">
        <f ca="1">AVERAGEIFS('Region 16'!$W$2:$W$500,'Region 16'!$A$2:$A$500,I$1,'Region 16'!$X$2:$X$500,$D433,'Region 16'!$S$2:$S$500,$A433)</f>
        <v>#DIV/0!</v>
      </c>
      <c r="J433" t="e">
        <f ca="1">AVERAGEIFS('Region 16'!$W$2:$W$500,'Region 16'!$A$2:$A$500,J$1,'Region 16'!$X$2:$X$500,$D433,'Region 16'!$S$2:$S$500,$A433)</f>
        <v>#DIV/0!</v>
      </c>
      <c r="K433" t="e">
        <f ca="1">AVERAGEIFS('Region 16'!$W$2:$W$500,'Region 16'!$A$2:$A$500,K$1,'Region 16'!$X$2:$X$500,$D433,'Region 16'!$S$2:$S$500,$A433)</f>
        <v>#DIV/0!</v>
      </c>
      <c r="L433" t="e">
        <f ca="1">AVERAGEIFS('Region 16'!$W$2:$W$500,'Region 16'!$A$2:$A$500,L$1,'Region 16'!$X$2:$X$500,$D433,'Region 16'!$S$2:$S$500,$A433)</f>
        <v>#DIV/0!</v>
      </c>
      <c r="M433" t="e">
        <f ca="1">AVERAGEIFS('Region 16'!$W$2:$W$500,'Region 16'!$A$2:$A$500,M$1,'Region 16'!$X$2:$X$500,$D433,'Region 16'!$S$2:$S$500,$A433)</f>
        <v>#DIV/0!</v>
      </c>
      <c r="N433" t="e">
        <f ca="1">AVERAGEIFS('Region 16'!$W$2:$W$500,'Region 16'!$A$2:$A$500,N$1,'Region 16'!$X$2:$X$500,$D433,'Region 16'!$S$2:$S$500,$A433)</f>
        <v>#DIV/0!</v>
      </c>
      <c r="Q433" t="str">
        <f t="shared" si="383"/>
        <v>Aluminium</v>
      </c>
      <c r="R433" t="str">
        <f t="shared" si="384"/>
        <v>Detached</v>
      </c>
      <c r="S433">
        <f t="shared" si="385"/>
        <v>16</v>
      </c>
      <c r="T433" t="str">
        <f t="shared" ca="1" si="365"/>
        <v>-</v>
      </c>
      <c r="U433" t="str">
        <f t="shared" ca="1" si="366"/>
        <v>-</v>
      </c>
      <c r="V433" t="str">
        <f t="shared" ca="1" si="367"/>
        <v>-</v>
      </c>
      <c r="W433" t="str">
        <f t="shared" ca="1" si="368"/>
        <v>-</v>
      </c>
      <c r="X433" t="str">
        <f t="shared" ca="1" si="369"/>
        <v>-</v>
      </c>
      <c r="Y433" t="str">
        <f t="shared" ca="1" si="370"/>
        <v>-</v>
      </c>
      <c r="Z433" t="str">
        <f t="shared" ca="1" si="371"/>
        <v>-</v>
      </c>
      <c r="AA433" t="str">
        <f t="shared" ca="1" si="372"/>
        <v>-</v>
      </c>
      <c r="AB433" t="str">
        <f t="shared" ca="1" si="373"/>
        <v>-</v>
      </c>
      <c r="AC433" t="str">
        <f t="shared" ca="1" si="374"/>
        <v>-</v>
      </c>
    </row>
    <row r="434" spans="1:29" x14ac:dyDescent="0.3">
      <c r="A434" t="s">
        <v>290</v>
      </c>
      <c r="B434" t="str">
        <f t="shared" ref="B434:D434" si="423">B330</f>
        <v>Detached</v>
      </c>
      <c r="C434">
        <f t="shared" si="423"/>
        <v>17</v>
      </c>
      <c r="D434">
        <f t="shared" si="423"/>
        <v>1</v>
      </c>
      <c r="E434" t="e">
        <f>AVERAGEIFS('Region 17'!$W$2:$W$498,'Region 17'!$A$2:$A$498,E$1,'Region 17'!$X$2:$X$498,$D434,'Region 17'!$S$2:$S$498,$A434)</f>
        <v>#DIV/0!</v>
      </c>
      <c r="F434">
        <f>AVERAGEIFS('Region 17'!$W$2:$W$498,'Region 17'!$A$2:$A$498,F$1,'Region 17'!$X$2:$X$498,$D434,'Region 17'!$S$2:$S$498,$A434)</f>
        <v>1.0920531203678494</v>
      </c>
      <c r="G434">
        <f>AVERAGEIFS('Region 17'!$W$2:$W$498,'Region 17'!$A$2:$A$498,G$1,'Region 17'!$X$2:$X$498,$D434,'Region 17'!$S$2:$S$498,$A434)</f>
        <v>0.55555555555555558</v>
      </c>
      <c r="H434" t="e">
        <f>AVERAGEIFS('Region 17'!$W$2:$W$498,'Region 17'!$A$2:$A$498,H$1,'Region 17'!$X$2:$X$498,$D434,'Region 17'!$S$2:$S$498,$A434)</f>
        <v>#DIV/0!</v>
      </c>
      <c r="I434" t="e">
        <f>AVERAGEIFS('Region 17'!$W$2:$W$498,'Region 17'!$A$2:$A$498,I$1,'Region 17'!$X$2:$X$498,$D434,'Region 17'!$S$2:$S$498,$A434)</f>
        <v>#DIV/0!</v>
      </c>
      <c r="J434" t="e">
        <f>AVERAGEIFS('Region 17'!$W$2:$W$498,'Region 17'!$A$2:$A$498,J$1,'Region 17'!$X$2:$X$498,$D434,'Region 17'!$S$2:$S$498,$A434)</f>
        <v>#DIV/0!</v>
      </c>
      <c r="K434" t="e">
        <f>AVERAGEIFS('Region 17'!$W$2:$W$498,'Region 17'!$A$2:$A$498,K$1,'Region 17'!$X$2:$X$498,$D434,'Region 17'!$S$2:$S$498,$A434)</f>
        <v>#DIV/0!</v>
      </c>
      <c r="L434" t="e">
        <f>AVERAGEIFS('Region 17'!$W$2:$W$498,'Region 17'!$A$2:$A$498,L$1,'Region 17'!$X$2:$X$498,$D434,'Region 17'!$S$2:$S$498,$A434)</f>
        <v>#DIV/0!</v>
      </c>
      <c r="M434" t="e">
        <f>AVERAGEIFS('Region 17'!$W$2:$W$498,'Region 17'!$A$2:$A$498,M$1,'Region 17'!$X$2:$X$498,$D434,'Region 17'!$S$2:$S$498,$A434)</f>
        <v>#DIV/0!</v>
      </c>
      <c r="N434" t="e">
        <f>AVERAGEIFS('Region 17'!$W$2:$W$498,'Region 17'!$A$2:$A$498,N$1,'Region 17'!$X$2:$X$498,$D434,'Region 17'!$S$2:$S$498,$A434)</f>
        <v>#DIV/0!</v>
      </c>
      <c r="Q434" t="str">
        <f t="shared" si="383"/>
        <v>Aluminium</v>
      </c>
      <c r="R434" t="str">
        <f t="shared" si="384"/>
        <v>Detached</v>
      </c>
      <c r="S434">
        <f t="shared" si="385"/>
        <v>17</v>
      </c>
      <c r="T434" t="str">
        <f t="shared" si="365"/>
        <v>-</v>
      </c>
      <c r="U434">
        <f t="shared" si="366"/>
        <v>1.0920531203678494</v>
      </c>
      <c r="V434">
        <f t="shared" si="367"/>
        <v>0.55555555555555558</v>
      </c>
      <c r="W434" t="str">
        <f t="shared" si="368"/>
        <v>-</v>
      </c>
      <c r="X434" t="str">
        <f t="shared" si="369"/>
        <v>-</v>
      </c>
      <c r="Y434" t="str">
        <f t="shared" si="370"/>
        <v>-</v>
      </c>
      <c r="Z434" t="str">
        <f t="shared" si="371"/>
        <v>-</v>
      </c>
      <c r="AA434" t="str">
        <f t="shared" si="372"/>
        <v>-</v>
      </c>
      <c r="AB434" t="str">
        <f t="shared" si="373"/>
        <v>-</v>
      </c>
      <c r="AC434" t="str">
        <f t="shared" si="374"/>
        <v>-</v>
      </c>
    </row>
    <row r="435" spans="1:29" x14ac:dyDescent="0.3">
      <c r="A435" t="s">
        <v>290</v>
      </c>
      <c r="B435" t="str">
        <f t="shared" ref="B435:D435" si="424">B331</f>
        <v>Detached</v>
      </c>
      <c r="C435">
        <f t="shared" si="424"/>
        <v>18</v>
      </c>
      <c r="D435">
        <f t="shared" si="424"/>
        <v>1</v>
      </c>
      <c r="E435" t="e">
        <f>AVERAGEIFS('Region 18'!$W$2:$W$468,'Region 18'!$A$2:$A$468,E$1,'Region 18'!$X$2:$X$468,$D435,'Region 18'!$S$2:$S$468,$A435)</f>
        <v>#DIV/0!</v>
      </c>
      <c r="F435" t="e">
        <f>AVERAGEIFS('Region 18'!$W$2:$W$468,'Region 18'!$A$2:$A$468,F$1,'Region 18'!$X$2:$X$468,$D435,'Region 18'!$S$2:$S$468,$A435)</f>
        <v>#DIV/0!</v>
      </c>
      <c r="G435" t="e">
        <f>AVERAGEIFS('Region 18'!$W$2:$W$468,'Region 18'!$A$2:$A$468,G$1,'Region 18'!$X$2:$X$468,$D435,'Region 18'!$S$2:$S$468,$A435)</f>
        <v>#DIV/0!</v>
      </c>
      <c r="H435" t="e">
        <f>AVERAGEIFS('Region 18'!$W$2:$W$468,'Region 18'!$A$2:$A$468,H$1,'Region 18'!$X$2:$X$468,$D435,'Region 18'!$S$2:$S$468,$A435)</f>
        <v>#DIV/0!</v>
      </c>
      <c r="I435" t="e">
        <f>AVERAGEIFS('Region 18'!$W$2:$W$468,'Region 18'!$A$2:$A$468,I$1,'Region 18'!$X$2:$X$468,$D435,'Region 18'!$S$2:$S$468,$A435)</f>
        <v>#DIV/0!</v>
      </c>
      <c r="J435" t="e">
        <f>AVERAGEIFS('Region 18'!$W$2:$W$468,'Region 18'!$A$2:$A$468,J$1,'Region 18'!$X$2:$X$468,$D435,'Region 18'!$S$2:$S$468,$A435)</f>
        <v>#DIV/0!</v>
      </c>
      <c r="K435" t="e">
        <f>AVERAGEIFS('Region 18'!$W$2:$W$468,'Region 18'!$A$2:$A$468,K$1,'Region 18'!$X$2:$X$468,$D435,'Region 18'!$S$2:$S$468,$A435)</f>
        <v>#DIV/0!</v>
      </c>
      <c r="L435" t="e">
        <f>AVERAGEIFS('Region 18'!$W$2:$W$468,'Region 18'!$A$2:$A$468,L$1,'Region 18'!$X$2:$X$468,$D435,'Region 18'!$S$2:$S$468,$A435)</f>
        <v>#DIV/0!</v>
      </c>
      <c r="M435" t="e">
        <f>AVERAGEIFS('Region 18'!$W$2:$W$468,'Region 18'!$A$2:$A$468,M$1,'Region 18'!$X$2:$X$468,$D435,'Region 18'!$S$2:$S$468,$A435)</f>
        <v>#DIV/0!</v>
      </c>
      <c r="N435" t="e">
        <f>AVERAGEIFS('Region 18'!$W$2:$W$468,'Region 18'!$A$2:$A$468,N$1,'Region 18'!$X$2:$X$468,$D435,'Region 18'!$S$2:$S$468,$A435)</f>
        <v>#DIV/0!</v>
      </c>
      <c r="Q435" t="str">
        <f t="shared" si="383"/>
        <v>Aluminium</v>
      </c>
      <c r="R435" t="str">
        <f t="shared" si="384"/>
        <v>Detached</v>
      </c>
      <c r="S435">
        <f t="shared" si="385"/>
        <v>18</v>
      </c>
      <c r="T435" t="str">
        <f t="shared" si="365"/>
        <v>-</v>
      </c>
      <c r="U435" t="str">
        <f t="shared" si="366"/>
        <v>-</v>
      </c>
      <c r="V435" t="str">
        <f t="shared" si="367"/>
        <v>-</v>
      </c>
      <c r="W435" t="str">
        <f t="shared" si="368"/>
        <v>-</v>
      </c>
      <c r="X435" t="str">
        <f t="shared" si="369"/>
        <v>-</v>
      </c>
      <c r="Y435" t="str">
        <f t="shared" si="370"/>
        <v>-</v>
      </c>
      <c r="Z435" t="str">
        <f t="shared" si="371"/>
        <v>-</v>
      </c>
      <c r="AA435" t="str">
        <f t="shared" si="372"/>
        <v>-</v>
      </c>
      <c r="AB435" t="str">
        <f t="shared" si="373"/>
        <v>-</v>
      </c>
      <c r="AC435" t="str">
        <f t="shared" si="374"/>
        <v>-</v>
      </c>
    </row>
    <row r="436" spans="1:29" x14ac:dyDescent="0.3">
      <c r="A436" t="s">
        <v>290</v>
      </c>
      <c r="B436" t="str">
        <f t="shared" ref="B436:D436" si="425">B332</f>
        <v>Detached</v>
      </c>
      <c r="C436">
        <f t="shared" si="425"/>
        <v>19</v>
      </c>
      <c r="D436">
        <f t="shared" si="425"/>
        <v>1</v>
      </c>
      <c r="E436" t="e">
        <f>AVERAGEIFS('Region 19'!$W$2:$W$494,'Region 19'!$A$2:$A$494,E$1,'Region 19'!$X$2:$X$494,$D436,'Region 19'!$S$2:$S$494,$A436)</f>
        <v>#DIV/0!</v>
      </c>
      <c r="F436" t="e">
        <f>AVERAGEIFS('Region 19'!$W$2:$W$494,'Region 19'!$A$2:$A$494,F$1,'Region 19'!$X$2:$X$494,$D436,'Region 19'!$S$2:$S$494,$A436)</f>
        <v>#DIV/0!</v>
      </c>
      <c r="G436" t="e">
        <f>AVERAGEIFS('Region 19'!$W$2:$W$494,'Region 19'!$A$2:$A$494,G$1,'Region 19'!$X$2:$X$494,$D436,'Region 19'!$S$2:$S$494,$A436)</f>
        <v>#DIV/0!</v>
      </c>
      <c r="H436" t="e">
        <f>AVERAGEIFS('Region 19'!$W$2:$W$494,'Region 19'!$A$2:$A$494,H$1,'Region 19'!$X$2:$X$494,$D436,'Region 19'!$S$2:$S$494,$A436)</f>
        <v>#DIV/0!</v>
      </c>
      <c r="I436" t="e">
        <f>AVERAGEIFS('Region 19'!$W$2:$W$494,'Region 19'!$A$2:$A$494,I$1,'Region 19'!$X$2:$X$494,$D436,'Region 19'!$S$2:$S$494,$A436)</f>
        <v>#DIV/0!</v>
      </c>
      <c r="J436" t="e">
        <f>AVERAGEIFS('Region 19'!$W$2:$W$494,'Region 19'!$A$2:$A$494,J$1,'Region 19'!$X$2:$X$494,$D436,'Region 19'!$S$2:$S$494,$A436)</f>
        <v>#DIV/0!</v>
      </c>
      <c r="K436" t="e">
        <f>AVERAGEIFS('Region 19'!$W$2:$W$494,'Region 19'!$A$2:$A$494,K$1,'Region 19'!$X$2:$X$494,$D436,'Region 19'!$S$2:$S$494,$A436)</f>
        <v>#DIV/0!</v>
      </c>
      <c r="L436" t="e">
        <f>AVERAGEIFS('Region 19'!$W$2:$W$494,'Region 19'!$A$2:$A$494,L$1,'Region 19'!$X$2:$X$494,$D436,'Region 19'!$S$2:$S$494,$A436)</f>
        <v>#DIV/0!</v>
      </c>
      <c r="M436" t="e">
        <f>AVERAGEIFS('Region 19'!$W$2:$W$494,'Region 19'!$A$2:$A$494,M$1,'Region 19'!$X$2:$X$494,$D436,'Region 19'!$S$2:$S$494,$A436)</f>
        <v>#DIV/0!</v>
      </c>
      <c r="N436" t="e">
        <f>AVERAGEIFS('Region 19'!$W$2:$W$494,'Region 19'!$A$2:$A$494,N$1,'Region 19'!$X$2:$X$494,$D436,'Region 19'!$S$2:$S$494,$A436)</f>
        <v>#DIV/0!</v>
      </c>
      <c r="Q436" t="str">
        <f t="shared" si="383"/>
        <v>Aluminium</v>
      </c>
      <c r="R436" t="str">
        <f t="shared" si="384"/>
        <v>Detached</v>
      </c>
      <c r="S436">
        <f t="shared" si="385"/>
        <v>19</v>
      </c>
      <c r="T436" t="str">
        <f t="shared" si="365"/>
        <v>-</v>
      </c>
      <c r="U436" t="str">
        <f t="shared" si="366"/>
        <v>-</v>
      </c>
      <c r="V436" t="str">
        <f t="shared" si="367"/>
        <v>-</v>
      </c>
      <c r="W436" t="str">
        <f t="shared" si="368"/>
        <v>-</v>
      </c>
      <c r="X436" t="str">
        <f t="shared" si="369"/>
        <v>-</v>
      </c>
      <c r="Y436" t="str">
        <f t="shared" si="370"/>
        <v>-</v>
      </c>
      <c r="Z436" t="str">
        <f t="shared" si="371"/>
        <v>-</v>
      </c>
      <c r="AA436" t="str">
        <f t="shared" si="372"/>
        <v>-</v>
      </c>
      <c r="AB436" t="str">
        <f t="shared" si="373"/>
        <v>-</v>
      </c>
      <c r="AC436" t="str">
        <f t="shared" si="374"/>
        <v>-</v>
      </c>
    </row>
    <row r="437" spans="1:29" x14ac:dyDescent="0.3">
      <c r="A437" t="s">
        <v>290</v>
      </c>
      <c r="B437" t="str">
        <f t="shared" ref="B437:D437" si="426">B333</f>
        <v>Detached</v>
      </c>
      <c r="C437">
        <f t="shared" si="426"/>
        <v>20</v>
      </c>
      <c r="D437">
        <f t="shared" si="426"/>
        <v>1</v>
      </c>
      <c r="E437" t="e">
        <f>AVERAGEIFS('Region 20'!$W$2:$W$269,'Region 20'!$A$2:$A$269,E$1,'Region 20'!$X$2:$X$269,$D437,'Region 20'!$S$2:$S$269,$A437)</f>
        <v>#DIV/0!</v>
      </c>
      <c r="F437" t="e">
        <f>AVERAGEIFS('Region 20'!$W$2:$W$269,'Region 20'!$A$2:$A$269,F$1,'Region 20'!$X$2:$X$269,$D437,'Region 20'!$S$2:$S$269,$A437)</f>
        <v>#DIV/0!</v>
      </c>
      <c r="G437" t="e">
        <f>AVERAGEIFS('Region 20'!$W$2:$W$269,'Region 20'!$A$2:$A$269,G$1,'Region 20'!$X$2:$X$269,$D437,'Region 20'!$S$2:$S$269,$A437)</f>
        <v>#DIV/0!</v>
      </c>
      <c r="H437" t="e">
        <f>AVERAGEIFS('Region 20'!$W$2:$W$269,'Region 20'!$A$2:$A$269,H$1,'Region 20'!$X$2:$X$269,$D437,'Region 20'!$S$2:$S$269,$A437)</f>
        <v>#DIV/0!</v>
      </c>
      <c r="I437">
        <f>AVERAGEIFS('Region 20'!$W$2:$W$269,'Region 20'!$A$2:$A$269,I$1,'Region 20'!$X$2:$X$269,$D437,'Region 20'!$S$2:$S$269,$A437)</f>
        <v>10.205295753949509</v>
      </c>
      <c r="J437" t="e">
        <f>AVERAGEIFS('Region 20'!$W$2:$W$269,'Region 20'!$A$2:$A$269,J$1,'Region 20'!$X$2:$X$269,$D437,'Region 20'!$S$2:$S$269,$A437)</f>
        <v>#DIV/0!</v>
      </c>
      <c r="K437" t="e">
        <f>AVERAGEIFS('Region 20'!$W$2:$W$269,'Region 20'!$A$2:$A$269,K$1,'Region 20'!$X$2:$X$269,$D437,'Region 20'!$S$2:$S$269,$A437)</f>
        <v>#DIV/0!</v>
      </c>
      <c r="L437" t="e">
        <f>AVERAGEIFS('Region 20'!$W$2:$W$269,'Region 20'!$A$2:$A$269,L$1,'Region 20'!$X$2:$X$269,$D437,'Region 20'!$S$2:$S$269,$A437)</f>
        <v>#DIV/0!</v>
      </c>
      <c r="M437" t="e">
        <f>AVERAGEIFS('Region 20'!$W$2:$W$269,'Region 20'!$A$2:$A$269,M$1,'Region 20'!$X$2:$X$269,$D437,'Region 20'!$S$2:$S$269,$A437)</f>
        <v>#DIV/0!</v>
      </c>
      <c r="N437" t="e">
        <f>AVERAGEIFS('Region 20'!$W$2:$W$269,'Region 20'!$A$2:$A$269,N$1,'Region 20'!$X$2:$X$269,$D437,'Region 20'!$S$2:$S$269,$A437)</f>
        <v>#DIV/0!</v>
      </c>
      <c r="Q437" t="str">
        <f t="shared" si="383"/>
        <v>Aluminium</v>
      </c>
      <c r="R437" t="str">
        <f t="shared" si="384"/>
        <v>Detached</v>
      </c>
      <c r="S437">
        <f t="shared" si="385"/>
        <v>20</v>
      </c>
      <c r="T437" t="str">
        <f t="shared" si="365"/>
        <v>-</v>
      </c>
      <c r="U437" t="str">
        <f t="shared" si="366"/>
        <v>-</v>
      </c>
      <c r="V437" t="str">
        <f t="shared" si="367"/>
        <v>-</v>
      </c>
      <c r="W437" t="str">
        <f t="shared" si="368"/>
        <v>-</v>
      </c>
      <c r="X437">
        <f t="shared" si="369"/>
        <v>10.205295753949509</v>
      </c>
      <c r="Y437" t="str">
        <f t="shared" si="370"/>
        <v>-</v>
      </c>
      <c r="Z437" t="str">
        <f t="shared" si="371"/>
        <v>-</v>
      </c>
      <c r="AA437" t="str">
        <f t="shared" si="372"/>
        <v>-</v>
      </c>
      <c r="AB437" t="str">
        <f t="shared" si="373"/>
        <v>-</v>
      </c>
      <c r="AC437" t="str">
        <f t="shared" si="374"/>
        <v>-</v>
      </c>
    </row>
    <row r="438" spans="1:29" x14ac:dyDescent="0.3">
      <c r="A438" t="s">
        <v>290</v>
      </c>
      <c r="B438" t="str">
        <f t="shared" ref="B438:D438" si="427">B334</f>
        <v>Detached</v>
      </c>
      <c r="C438">
        <f t="shared" si="427"/>
        <v>21</v>
      </c>
      <c r="D438">
        <f t="shared" si="427"/>
        <v>1</v>
      </c>
      <c r="E438" t="e">
        <f>AVERAGEIFS('Region 21'!$W$2:$W$497,'Region 21'!$A$2:$A$497,E$1,'Region 21'!$X$2:$X$497,$D438,'Region 21'!$S$2:$S$497,$A438)</f>
        <v>#DIV/0!</v>
      </c>
      <c r="F438" t="e">
        <f>AVERAGEIFS('Region 21'!$W$2:$W$497,'Region 21'!$A$2:$A$497,F$1,'Region 21'!$X$2:$X$497,$D438,'Region 21'!$S$2:$S$497,$A438)</f>
        <v>#DIV/0!</v>
      </c>
      <c r="G438" t="e">
        <f>AVERAGEIFS('Region 21'!$W$2:$W$497,'Region 21'!$A$2:$A$497,G$1,'Region 21'!$X$2:$X$497,$D438,'Region 21'!$S$2:$S$497,$A438)</f>
        <v>#DIV/0!</v>
      </c>
      <c r="H438" t="e">
        <f>AVERAGEIFS('Region 21'!$W$2:$W$497,'Region 21'!$A$2:$A$497,H$1,'Region 21'!$X$2:$X$497,$D438,'Region 21'!$S$2:$S$497,$A438)</f>
        <v>#DIV/0!</v>
      </c>
      <c r="I438" t="e">
        <f>AVERAGEIFS('Region 21'!$W$2:$W$497,'Region 21'!$A$2:$A$497,I$1,'Region 21'!$X$2:$X$497,$D438,'Region 21'!$S$2:$S$497,$A438)</f>
        <v>#DIV/0!</v>
      </c>
      <c r="J438" t="e">
        <f>AVERAGEIFS('Region 21'!$W$2:$W$497,'Region 21'!$A$2:$A$497,J$1,'Region 21'!$X$2:$X$497,$D438,'Region 21'!$S$2:$S$497,$A438)</f>
        <v>#DIV/0!</v>
      </c>
      <c r="K438" t="e">
        <f>AVERAGEIFS('Region 21'!$W$2:$W$497,'Region 21'!$A$2:$A$497,K$1,'Region 21'!$X$2:$X$497,$D438,'Region 21'!$S$2:$S$497,$A438)</f>
        <v>#DIV/0!</v>
      </c>
      <c r="L438" t="e">
        <f>AVERAGEIFS('Region 21'!$W$2:$W$497,'Region 21'!$A$2:$A$497,L$1,'Region 21'!$X$2:$X$497,$D438,'Region 21'!$S$2:$S$497,$A438)</f>
        <v>#DIV/0!</v>
      </c>
      <c r="M438" t="e">
        <f>AVERAGEIFS('Region 21'!$W$2:$W$497,'Region 21'!$A$2:$A$497,M$1,'Region 21'!$X$2:$X$497,$D438,'Region 21'!$S$2:$S$497,$A438)</f>
        <v>#DIV/0!</v>
      </c>
      <c r="N438" t="e">
        <f>AVERAGEIFS('Region 21'!$W$2:$W$497,'Region 21'!$A$2:$A$497,N$1,'Region 21'!$X$2:$X$497,$D438,'Region 21'!$S$2:$S$497,$A438)</f>
        <v>#DIV/0!</v>
      </c>
      <c r="Q438" t="str">
        <f t="shared" si="383"/>
        <v>Aluminium</v>
      </c>
      <c r="R438" t="str">
        <f t="shared" si="384"/>
        <v>Detached</v>
      </c>
      <c r="S438">
        <f t="shared" si="385"/>
        <v>21</v>
      </c>
      <c r="T438" t="str">
        <f t="shared" si="365"/>
        <v>-</v>
      </c>
      <c r="U438" t="str">
        <f t="shared" si="366"/>
        <v>-</v>
      </c>
      <c r="V438" t="str">
        <f t="shared" si="367"/>
        <v>-</v>
      </c>
      <c r="W438" t="str">
        <f t="shared" si="368"/>
        <v>-</v>
      </c>
      <c r="X438" t="str">
        <f t="shared" si="369"/>
        <v>-</v>
      </c>
      <c r="Y438" t="str">
        <f t="shared" si="370"/>
        <v>-</v>
      </c>
      <c r="Z438" t="str">
        <f t="shared" si="371"/>
        <v>-</v>
      </c>
      <c r="AA438" t="str">
        <f t="shared" si="372"/>
        <v>-</v>
      </c>
      <c r="AB438" t="str">
        <f t="shared" si="373"/>
        <v>-</v>
      </c>
      <c r="AC438" t="str">
        <f t="shared" si="374"/>
        <v>-</v>
      </c>
    </row>
    <row r="439" spans="1:29" x14ac:dyDescent="0.3">
      <c r="A439" t="s">
        <v>290</v>
      </c>
      <c r="B439" t="str">
        <f t="shared" ref="B439:D439" si="428">B335</f>
        <v>Detached</v>
      </c>
      <c r="C439">
        <f t="shared" si="428"/>
        <v>22</v>
      </c>
      <c r="D439">
        <f t="shared" si="428"/>
        <v>1</v>
      </c>
      <c r="E439" t="e">
        <f>AVERAGEIFS('Region 22'!$W$2:$W$510,'Region 22'!$A$2:$A$510,E$1,'Region 22'!$X$2:$X$510,$D439,'Region 22'!$S$2:$S$510,$A439)</f>
        <v>#DIV/0!</v>
      </c>
      <c r="F439" t="e">
        <f>AVERAGEIFS('Region 22'!$W$2:$W$510,'Region 22'!$A$2:$A$510,F$1,'Region 22'!$X$2:$X$510,$D439,'Region 22'!$S$2:$S$510,$A439)</f>
        <v>#DIV/0!</v>
      </c>
      <c r="G439" t="e">
        <f>AVERAGEIFS('Region 22'!$W$2:$W$510,'Region 22'!$A$2:$A$510,G$1,'Region 22'!$X$2:$X$510,$D439,'Region 22'!$S$2:$S$510,$A439)</f>
        <v>#DIV/0!</v>
      </c>
      <c r="H439" t="e">
        <f>AVERAGEIFS('Region 22'!$W$2:$W$510,'Region 22'!$A$2:$A$510,H$1,'Region 22'!$X$2:$X$510,$D439,'Region 22'!$S$2:$S$510,$A439)</f>
        <v>#DIV/0!</v>
      </c>
      <c r="I439" t="e">
        <f>AVERAGEIFS('Region 22'!$W$2:$W$510,'Region 22'!$A$2:$A$510,I$1,'Region 22'!$X$2:$X$510,$D439,'Region 22'!$S$2:$S$510,$A439)</f>
        <v>#DIV/0!</v>
      </c>
      <c r="J439" t="e">
        <f>AVERAGEIFS('Region 22'!$W$2:$W$510,'Region 22'!$A$2:$A$510,J$1,'Region 22'!$X$2:$X$510,$D439,'Region 22'!$S$2:$S$510,$A439)</f>
        <v>#DIV/0!</v>
      </c>
      <c r="K439" t="e">
        <f>AVERAGEIFS('Region 22'!$W$2:$W$510,'Region 22'!$A$2:$A$510,K$1,'Region 22'!$X$2:$X$510,$D439,'Region 22'!$S$2:$S$510,$A439)</f>
        <v>#DIV/0!</v>
      </c>
      <c r="L439" t="e">
        <f>AVERAGEIFS('Region 22'!$W$2:$W$510,'Region 22'!$A$2:$A$510,L$1,'Region 22'!$X$2:$X$510,$D439,'Region 22'!$S$2:$S$510,$A439)</f>
        <v>#DIV/0!</v>
      </c>
      <c r="M439" t="e">
        <f>AVERAGEIFS('Region 22'!$W$2:$W$510,'Region 22'!$A$2:$A$510,M$1,'Region 22'!$X$2:$X$510,$D439,'Region 22'!$S$2:$S$510,$A439)</f>
        <v>#DIV/0!</v>
      </c>
      <c r="N439" t="e">
        <f>AVERAGEIFS('Region 22'!$W$2:$W$510,'Region 22'!$A$2:$A$510,N$1,'Region 22'!$X$2:$X$510,$D439,'Region 22'!$S$2:$S$510,$A439)</f>
        <v>#DIV/0!</v>
      </c>
      <c r="Q439" t="str">
        <f t="shared" si="383"/>
        <v>Aluminium</v>
      </c>
      <c r="R439" t="str">
        <f t="shared" si="384"/>
        <v>Detached</v>
      </c>
      <c r="S439">
        <f t="shared" si="385"/>
        <v>22</v>
      </c>
      <c r="T439" t="str">
        <f t="shared" si="365"/>
        <v>-</v>
      </c>
      <c r="U439" t="str">
        <f t="shared" si="366"/>
        <v>-</v>
      </c>
      <c r="V439" t="str">
        <f t="shared" si="367"/>
        <v>-</v>
      </c>
      <c r="W439" t="str">
        <f t="shared" si="368"/>
        <v>-</v>
      </c>
      <c r="X439" t="str">
        <f t="shared" si="369"/>
        <v>-</v>
      </c>
      <c r="Y439" t="str">
        <f t="shared" si="370"/>
        <v>-</v>
      </c>
      <c r="Z439" t="str">
        <f t="shared" si="371"/>
        <v>-</v>
      </c>
      <c r="AA439" t="str">
        <f t="shared" si="372"/>
        <v>-</v>
      </c>
      <c r="AB439" t="str">
        <f t="shared" si="373"/>
        <v>-</v>
      </c>
      <c r="AC439" t="str">
        <f t="shared" si="374"/>
        <v>-</v>
      </c>
    </row>
    <row r="440" spans="1:29" x14ac:dyDescent="0.3">
      <c r="A440" t="s">
        <v>290</v>
      </c>
      <c r="B440" t="str">
        <f t="shared" ref="B440:D440" si="429">B336</f>
        <v>Detached</v>
      </c>
      <c r="C440">
        <f t="shared" si="429"/>
        <v>23</v>
      </c>
      <c r="D440">
        <f t="shared" si="429"/>
        <v>1</v>
      </c>
      <c r="E440" t="e">
        <f>AVERAGEIFS('Region 23'!$W$2:$W$468,'Region 23'!$A$2:$A$468,E$1,'Region 23'!$X$2:$X$468,$D440,'Region 23'!$S$2:$S$468,$A440)</f>
        <v>#DIV/0!</v>
      </c>
      <c r="F440">
        <f>AVERAGEIFS('Region 23'!$W$2:$W$468,'Region 23'!$A$2:$A$468,F$1,'Region 23'!$X$2:$X$468,$D440,'Region 23'!$S$2:$S$468,$A440)</f>
        <v>1.5</v>
      </c>
      <c r="G440" t="e">
        <f>AVERAGEIFS('Region 23'!$W$2:$W$468,'Region 23'!$A$2:$A$468,G$1,'Region 23'!$X$2:$X$468,$D440,'Region 23'!$S$2:$S$468,$A440)</f>
        <v>#DIV/0!</v>
      </c>
      <c r="H440" t="e">
        <f>AVERAGEIFS('Region 23'!$W$2:$W$468,'Region 23'!$A$2:$A$468,H$1,'Region 23'!$X$2:$X$468,$D440,'Region 23'!$S$2:$S$468,$A440)</f>
        <v>#DIV/0!</v>
      </c>
      <c r="I440" t="e">
        <f>AVERAGEIFS('Region 23'!$W$2:$W$468,'Region 23'!$A$2:$A$468,I$1,'Region 23'!$X$2:$X$468,$D440,'Region 23'!$S$2:$S$468,$A440)</f>
        <v>#DIV/0!</v>
      </c>
      <c r="J440" t="e">
        <f>AVERAGEIFS('Region 23'!$W$2:$W$468,'Region 23'!$A$2:$A$468,J$1,'Region 23'!$X$2:$X$468,$D440,'Region 23'!$S$2:$S$468,$A440)</f>
        <v>#DIV/0!</v>
      </c>
      <c r="K440" t="e">
        <f>AVERAGEIFS('Region 23'!$W$2:$W$468,'Region 23'!$A$2:$A$468,K$1,'Region 23'!$X$2:$X$468,$D440,'Region 23'!$S$2:$S$468,$A440)</f>
        <v>#DIV/0!</v>
      </c>
      <c r="L440" t="e">
        <f>AVERAGEIFS('Region 23'!$W$2:$W$468,'Region 23'!$A$2:$A$468,L$1,'Region 23'!$X$2:$X$468,$D440,'Region 23'!$S$2:$S$468,$A440)</f>
        <v>#DIV/0!</v>
      </c>
      <c r="M440" t="e">
        <f>AVERAGEIFS('Region 23'!$W$2:$W$468,'Region 23'!$A$2:$A$468,M$1,'Region 23'!$X$2:$X$468,$D440,'Region 23'!$S$2:$S$468,$A440)</f>
        <v>#DIV/0!</v>
      </c>
      <c r="N440" t="e">
        <f>AVERAGEIFS('Region 23'!$W$2:$W$468,'Region 23'!$A$2:$A$468,N$1,'Region 23'!$X$2:$X$468,$D440,'Region 23'!$S$2:$S$468,$A440)</f>
        <v>#DIV/0!</v>
      </c>
      <c r="Q440" t="str">
        <f t="shared" si="383"/>
        <v>Aluminium</v>
      </c>
      <c r="R440" t="str">
        <f t="shared" si="384"/>
        <v>Detached</v>
      </c>
      <c r="S440">
        <f t="shared" si="385"/>
        <v>23</v>
      </c>
      <c r="T440" t="str">
        <f t="shared" si="365"/>
        <v>-</v>
      </c>
      <c r="U440">
        <f t="shared" si="366"/>
        <v>1.5</v>
      </c>
      <c r="V440" t="str">
        <f t="shared" si="367"/>
        <v>-</v>
      </c>
      <c r="W440" t="str">
        <f t="shared" si="368"/>
        <v>-</v>
      </c>
      <c r="X440" t="str">
        <f t="shared" si="369"/>
        <v>-</v>
      </c>
      <c r="Y440" t="str">
        <f t="shared" si="370"/>
        <v>-</v>
      </c>
      <c r="Z440" t="str">
        <f t="shared" si="371"/>
        <v>-</v>
      </c>
      <c r="AA440" t="str">
        <f t="shared" si="372"/>
        <v>-</v>
      </c>
      <c r="AB440" t="str">
        <f t="shared" si="373"/>
        <v>-</v>
      </c>
      <c r="AC440" t="str">
        <f t="shared" si="374"/>
        <v>-</v>
      </c>
    </row>
    <row r="441" spans="1:29" x14ac:dyDescent="0.3">
      <c r="A441" t="s">
        <v>290</v>
      </c>
      <c r="B441" t="str">
        <f t="shared" ref="B441:D441" si="430">B337</f>
        <v>Detached</v>
      </c>
      <c r="C441">
        <f t="shared" si="430"/>
        <v>24</v>
      </c>
      <c r="D441">
        <f t="shared" si="430"/>
        <v>1</v>
      </c>
      <c r="E441" t="e">
        <f>AVERAGEIFS('Region 24'!$W$2:$W$454,'Region 24'!$A$2:$A$454,E$1,'Region 24'!$X$2:$X$454,$D441,'Region 24'!$S$2:$S$454,$A441)</f>
        <v>#DIV/0!</v>
      </c>
      <c r="F441">
        <f>AVERAGEIFS('Region 24'!$W$2:$W$454,'Region 24'!$A$2:$A$454,F$1,'Region 24'!$X$2:$X$454,$D441,'Region 24'!$S$2:$S$454,$A441)</f>
        <v>1.0680093069382461</v>
      </c>
      <c r="G441" t="e">
        <f>AVERAGEIFS('Region 24'!$W$2:$W$454,'Region 24'!$A$2:$A$454,G$1,'Region 24'!$X$2:$X$454,$D441,'Region 24'!$S$2:$S$454,$A441)</f>
        <v>#DIV/0!</v>
      </c>
      <c r="H441">
        <f>AVERAGEIFS('Region 24'!$W$2:$W$454,'Region 24'!$A$2:$A$454,H$1,'Region 24'!$X$2:$X$454,$D441,'Region 24'!$S$2:$S$454,$A441)</f>
        <v>2.7233584499461787</v>
      </c>
      <c r="I441" t="e">
        <f>AVERAGEIFS('Region 24'!$W$2:$W$454,'Region 24'!$A$2:$A$454,I$1,'Region 24'!$X$2:$X$454,$D441,'Region 24'!$S$2:$S$454,$A441)</f>
        <v>#DIV/0!</v>
      </c>
      <c r="J441" t="e">
        <f>AVERAGEIFS('Region 24'!$W$2:$W$454,'Region 24'!$A$2:$A$454,J$1,'Region 24'!$X$2:$X$454,$D441,'Region 24'!$S$2:$S$454,$A441)</f>
        <v>#DIV/0!</v>
      </c>
      <c r="K441" t="e">
        <f>AVERAGEIFS('Region 24'!$W$2:$W$454,'Region 24'!$A$2:$A$454,K$1,'Region 24'!$X$2:$X$454,$D441,'Region 24'!$S$2:$S$454,$A441)</f>
        <v>#DIV/0!</v>
      </c>
      <c r="L441" t="e">
        <f>AVERAGEIFS('Region 24'!$W$2:$W$454,'Region 24'!$A$2:$A$454,L$1,'Region 24'!$X$2:$X$454,$D441,'Region 24'!$S$2:$S$454,$A441)</f>
        <v>#DIV/0!</v>
      </c>
      <c r="M441" t="e">
        <f>AVERAGEIFS('Region 24'!$W$2:$W$454,'Region 24'!$A$2:$A$454,M$1,'Region 24'!$X$2:$X$454,$D441,'Region 24'!$S$2:$S$454,$A441)</f>
        <v>#DIV/0!</v>
      </c>
      <c r="N441" t="e">
        <f>AVERAGEIFS('Region 24'!$W$2:$W$454,'Region 24'!$A$2:$A$454,N$1,'Region 24'!$X$2:$X$454,$D441,'Region 24'!$S$2:$S$454,$A441)</f>
        <v>#DIV/0!</v>
      </c>
      <c r="Q441" t="str">
        <f t="shared" si="383"/>
        <v>Aluminium</v>
      </c>
      <c r="R441" t="str">
        <f t="shared" si="384"/>
        <v>Detached</v>
      </c>
      <c r="S441">
        <f t="shared" si="385"/>
        <v>24</v>
      </c>
      <c r="T441" t="str">
        <f t="shared" si="365"/>
        <v>-</v>
      </c>
      <c r="U441">
        <f t="shared" si="366"/>
        <v>1.0680093069382461</v>
      </c>
      <c r="V441" t="str">
        <f t="shared" si="367"/>
        <v>-</v>
      </c>
      <c r="W441">
        <f t="shared" si="368"/>
        <v>2.7233584499461787</v>
      </c>
      <c r="X441" t="str">
        <f t="shared" si="369"/>
        <v>-</v>
      </c>
      <c r="Y441" t="str">
        <f t="shared" si="370"/>
        <v>-</v>
      </c>
      <c r="Z441" t="str">
        <f t="shared" si="371"/>
        <v>-</v>
      </c>
      <c r="AA441" t="str">
        <f t="shared" si="372"/>
        <v>-</v>
      </c>
      <c r="AB441" t="str">
        <f t="shared" si="373"/>
        <v>-</v>
      </c>
      <c r="AC441" t="str">
        <f t="shared" si="374"/>
        <v>-</v>
      </c>
    </row>
    <row r="442" spans="1:29" x14ac:dyDescent="0.3">
      <c r="A442" t="s">
        <v>290</v>
      </c>
      <c r="B442" t="str">
        <f t="shared" ref="B442:D442" si="431">B338</f>
        <v>Detached</v>
      </c>
      <c r="C442">
        <f t="shared" si="431"/>
        <v>25</v>
      </c>
      <c r="D442">
        <f t="shared" si="431"/>
        <v>1</v>
      </c>
      <c r="E442" t="e">
        <f>AVERAGEIFS('Region 25'!$W$2:$W$499,'Region 25'!$A$2:$A$499,E$1,'Region 25'!$X$2:$X$499,$D442,'Region 25'!$S$2:$S$499,$A442)</f>
        <v>#DIV/0!</v>
      </c>
      <c r="F442" t="e">
        <f>AVERAGEIFS('Region 25'!$W$2:$W$499,'Region 25'!$A$2:$A$499,F$1,'Region 25'!$X$2:$X$499,$D442,'Region 25'!$S$2:$S$499,$A442)</f>
        <v>#DIV/0!</v>
      </c>
      <c r="G442" t="e">
        <f>AVERAGEIFS('Region 25'!$W$2:$W$499,'Region 25'!$A$2:$A$499,G$1,'Region 25'!$X$2:$X$499,$D442,'Region 25'!$S$2:$S$499,$A442)</f>
        <v>#DIV/0!</v>
      </c>
      <c r="H442" t="e">
        <f>AVERAGEIFS('Region 25'!$W$2:$W$499,'Region 25'!$A$2:$A$499,H$1,'Region 25'!$X$2:$X$499,$D442,'Region 25'!$S$2:$S$499,$A442)</f>
        <v>#DIV/0!</v>
      </c>
      <c r="I442" t="e">
        <f>AVERAGEIFS('Region 25'!$W$2:$W$499,'Region 25'!$A$2:$A$499,I$1,'Region 25'!$X$2:$X$499,$D442,'Region 25'!$S$2:$S$499,$A442)</f>
        <v>#DIV/0!</v>
      </c>
      <c r="J442" t="e">
        <f>AVERAGEIFS('Region 25'!$W$2:$W$499,'Region 25'!$A$2:$A$499,J$1,'Region 25'!$X$2:$X$499,$D442,'Region 25'!$S$2:$S$499,$A442)</f>
        <v>#DIV/0!</v>
      </c>
      <c r="K442" t="e">
        <f>AVERAGEIFS('Region 25'!$W$2:$W$499,'Region 25'!$A$2:$A$499,K$1,'Region 25'!$X$2:$X$499,$D442,'Region 25'!$S$2:$S$499,$A442)</f>
        <v>#DIV/0!</v>
      </c>
      <c r="L442" t="e">
        <f>AVERAGEIFS('Region 25'!$W$2:$W$499,'Region 25'!$A$2:$A$499,L$1,'Region 25'!$X$2:$X$499,$D442,'Region 25'!$S$2:$S$499,$A442)</f>
        <v>#DIV/0!</v>
      </c>
      <c r="M442" t="e">
        <f>AVERAGEIFS('Region 25'!$W$2:$W$499,'Region 25'!$A$2:$A$499,M$1,'Region 25'!$X$2:$X$499,$D442,'Region 25'!$S$2:$S$499,$A442)</f>
        <v>#DIV/0!</v>
      </c>
      <c r="N442" t="e">
        <f>AVERAGEIFS('Region 25'!$W$2:$W$499,'Region 25'!$A$2:$A$499,N$1,'Region 25'!$X$2:$X$499,$D442,'Region 25'!$S$2:$S$499,$A442)</f>
        <v>#DIV/0!</v>
      </c>
      <c r="Q442" t="str">
        <f t="shared" si="383"/>
        <v>Aluminium</v>
      </c>
      <c r="R442" t="str">
        <f t="shared" si="384"/>
        <v>Detached</v>
      </c>
      <c r="S442">
        <f t="shared" si="385"/>
        <v>25</v>
      </c>
      <c r="T442" t="str">
        <f t="shared" si="365"/>
        <v>-</v>
      </c>
      <c r="U442" t="str">
        <f t="shared" si="366"/>
        <v>-</v>
      </c>
      <c r="V442" t="str">
        <f t="shared" si="367"/>
        <v>-</v>
      </c>
      <c r="W442" t="str">
        <f t="shared" si="368"/>
        <v>-</v>
      </c>
      <c r="X442" t="str">
        <f t="shared" si="369"/>
        <v>-</v>
      </c>
      <c r="Y442" t="str">
        <f t="shared" si="370"/>
        <v>-</v>
      </c>
      <c r="Z442" t="str">
        <f t="shared" si="371"/>
        <v>-</v>
      </c>
      <c r="AA442" t="str">
        <f t="shared" si="372"/>
        <v>-</v>
      </c>
      <c r="AB442" t="str">
        <f t="shared" si="373"/>
        <v>-</v>
      </c>
      <c r="AC442" t="str">
        <f t="shared" si="374"/>
        <v>-</v>
      </c>
    </row>
    <row r="443" spans="1:29" x14ac:dyDescent="0.3">
      <c r="A443" t="s">
        <v>290</v>
      </c>
      <c r="B443" t="str">
        <f t="shared" ref="B443:D443" si="432">B339</f>
        <v>Detached</v>
      </c>
      <c r="C443">
        <f t="shared" si="432"/>
        <v>26</v>
      </c>
      <c r="D443">
        <f t="shared" si="432"/>
        <v>1</v>
      </c>
      <c r="E443" t="e">
        <f ca="1">AVERAGEIFS('Region 26'!$W$2:$W$500,'Region 26'!$A$2:$A$500,E$1,'Region 26'!$X$2:$X$500,$D443,'Region 26'!$S$2:$S$500,$A443)</f>
        <v>#DIV/0!</v>
      </c>
      <c r="F443" t="e">
        <f ca="1">AVERAGEIFS('Region 26'!$W$2:$W$500,'Region 26'!$A$2:$A$500,F$1,'Region 26'!$X$2:$X$500,$D443,'Region 26'!$S$2:$S$500,$A443)</f>
        <v>#DIV/0!</v>
      </c>
      <c r="G443" t="e">
        <f ca="1">AVERAGEIFS('Region 26'!$W$2:$W$500,'Region 26'!$A$2:$A$500,G$1,'Region 26'!$X$2:$X$500,$D443,'Region 26'!$S$2:$S$500,$A443)</f>
        <v>#DIV/0!</v>
      </c>
      <c r="H443" t="e">
        <f ca="1">AVERAGEIFS('Region 26'!$W$2:$W$500,'Region 26'!$A$2:$A$500,H$1,'Region 26'!$X$2:$X$500,$D443,'Region 26'!$S$2:$S$500,$A443)</f>
        <v>#DIV/0!</v>
      </c>
      <c r="I443" t="e">
        <f ca="1">AVERAGEIFS('Region 26'!$W$2:$W$500,'Region 26'!$A$2:$A$500,I$1,'Region 26'!$X$2:$X$500,$D443,'Region 26'!$S$2:$S$500,$A443)</f>
        <v>#DIV/0!</v>
      </c>
      <c r="J443" t="e">
        <f ca="1">AVERAGEIFS('Region 26'!$W$2:$W$500,'Region 26'!$A$2:$A$500,J$1,'Region 26'!$X$2:$X$500,$D443,'Region 26'!$S$2:$S$500,$A443)</f>
        <v>#DIV/0!</v>
      </c>
      <c r="K443" t="e">
        <f ca="1">AVERAGEIFS('Region 26'!$W$2:$W$500,'Region 26'!$A$2:$A$500,K$1,'Region 26'!$X$2:$X$500,$D443,'Region 26'!$S$2:$S$500,$A443)</f>
        <v>#DIV/0!</v>
      </c>
      <c r="L443" t="e">
        <f ca="1">AVERAGEIFS('Region 26'!$W$2:$W$500,'Region 26'!$A$2:$A$500,L$1,'Region 26'!$X$2:$X$500,$D443,'Region 26'!$S$2:$S$500,$A443)</f>
        <v>#DIV/0!</v>
      </c>
      <c r="M443" t="e">
        <f ca="1">AVERAGEIFS('Region 26'!$W$2:$W$500,'Region 26'!$A$2:$A$500,M$1,'Region 26'!$X$2:$X$500,$D443,'Region 26'!$S$2:$S$500,$A443)</f>
        <v>#DIV/0!</v>
      </c>
      <c r="N443" t="e">
        <f ca="1">AVERAGEIFS('Region 26'!$W$2:$W$500,'Region 26'!$A$2:$A$500,N$1,'Region 26'!$X$2:$X$500,$D443,'Region 26'!$S$2:$S$500,$A443)</f>
        <v>#DIV/0!</v>
      </c>
      <c r="Q443" t="str">
        <f t="shared" si="383"/>
        <v>Aluminium</v>
      </c>
      <c r="R443" t="str">
        <f t="shared" si="384"/>
        <v>Detached</v>
      </c>
      <c r="S443">
        <f t="shared" si="385"/>
        <v>26</v>
      </c>
      <c r="T443" t="str">
        <f t="shared" ca="1" si="365"/>
        <v>-</v>
      </c>
      <c r="U443" t="str">
        <f t="shared" ca="1" si="366"/>
        <v>-</v>
      </c>
      <c r="V443" t="str">
        <f t="shared" ca="1" si="367"/>
        <v>-</v>
      </c>
      <c r="W443" t="str">
        <f t="shared" ca="1" si="368"/>
        <v>-</v>
      </c>
      <c r="X443" t="str">
        <f t="shared" ca="1" si="369"/>
        <v>-</v>
      </c>
      <c r="Y443" t="str">
        <f t="shared" ca="1" si="370"/>
        <v>-</v>
      </c>
      <c r="Z443" t="str">
        <f t="shared" ca="1" si="371"/>
        <v>-</v>
      </c>
      <c r="AA443" t="str">
        <f t="shared" ca="1" si="372"/>
        <v>-</v>
      </c>
      <c r="AB443" t="str">
        <f t="shared" ca="1" si="373"/>
        <v>-</v>
      </c>
      <c r="AC443" t="str">
        <f t="shared" ca="1" si="374"/>
        <v>-</v>
      </c>
    </row>
    <row r="444" spans="1:29" x14ac:dyDescent="0.3">
      <c r="A444" t="s">
        <v>290</v>
      </c>
      <c r="B444" t="str">
        <f t="shared" ref="B444:D444" si="433">B340</f>
        <v>Semi-detached</v>
      </c>
      <c r="C444">
        <f t="shared" si="433"/>
        <v>1</v>
      </c>
      <c r="D444">
        <f t="shared" si="433"/>
        <v>2</v>
      </c>
      <c r="E444" t="e">
        <f>AVERAGEIFS('Region 1'!$W$2:$W$498,'Region 1'!$A$2:$A$498,E$1,'Region 1'!$X$2:$X$498,$D444,'Region 1'!$S$2:$S$498,$A444)</f>
        <v>#DIV/0!</v>
      </c>
      <c r="F444" t="e">
        <f>AVERAGEIFS('Region 1'!$W$2:$W$498,'Region 1'!$A$2:$A$498,F$1,'Region 1'!$X$2:$X$498,$D444,'Region 1'!$S$2:$S$498,$A444)</f>
        <v>#DIV/0!</v>
      </c>
      <c r="G444" t="e">
        <f>AVERAGEIFS('Region 1'!$W$2:$W$498,'Region 1'!$A$2:$A$498,G$1,'Region 1'!$X$2:$X$498,$D444,'Region 1'!$S$2:$S$498,$A444)</f>
        <v>#DIV/0!</v>
      </c>
      <c r="H444" t="e">
        <f>AVERAGEIFS('Region 1'!$W$2:$W$498,'Region 1'!$A$2:$A$498,H$1,'Region 1'!$X$2:$X$498,$D444,'Region 1'!$S$2:$S$498,$A444)</f>
        <v>#DIV/0!</v>
      </c>
      <c r="I444" t="e">
        <f>AVERAGEIFS('Region 1'!$W$2:$W$498,'Region 1'!$A$2:$A$498,I$1,'Region 1'!$X$2:$X$498,$D444,'Region 1'!$S$2:$S$498,$A444)</f>
        <v>#DIV/0!</v>
      </c>
      <c r="J444" t="e">
        <f>AVERAGEIFS('Region 1'!$W$2:$W$498,'Region 1'!$A$2:$A$498,J$1,'Region 1'!$X$2:$X$498,$D444,'Region 1'!$S$2:$S$498,$A444)</f>
        <v>#DIV/0!</v>
      </c>
      <c r="K444" t="e">
        <f>AVERAGEIFS('Region 1'!$W$2:$W$498,'Region 1'!$A$2:$A$498,K$1,'Region 1'!$X$2:$X$498,$D444,'Region 1'!$S$2:$S$498,$A444)</f>
        <v>#DIV/0!</v>
      </c>
      <c r="L444" t="e">
        <f>AVERAGEIFS('Region 1'!$W$2:$W$498,'Region 1'!$A$2:$A$498,L$1,'Region 1'!$X$2:$X$498,$D444,'Region 1'!$S$2:$S$498,$A444)</f>
        <v>#DIV/0!</v>
      </c>
      <c r="M444" t="e">
        <f>AVERAGEIFS('Region 1'!$W$2:$W$498,'Region 1'!$A$2:$A$498,M$1,'Region 1'!$X$2:$X$498,$D444,'Region 1'!$S$2:$S$498,$A444)</f>
        <v>#DIV/0!</v>
      </c>
      <c r="N444" t="e">
        <f>AVERAGEIFS('Region 1'!$W$2:$W$498,'Region 1'!$A$2:$A$498,N$1,'Region 1'!$X$2:$X$498,$D444,'Region 1'!$S$2:$S$498,$A444)</f>
        <v>#DIV/0!</v>
      </c>
      <c r="Q444" t="str">
        <f t="shared" si="383"/>
        <v>Aluminium</v>
      </c>
      <c r="R444" t="str">
        <f t="shared" si="384"/>
        <v>Semi-detached</v>
      </c>
      <c r="S444">
        <f t="shared" si="385"/>
        <v>1</v>
      </c>
      <c r="T444" t="str">
        <f t="shared" si="365"/>
        <v>-</v>
      </c>
      <c r="U444" t="str">
        <f t="shared" si="366"/>
        <v>-</v>
      </c>
      <c r="V444" t="str">
        <f t="shared" si="367"/>
        <v>-</v>
      </c>
      <c r="W444" t="str">
        <f t="shared" si="368"/>
        <v>-</v>
      </c>
      <c r="X444" t="str">
        <f t="shared" si="369"/>
        <v>-</v>
      </c>
      <c r="Y444" t="str">
        <f t="shared" si="370"/>
        <v>-</v>
      </c>
      <c r="Z444" t="str">
        <f t="shared" si="371"/>
        <v>-</v>
      </c>
      <c r="AA444" t="str">
        <f t="shared" si="372"/>
        <v>-</v>
      </c>
      <c r="AB444" t="str">
        <f t="shared" si="373"/>
        <v>-</v>
      </c>
      <c r="AC444" t="str">
        <f t="shared" si="374"/>
        <v>-</v>
      </c>
    </row>
    <row r="445" spans="1:29" x14ac:dyDescent="0.3">
      <c r="A445" t="s">
        <v>290</v>
      </c>
      <c r="B445" t="str">
        <f t="shared" ref="B445:D445" si="434">B341</f>
        <v>Semi-detached</v>
      </c>
      <c r="C445">
        <f t="shared" si="434"/>
        <v>2</v>
      </c>
      <c r="D445">
        <f t="shared" si="434"/>
        <v>2</v>
      </c>
      <c r="E445" t="e">
        <f>AVERAGEIFS('Region 2'!$W$2:$W$498,'Region 2'!$A$2:$A$498,E$1,'Region 2'!$X$2:$X$498,$D445,'Region 2'!$S$2:$S$498,$A445)</f>
        <v>#DIV/0!</v>
      </c>
      <c r="F445" t="e">
        <f>AVERAGEIFS('Region 2'!$W$2:$W$498,'Region 2'!$A$2:$A$498,F$1,'Region 2'!$X$2:$X$498,$D445,'Region 2'!$S$2:$S$498,$A445)</f>
        <v>#DIV/0!</v>
      </c>
      <c r="G445" t="e">
        <f>AVERAGEIFS('Region 2'!$W$2:$W$498,'Region 2'!$A$2:$A$498,G$1,'Region 2'!$X$2:$X$498,$D445,'Region 2'!$S$2:$S$498,$A445)</f>
        <v>#DIV/0!</v>
      </c>
      <c r="H445" t="e">
        <f>AVERAGEIFS('Region 2'!$W$2:$W$498,'Region 2'!$A$2:$A$498,H$1,'Region 2'!$X$2:$X$498,$D445,'Region 2'!$S$2:$S$498,$A445)</f>
        <v>#DIV/0!</v>
      </c>
      <c r="I445" t="e">
        <f>AVERAGEIFS('Region 2'!$W$2:$W$498,'Region 2'!$A$2:$A$498,I$1,'Region 2'!$X$2:$X$498,$D445,'Region 2'!$S$2:$S$498,$A445)</f>
        <v>#DIV/0!</v>
      </c>
      <c r="J445" t="e">
        <f>AVERAGEIFS('Region 2'!$W$2:$W$498,'Region 2'!$A$2:$A$498,J$1,'Region 2'!$X$2:$X$498,$D445,'Region 2'!$S$2:$S$498,$A445)</f>
        <v>#DIV/0!</v>
      </c>
      <c r="K445" t="e">
        <f>AVERAGEIFS('Region 2'!$W$2:$W$498,'Region 2'!$A$2:$A$498,K$1,'Region 2'!$X$2:$X$498,$D445,'Region 2'!$S$2:$S$498,$A445)</f>
        <v>#DIV/0!</v>
      </c>
      <c r="L445" t="e">
        <f>AVERAGEIFS('Region 2'!$W$2:$W$498,'Region 2'!$A$2:$A$498,L$1,'Region 2'!$X$2:$X$498,$D445,'Region 2'!$S$2:$S$498,$A445)</f>
        <v>#DIV/0!</v>
      </c>
      <c r="M445" t="e">
        <f>AVERAGEIFS('Region 2'!$W$2:$W$498,'Region 2'!$A$2:$A$498,M$1,'Region 2'!$X$2:$X$498,$D445,'Region 2'!$S$2:$S$498,$A445)</f>
        <v>#DIV/0!</v>
      </c>
      <c r="N445" t="e">
        <f>AVERAGEIFS('Region 2'!$W$2:$W$498,'Region 2'!$A$2:$A$498,N$1,'Region 2'!$X$2:$X$498,$D445,'Region 2'!$S$2:$S$498,$A445)</f>
        <v>#DIV/0!</v>
      </c>
      <c r="Q445" t="str">
        <f t="shared" si="383"/>
        <v>Aluminium</v>
      </c>
      <c r="R445" t="str">
        <f t="shared" si="384"/>
        <v>Semi-detached</v>
      </c>
      <c r="S445">
        <f t="shared" si="385"/>
        <v>2</v>
      </c>
      <c r="T445" t="str">
        <f t="shared" si="365"/>
        <v>-</v>
      </c>
      <c r="U445" t="str">
        <f t="shared" si="366"/>
        <v>-</v>
      </c>
      <c r="V445" t="str">
        <f t="shared" si="367"/>
        <v>-</v>
      </c>
      <c r="W445" t="str">
        <f t="shared" si="368"/>
        <v>-</v>
      </c>
      <c r="X445" t="str">
        <f t="shared" si="369"/>
        <v>-</v>
      </c>
      <c r="Y445" t="str">
        <f t="shared" si="370"/>
        <v>-</v>
      </c>
      <c r="Z445" t="str">
        <f t="shared" si="371"/>
        <v>-</v>
      </c>
      <c r="AA445" t="str">
        <f t="shared" si="372"/>
        <v>-</v>
      </c>
      <c r="AB445" t="str">
        <f t="shared" si="373"/>
        <v>-</v>
      </c>
      <c r="AC445" t="str">
        <f t="shared" si="374"/>
        <v>-</v>
      </c>
    </row>
    <row r="446" spans="1:29" x14ac:dyDescent="0.3">
      <c r="A446" t="s">
        <v>290</v>
      </c>
      <c r="B446" t="str">
        <f t="shared" ref="B446:D446" si="435">B342</f>
        <v>Semi-detached</v>
      </c>
      <c r="C446">
        <f t="shared" si="435"/>
        <v>3</v>
      </c>
      <c r="D446">
        <f t="shared" si="435"/>
        <v>2</v>
      </c>
      <c r="E446" t="e">
        <f ca="1">AVERAGEIFS('Region 3'!$W$2:$W$500,'Region 3'!$A$2:$A$500,E$1,'Region 3'!$X$2:$X$500,$D446,'Region 3'!$S$2:$S$500,$A446)</f>
        <v>#DIV/0!</v>
      </c>
      <c r="F446" t="e">
        <f ca="1">AVERAGEIFS('Region 3'!$W$2:$W$500,'Region 3'!$A$2:$A$500,F$1,'Region 3'!$X$2:$X$500,$D446,'Region 3'!$S$2:$S$500,$A446)</f>
        <v>#DIV/0!</v>
      </c>
      <c r="G446" t="e">
        <f ca="1">AVERAGEIFS('Region 3'!$W$2:$W$500,'Region 3'!$A$2:$A$500,G$1,'Region 3'!$X$2:$X$500,$D446,'Region 3'!$S$2:$S$500,$A446)</f>
        <v>#DIV/0!</v>
      </c>
      <c r="H446" t="e">
        <f ca="1">AVERAGEIFS('Region 3'!$W$2:$W$500,'Region 3'!$A$2:$A$500,H$1,'Region 3'!$X$2:$X$500,$D446,'Region 3'!$S$2:$S$500,$A446)</f>
        <v>#DIV/0!</v>
      </c>
      <c r="I446" t="e">
        <f ca="1">AVERAGEIFS('Region 3'!$W$2:$W$500,'Region 3'!$A$2:$A$500,I$1,'Region 3'!$X$2:$X$500,$D446,'Region 3'!$S$2:$S$500,$A446)</f>
        <v>#DIV/0!</v>
      </c>
      <c r="J446" t="e">
        <f ca="1">AVERAGEIFS('Region 3'!$W$2:$W$500,'Region 3'!$A$2:$A$500,J$1,'Region 3'!$X$2:$X$500,$D446,'Region 3'!$S$2:$S$500,$A446)</f>
        <v>#DIV/0!</v>
      </c>
      <c r="K446" t="e">
        <f ca="1">AVERAGEIFS('Region 3'!$W$2:$W$500,'Region 3'!$A$2:$A$500,K$1,'Region 3'!$X$2:$X$500,$D446,'Region 3'!$S$2:$S$500,$A446)</f>
        <v>#DIV/0!</v>
      </c>
      <c r="L446" t="e">
        <f ca="1">AVERAGEIFS('Region 3'!$W$2:$W$500,'Region 3'!$A$2:$A$500,L$1,'Region 3'!$X$2:$X$500,$D446,'Region 3'!$S$2:$S$500,$A446)</f>
        <v>#DIV/0!</v>
      </c>
      <c r="M446" t="e">
        <f ca="1">AVERAGEIFS('Region 3'!$W$2:$W$500,'Region 3'!$A$2:$A$500,M$1,'Region 3'!$X$2:$X$500,$D446,'Region 3'!$S$2:$S$500,$A446)</f>
        <v>#DIV/0!</v>
      </c>
      <c r="N446" t="e">
        <f ca="1">AVERAGEIFS('Region 3'!$W$2:$W$500,'Region 3'!$A$2:$A$500,N$1,'Region 3'!$X$2:$X$500,$D446,'Region 3'!$S$2:$S$500,$A446)</f>
        <v>#DIV/0!</v>
      </c>
      <c r="Q446" t="str">
        <f t="shared" si="383"/>
        <v>Aluminium</v>
      </c>
      <c r="R446" t="str">
        <f t="shared" si="384"/>
        <v>Semi-detached</v>
      </c>
      <c r="S446">
        <f t="shared" si="385"/>
        <v>3</v>
      </c>
      <c r="T446" t="str">
        <f t="shared" ca="1" si="365"/>
        <v>-</v>
      </c>
      <c r="U446" t="str">
        <f t="shared" ca="1" si="366"/>
        <v>-</v>
      </c>
      <c r="V446" t="str">
        <f t="shared" ca="1" si="367"/>
        <v>-</v>
      </c>
      <c r="W446" t="str">
        <f t="shared" ca="1" si="368"/>
        <v>-</v>
      </c>
      <c r="X446" t="str">
        <f t="shared" ca="1" si="369"/>
        <v>-</v>
      </c>
      <c r="Y446" t="str">
        <f t="shared" ca="1" si="370"/>
        <v>-</v>
      </c>
      <c r="Z446" t="str">
        <f t="shared" ca="1" si="371"/>
        <v>-</v>
      </c>
      <c r="AA446" t="str">
        <f t="shared" ca="1" si="372"/>
        <v>-</v>
      </c>
      <c r="AB446" t="str">
        <f t="shared" ca="1" si="373"/>
        <v>-</v>
      </c>
      <c r="AC446" t="str">
        <f t="shared" ca="1" si="374"/>
        <v>-</v>
      </c>
    </row>
    <row r="447" spans="1:29" x14ac:dyDescent="0.3">
      <c r="A447" t="s">
        <v>290</v>
      </c>
      <c r="B447" t="str">
        <f t="shared" ref="B447:D447" si="436">B343</f>
        <v>Semi-detached</v>
      </c>
      <c r="C447">
        <f t="shared" si="436"/>
        <v>4</v>
      </c>
      <c r="D447">
        <f t="shared" si="436"/>
        <v>2</v>
      </c>
      <c r="E447" t="e">
        <f>AVERAGEIFS('Region 4'!$W$2:$W$10,'Region 4'!$A$2:$A$10,E$1,'Region 4'!$X$2:$X$10,$D447,'Region 4'!$S$2:$S$10,$A447)</f>
        <v>#DIV/0!</v>
      </c>
      <c r="F447" t="e">
        <f>AVERAGEIFS('Region 4'!$W$2:$W$10,'Region 4'!$A$2:$A$10,F$1,'Region 4'!$X$2:$X$10,$D447,'Region 4'!$S$2:$S$10,$A447)</f>
        <v>#DIV/0!</v>
      </c>
      <c r="G447" t="e">
        <f>AVERAGEIFS('Region 4'!$W$2:$W$10,'Region 4'!$A$2:$A$10,G$1,'Region 4'!$X$2:$X$10,$D447,'Region 4'!$S$2:$S$10,$A447)</f>
        <v>#DIV/0!</v>
      </c>
      <c r="H447" t="e">
        <f>AVERAGEIFS('Region 4'!$W$2:$W$10,'Region 4'!$A$2:$A$10,H$1,'Region 4'!$X$2:$X$10,$D447,'Region 4'!$S$2:$S$10,$A447)</f>
        <v>#DIV/0!</v>
      </c>
      <c r="I447" t="e">
        <f>AVERAGEIFS('Region 4'!$W$2:$W$10,'Region 4'!$A$2:$A$10,I$1,'Region 4'!$X$2:$X$10,$D447,'Region 4'!$S$2:$S$10,$A447)</f>
        <v>#DIV/0!</v>
      </c>
      <c r="J447" t="e">
        <f>AVERAGEIFS('Region 4'!$W$2:$W$10,'Region 4'!$A$2:$A$10,J$1,'Region 4'!$X$2:$X$10,$D447,'Region 4'!$S$2:$S$10,$A447)</f>
        <v>#DIV/0!</v>
      </c>
      <c r="K447" t="e">
        <f>AVERAGEIFS('Region 4'!$W$2:$W$10,'Region 4'!$A$2:$A$10,K$1,'Region 4'!$X$2:$X$10,$D447,'Region 4'!$S$2:$S$10,$A447)</f>
        <v>#DIV/0!</v>
      </c>
      <c r="L447" t="e">
        <f>AVERAGEIFS('Region 4'!$W$2:$W$10,'Region 4'!$A$2:$A$10,L$1,'Region 4'!$X$2:$X$10,$D447,'Region 4'!$S$2:$S$10,$A447)</f>
        <v>#DIV/0!</v>
      </c>
      <c r="M447" t="e">
        <f>AVERAGEIFS('Region 4'!$W$2:$W$10,'Region 4'!$A$2:$A$10,M$1,'Region 4'!$X$2:$X$10,$D447,'Region 4'!$S$2:$S$10,$A447)</f>
        <v>#DIV/0!</v>
      </c>
      <c r="N447" t="e">
        <f>AVERAGEIFS('Region 4'!$W$2:$W$10,'Region 4'!$A$2:$A$10,N$1,'Region 4'!$X$2:$X$10,$D447,'Region 4'!$S$2:$S$10,$A447)</f>
        <v>#DIV/0!</v>
      </c>
      <c r="Q447" t="str">
        <f t="shared" si="383"/>
        <v>Aluminium</v>
      </c>
      <c r="R447" t="str">
        <f t="shared" si="384"/>
        <v>Semi-detached</v>
      </c>
      <c r="S447">
        <f t="shared" si="385"/>
        <v>4</v>
      </c>
      <c r="T447" t="str">
        <f t="shared" si="365"/>
        <v>-</v>
      </c>
      <c r="U447" t="str">
        <f t="shared" si="366"/>
        <v>-</v>
      </c>
      <c r="V447" t="str">
        <f t="shared" si="367"/>
        <v>-</v>
      </c>
      <c r="W447" t="str">
        <f t="shared" si="368"/>
        <v>-</v>
      </c>
      <c r="X447" t="str">
        <f t="shared" si="369"/>
        <v>-</v>
      </c>
      <c r="Y447" t="str">
        <f t="shared" si="370"/>
        <v>-</v>
      </c>
      <c r="Z447" t="str">
        <f t="shared" si="371"/>
        <v>-</v>
      </c>
      <c r="AA447" t="str">
        <f t="shared" si="372"/>
        <v>-</v>
      </c>
      <c r="AB447" t="str">
        <f t="shared" si="373"/>
        <v>-</v>
      </c>
      <c r="AC447" t="str">
        <f t="shared" si="374"/>
        <v>-</v>
      </c>
    </row>
    <row r="448" spans="1:29" x14ac:dyDescent="0.3">
      <c r="A448" t="s">
        <v>290</v>
      </c>
      <c r="B448" t="str">
        <f t="shared" ref="B448:D448" si="437">B344</f>
        <v>Semi-detached</v>
      </c>
      <c r="C448">
        <f t="shared" si="437"/>
        <v>5</v>
      </c>
      <c r="D448">
        <f t="shared" si="437"/>
        <v>2</v>
      </c>
      <c r="E448" t="e">
        <f>AVERAGEIFS('Region 5'!$W$2:$W$496,'Region 5'!$A$2:$A$496,E$1,'Region 5'!$X$2:$X$496,$D448,'Region 5'!$S$2:$S$496,$A448)</f>
        <v>#DIV/0!</v>
      </c>
      <c r="F448" t="e">
        <f>AVERAGEIFS('Region 5'!$W$2:$W$496,'Region 5'!$A$2:$A$496,F$1,'Region 5'!$X$2:$X$496,$D448,'Region 5'!$S$2:$S$496,$A448)</f>
        <v>#DIV/0!</v>
      </c>
      <c r="G448" t="e">
        <f>AVERAGEIFS('Region 5'!$W$2:$W$496,'Region 5'!$A$2:$A$496,G$1,'Region 5'!$X$2:$X$496,$D448,'Region 5'!$S$2:$S$496,$A448)</f>
        <v>#DIV/0!</v>
      </c>
      <c r="H448" t="e">
        <f>AVERAGEIFS('Region 5'!$W$2:$W$496,'Region 5'!$A$2:$A$496,H$1,'Region 5'!$X$2:$X$496,$D448,'Region 5'!$S$2:$S$496,$A448)</f>
        <v>#DIV/0!</v>
      </c>
      <c r="I448" t="e">
        <f>AVERAGEIFS('Region 5'!$W$2:$W$496,'Region 5'!$A$2:$A$496,I$1,'Region 5'!$X$2:$X$496,$D448,'Region 5'!$S$2:$S$496,$A448)</f>
        <v>#DIV/0!</v>
      </c>
      <c r="J448" t="e">
        <f>AVERAGEIFS('Region 5'!$W$2:$W$496,'Region 5'!$A$2:$A$496,J$1,'Region 5'!$X$2:$X$496,$D448,'Region 5'!$S$2:$S$496,$A448)</f>
        <v>#DIV/0!</v>
      </c>
      <c r="K448" t="e">
        <f>AVERAGEIFS('Region 5'!$W$2:$W$496,'Region 5'!$A$2:$A$496,K$1,'Region 5'!$X$2:$X$496,$D448,'Region 5'!$S$2:$S$496,$A448)</f>
        <v>#DIV/0!</v>
      </c>
      <c r="L448" t="e">
        <f>AVERAGEIFS('Region 5'!$W$2:$W$496,'Region 5'!$A$2:$A$496,L$1,'Region 5'!$X$2:$X$496,$D448,'Region 5'!$S$2:$S$496,$A448)</f>
        <v>#DIV/0!</v>
      </c>
      <c r="M448" t="e">
        <f>AVERAGEIFS('Region 5'!$W$2:$W$496,'Region 5'!$A$2:$A$496,M$1,'Region 5'!$X$2:$X$496,$D448,'Region 5'!$S$2:$S$496,$A448)</f>
        <v>#DIV/0!</v>
      </c>
      <c r="N448" t="e">
        <f>AVERAGEIFS('Region 5'!$W$2:$W$496,'Region 5'!$A$2:$A$496,N$1,'Region 5'!$X$2:$X$496,$D448,'Region 5'!$S$2:$S$496,$A448)</f>
        <v>#DIV/0!</v>
      </c>
      <c r="Q448" t="str">
        <f t="shared" si="383"/>
        <v>Aluminium</v>
      </c>
      <c r="R448" t="str">
        <f t="shared" si="384"/>
        <v>Semi-detached</v>
      </c>
      <c r="S448">
        <f t="shared" si="385"/>
        <v>5</v>
      </c>
      <c r="T448" t="str">
        <f t="shared" si="365"/>
        <v>-</v>
      </c>
      <c r="U448" t="str">
        <f t="shared" si="366"/>
        <v>-</v>
      </c>
      <c r="V448" t="str">
        <f t="shared" si="367"/>
        <v>-</v>
      </c>
      <c r="W448" t="str">
        <f t="shared" si="368"/>
        <v>-</v>
      </c>
      <c r="X448" t="str">
        <f t="shared" si="369"/>
        <v>-</v>
      </c>
      <c r="Y448" t="str">
        <f t="shared" si="370"/>
        <v>-</v>
      </c>
      <c r="Z448" t="str">
        <f t="shared" si="371"/>
        <v>-</v>
      </c>
      <c r="AA448" t="str">
        <f t="shared" si="372"/>
        <v>-</v>
      </c>
      <c r="AB448" t="str">
        <f t="shared" si="373"/>
        <v>-</v>
      </c>
      <c r="AC448" t="str">
        <f t="shared" si="374"/>
        <v>-</v>
      </c>
    </row>
    <row r="449" spans="1:29" x14ac:dyDescent="0.3">
      <c r="A449" t="s">
        <v>290</v>
      </c>
      <c r="B449" t="str">
        <f t="shared" ref="B449:D449" si="438">B345</f>
        <v>Semi-detached</v>
      </c>
      <c r="C449">
        <f t="shared" si="438"/>
        <v>6</v>
      </c>
      <c r="D449">
        <f t="shared" si="438"/>
        <v>2</v>
      </c>
      <c r="E449" t="e">
        <f>AVERAGEIFS('Region 6'!$W$2:$W$496,'Region 6'!$A$2:$A$496,E$1,'Region 6'!$X$2:$X$496,$D449,'Region 6'!$S$2:$S$496,$A449)</f>
        <v>#DIV/0!</v>
      </c>
      <c r="F449" t="e">
        <f>AVERAGEIFS('Region 6'!$W$2:$W$496,'Region 6'!$A$2:$A$496,F$1,'Region 6'!$X$2:$X$496,$D449,'Region 6'!$S$2:$S$496,$A449)</f>
        <v>#DIV/0!</v>
      </c>
      <c r="G449" t="e">
        <f>AVERAGEIFS('Region 6'!$W$2:$W$496,'Region 6'!$A$2:$A$496,G$1,'Region 6'!$X$2:$X$496,$D449,'Region 6'!$S$2:$S$496,$A449)</f>
        <v>#DIV/0!</v>
      </c>
      <c r="H449" t="e">
        <f>AVERAGEIFS('Region 6'!$W$2:$W$496,'Region 6'!$A$2:$A$496,H$1,'Region 6'!$X$2:$X$496,$D449,'Region 6'!$S$2:$S$496,$A449)</f>
        <v>#DIV/0!</v>
      </c>
      <c r="I449" t="e">
        <f>AVERAGEIFS('Region 6'!$W$2:$W$496,'Region 6'!$A$2:$A$496,I$1,'Region 6'!$X$2:$X$496,$D449,'Region 6'!$S$2:$S$496,$A449)</f>
        <v>#DIV/0!</v>
      </c>
      <c r="J449" t="e">
        <f>AVERAGEIFS('Region 6'!$W$2:$W$496,'Region 6'!$A$2:$A$496,J$1,'Region 6'!$X$2:$X$496,$D449,'Region 6'!$S$2:$S$496,$A449)</f>
        <v>#DIV/0!</v>
      </c>
      <c r="K449" t="e">
        <f>AVERAGEIFS('Region 6'!$W$2:$W$496,'Region 6'!$A$2:$A$496,K$1,'Region 6'!$X$2:$X$496,$D449,'Region 6'!$S$2:$S$496,$A449)</f>
        <v>#DIV/0!</v>
      </c>
      <c r="L449" t="e">
        <f>AVERAGEIFS('Region 6'!$W$2:$W$496,'Region 6'!$A$2:$A$496,L$1,'Region 6'!$X$2:$X$496,$D449,'Region 6'!$S$2:$S$496,$A449)</f>
        <v>#DIV/0!</v>
      </c>
      <c r="M449" t="e">
        <f>AVERAGEIFS('Region 6'!$W$2:$W$496,'Region 6'!$A$2:$A$496,M$1,'Region 6'!$X$2:$X$496,$D449,'Region 6'!$S$2:$S$496,$A449)</f>
        <v>#DIV/0!</v>
      </c>
      <c r="N449" t="e">
        <f>AVERAGEIFS('Region 6'!$W$2:$W$496,'Region 6'!$A$2:$A$496,N$1,'Region 6'!$X$2:$X$496,$D449,'Region 6'!$S$2:$S$496,$A449)</f>
        <v>#DIV/0!</v>
      </c>
      <c r="Q449" t="str">
        <f t="shared" si="383"/>
        <v>Aluminium</v>
      </c>
      <c r="R449" t="str">
        <f t="shared" si="384"/>
        <v>Semi-detached</v>
      </c>
      <c r="S449">
        <f t="shared" si="385"/>
        <v>6</v>
      </c>
      <c r="T449" t="str">
        <f t="shared" si="365"/>
        <v>-</v>
      </c>
      <c r="U449" t="str">
        <f t="shared" si="366"/>
        <v>-</v>
      </c>
      <c r="V449" t="str">
        <f t="shared" si="367"/>
        <v>-</v>
      </c>
      <c r="W449" t="str">
        <f t="shared" si="368"/>
        <v>-</v>
      </c>
      <c r="X449" t="str">
        <f t="shared" si="369"/>
        <v>-</v>
      </c>
      <c r="Y449" t="str">
        <f t="shared" si="370"/>
        <v>-</v>
      </c>
      <c r="Z449" t="str">
        <f t="shared" si="371"/>
        <v>-</v>
      </c>
      <c r="AA449" t="str">
        <f t="shared" si="372"/>
        <v>-</v>
      </c>
      <c r="AB449" t="str">
        <f t="shared" si="373"/>
        <v>-</v>
      </c>
      <c r="AC449" t="str">
        <f t="shared" si="374"/>
        <v>-</v>
      </c>
    </row>
    <row r="450" spans="1:29" x14ac:dyDescent="0.3">
      <c r="A450" t="s">
        <v>290</v>
      </c>
      <c r="B450" t="str">
        <f t="shared" ref="B450:D450" si="439">B346</f>
        <v>Semi-detached</v>
      </c>
      <c r="C450">
        <f t="shared" si="439"/>
        <v>7</v>
      </c>
      <c r="D450">
        <f t="shared" si="439"/>
        <v>2</v>
      </c>
      <c r="E450" t="e">
        <f ca="1">AVERAGEIFS('Region 7'!$W$2:$W$500,'Region 7'!$A$2:$A$500,E$1,'Region 7'!$X$2:$X$500,$D450,'Region 7'!$S$2:$S$500,$A450)</f>
        <v>#DIV/0!</v>
      </c>
      <c r="F450" t="e">
        <f ca="1">AVERAGEIFS('Region 7'!$W$2:$W$500,'Region 7'!$A$2:$A$500,F$1,'Region 7'!$X$2:$X$500,$D450,'Region 7'!$S$2:$S$500,$A450)</f>
        <v>#DIV/0!</v>
      </c>
      <c r="G450" t="e">
        <f ca="1">AVERAGEIFS('Region 7'!$W$2:$W$500,'Region 7'!$A$2:$A$500,G$1,'Region 7'!$X$2:$X$500,$D450,'Region 7'!$S$2:$S$500,$A450)</f>
        <v>#DIV/0!</v>
      </c>
      <c r="H450" t="e">
        <f ca="1">AVERAGEIFS('Region 7'!$W$2:$W$500,'Region 7'!$A$2:$A$500,H$1,'Region 7'!$X$2:$X$500,$D450,'Region 7'!$S$2:$S$500,$A450)</f>
        <v>#DIV/0!</v>
      </c>
      <c r="I450" t="e">
        <f ca="1">AVERAGEIFS('Region 7'!$W$2:$W$500,'Region 7'!$A$2:$A$500,I$1,'Region 7'!$X$2:$X$500,$D450,'Region 7'!$S$2:$S$500,$A450)</f>
        <v>#DIV/0!</v>
      </c>
      <c r="J450" t="e">
        <f ca="1">AVERAGEIFS('Region 7'!$W$2:$W$500,'Region 7'!$A$2:$A$500,J$1,'Region 7'!$X$2:$X$500,$D450,'Region 7'!$S$2:$S$500,$A450)</f>
        <v>#DIV/0!</v>
      </c>
      <c r="K450" t="e">
        <f ca="1">AVERAGEIFS('Region 7'!$W$2:$W$500,'Region 7'!$A$2:$A$500,K$1,'Region 7'!$X$2:$X$500,$D450,'Region 7'!$S$2:$S$500,$A450)</f>
        <v>#DIV/0!</v>
      </c>
      <c r="L450" t="e">
        <f ca="1">AVERAGEIFS('Region 7'!$W$2:$W$500,'Region 7'!$A$2:$A$500,L$1,'Region 7'!$X$2:$X$500,$D450,'Region 7'!$S$2:$S$500,$A450)</f>
        <v>#DIV/0!</v>
      </c>
      <c r="M450" t="e">
        <f ca="1">AVERAGEIFS('Region 7'!$W$2:$W$500,'Region 7'!$A$2:$A$500,M$1,'Region 7'!$X$2:$X$500,$D450,'Region 7'!$S$2:$S$500,$A450)</f>
        <v>#DIV/0!</v>
      </c>
      <c r="N450" t="e">
        <f ca="1">AVERAGEIFS('Region 7'!$W$2:$W$500,'Region 7'!$A$2:$A$500,N$1,'Region 7'!$X$2:$X$500,$D450,'Region 7'!$S$2:$S$500,$A450)</f>
        <v>#DIV/0!</v>
      </c>
      <c r="Q450" t="str">
        <f t="shared" si="383"/>
        <v>Aluminium</v>
      </c>
      <c r="R450" t="str">
        <f t="shared" si="384"/>
        <v>Semi-detached</v>
      </c>
      <c r="S450">
        <f t="shared" si="385"/>
        <v>7</v>
      </c>
      <c r="T450" t="str">
        <f t="shared" ca="1" si="365"/>
        <v>-</v>
      </c>
      <c r="U450" t="str">
        <f t="shared" ca="1" si="366"/>
        <v>-</v>
      </c>
      <c r="V450" t="str">
        <f t="shared" ca="1" si="367"/>
        <v>-</v>
      </c>
      <c r="W450" t="str">
        <f t="shared" ca="1" si="368"/>
        <v>-</v>
      </c>
      <c r="X450" t="str">
        <f t="shared" ca="1" si="369"/>
        <v>-</v>
      </c>
      <c r="Y450" t="str">
        <f t="shared" ca="1" si="370"/>
        <v>-</v>
      </c>
      <c r="Z450" t="str">
        <f t="shared" ca="1" si="371"/>
        <v>-</v>
      </c>
      <c r="AA450" t="str">
        <f t="shared" ca="1" si="372"/>
        <v>-</v>
      </c>
      <c r="AB450" t="str">
        <f t="shared" ca="1" si="373"/>
        <v>-</v>
      </c>
      <c r="AC450" t="str">
        <f t="shared" ca="1" si="374"/>
        <v>-</v>
      </c>
    </row>
    <row r="451" spans="1:29" x14ac:dyDescent="0.3">
      <c r="A451" t="s">
        <v>290</v>
      </c>
      <c r="B451" t="str">
        <f t="shared" ref="B451:D451" si="440">B347</f>
        <v>Semi-detached</v>
      </c>
      <c r="C451">
        <f t="shared" si="440"/>
        <v>8</v>
      </c>
      <c r="D451">
        <f t="shared" si="440"/>
        <v>2</v>
      </c>
      <c r="E451" t="e">
        <f>AVERAGEIFS('Region 8'!$W$2:$W$497,'Region 8'!$A$2:$A$497,E$1,'Region 8'!$X$2:$X$497,$D451,'Region 8'!$S$2:$S$497,$A451)</f>
        <v>#DIV/0!</v>
      </c>
      <c r="F451" t="e">
        <f>AVERAGEIFS('Region 8'!$W$2:$W$497,'Region 8'!$A$2:$A$497,F$1,'Region 8'!$X$2:$X$497,$D451,'Region 8'!$S$2:$S$497,$A451)</f>
        <v>#DIV/0!</v>
      </c>
      <c r="G451" t="e">
        <f>AVERAGEIFS('Region 8'!$W$2:$W$497,'Region 8'!$A$2:$A$497,G$1,'Region 8'!$X$2:$X$497,$D451,'Region 8'!$S$2:$S$497,$A451)</f>
        <v>#DIV/0!</v>
      </c>
      <c r="H451" t="e">
        <f>AVERAGEIFS('Region 8'!$W$2:$W$497,'Region 8'!$A$2:$A$497,H$1,'Region 8'!$X$2:$X$497,$D451,'Region 8'!$S$2:$S$497,$A451)</f>
        <v>#DIV/0!</v>
      </c>
      <c r="I451" t="e">
        <f>AVERAGEIFS('Region 8'!$W$2:$W$497,'Region 8'!$A$2:$A$497,I$1,'Region 8'!$X$2:$X$497,$D451,'Region 8'!$S$2:$S$497,$A451)</f>
        <v>#DIV/0!</v>
      </c>
      <c r="J451" t="e">
        <f>AVERAGEIFS('Region 8'!$W$2:$W$497,'Region 8'!$A$2:$A$497,J$1,'Region 8'!$X$2:$X$497,$D451,'Region 8'!$S$2:$S$497,$A451)</f>
        <v>#DIV/0!</v>
      </c>
      <c r="K451" t="e">
        <f>AVERAGEIFS('Region 8'!$W$2:$W$497,'Region 8'!$A$2:$A$497,K$1,'Region 8'!$X$2:$X$497,$D451,'Region 8'!$S$2:$S$497,$A451)</f>
        <v>#DIV/0!</v>
      </c>
      <c r="L451" t="e">
        <f>AVERAGEIFS('Region 8'!$W$2:$W$497,'Region 8'!$A$2:$A$497,L$1,'Region 8'!$X$2:$X$497,$D451,'Region 8'!$S$2:$S$497,$A451)</f>
        <v>#DIV/0!</v>
      </c>
      <c r="M451" t="e">
        <f>AVERAGEIFS('Region 8'!$W$2:$W$497,'Region 8'!$A$2:$A$497,M$1,'Region 8'!$X$2:$X$497,$D451,'Region 8'!$S$2:$S$497,$A451)</f>
        <v>#DIV/0!</v>
      </c>
      <c r="N451" t="e">
        <f>AVERAGEIFS('Region 8'!$W$2:$W$497,'Region 8'!$A$2:$A$497,N$1,'Region 8'!$X$2:$X$497,$D451,'Region 8'!$S$2:$S$497,$A451)</f>
        <v>#DIV/0!</v>
      </c>
      <c r="Q451" t="str">
        <f t="shared" si="383"/>
        <v>Aluminium</v>
      </c>
      <c r="R451" t="str">
        <f t="shared" si="384"/>
        <v>Semi-detached</v>
      </c>
      <c r="S451">
        <f t="shared" si="385"/>
        <v>8</v>
      </c>
      <c r="T451" t="str">
        <f t="shared" ref="T451:T514" si="441">IF(ISNUMBER(E451),E451,"-")</f>
        <v>-</v>
      </c>
      <c r="U451" t="str">
        <f t="shared" ref="U451:U514" si="442">IF(ISNUMBER(F451),F451,"-")</f>
        <v>-</v>
      </c>
      <c r="V451" t="str">
        <f t="shared" ref="V451:V514" si="443">IF(ISNUMBER(G451),G451,"-")</f>
        <v>-</v>
      </c>
      <c r="W451" t="str">
        <f t="shared" ref="W451:W514" si="444">IF(ISNUMBER(H451),H451,"-")</f>
        <v>-</v>
      </c>
      <c r="X451" t="str">
        <f t="shared" ref="X451:X514" si="445">IF(ISNUMBER(I451),I451,"-")</f>
        <v>-</v>
      </c>
      <c r="Y451" t="str">
        <f t="shared" ref="Y451:Y514" si="446">IF(ISNUMBER(J451),J451,"-")</f>
        <v>-</v>
      </c>
      <c r="Z451" t="str">
        <f t="shared" ref="Z451:Z514" si="447">IF(ISNUMBER(K451),K451,"-")</f>
        <v>-</v>
      </c>
      <c r="AA451" t="str">
        <f t="shared" ref="AA451:AA514" si="448">IF(ISNUMBER(L451),L451,"-")</f>
        <v>-</v>
      </c>
      <c r="AB451" t="str">
        <f t="shared" ref="AB451:AB514" si="449">IF(ISNUMBER(M451),M451,"-")</f>
        <v>-</v>
      </c>
      <c r="AC451" t="str">
        <f t="shared" ref="AC451:AC514" si="450">IF(ISNUMBER(N451),N451,"-")</f>
        <v>-</v>
      </c>
    </row>
    <row r="452" spans="1:29" x14ac:dyDescent="0.3">
      <c r="A452" t="s">
        <v>290</v>
      </c>
      <c r="B452" t="str">
        <f t="shared" ref="B452:D452" si="451">B348</f>
        <v>Semi-detached</v>
      </c>
      <c r="C452">
        <f t="shared" si="451"/>
        <v>9</v>
      </c>
      <c r="D452">
        <f t="shared" si="451"/>
        <v>2</v>
      </c>
      <c r="E452" t="e">
        <f ca="1">AVERAGEIFS('Region 9'!$W$2:$W$500,'Region 9'!$A$2:$A$500,E$1,'Region 9'!$X$2:$X$500,$D452,'Region 9'!$S$2:$S$500,$A452)</f>
        <v>#DIV/0!</v>
      </c>
      <c r="F452" t="e">
        <f ca="1">AVERAGEIFS('Region 9'!$W$2:$W$500,'Region 9'!$A$2:$A$500,F$1,'Region 9'!$X$2:$X$500,$D452,'Region 9'!$S$2:$S$500,$A452)</f>
        <v>#DIV/0!</v>
      </c>
      <c r="G452" t="e">
        <f ca="1">AVERAGEIFS('Region 9'!$W$2:$W$500,'Region 9'!$A$2:$A$500,G$1,'Region 9'!$X$2:$X$500,$D452,'Region 9'!$S$2:$S$500,$A452)</f>
        <v>#DIV/0!</v>
      </c>
      <c r="H452" t="e">
        <f ca="1">AVERAGEIFS('Region 9'!$W$2:$W$500,'Region 9'!$A$2:$A$500,H$1,'Region 9'!$X$2:$X$500,$D452,'Region 9'!$S$2:$S$500,$A452)</f>
        <v>#DIV/0!</v>
      </c>
      <c r="I452" t="e">
        <f ca="1">AVERAGEIFS('Region 9'!$W$2:$W$500,'Region 9'!$A$2:$A$500,I$1,'Region 9'!$X$2:$X$500,$D452,'Region 9'!$S$2:$S$500,$A452)</f>
        <v>#DIV/0!</v>
      </c>
      <c r="J452" t="e">
        <f ca="1">AVERAGEIFS('Region 9'!$W$2:$W$500,'Region 9'!$A$2:$A$500,J$1,'Region 9'!$X$2:$X$500,$D452,'Region 9'!$S$2:$S$500,$A452)</f>
        <v>#DIV/0!</v>
      </c>
      <c r="K452" t="e">
        <f ca="1">AVERAGEIFS('Region 9'!$W$2:$W$500,'Region 9'!$A$2:$A$500,K$1,'Region 9'!$X$2:$X$500,$D452,'Region 9'!$S$2:$S$500,$A452)</f>
        <v>#DIV/0!</v>
      </c>
      <c r="L452" t="e">
        <f ca="1">AVERAGEIFS('Region 9'!$W$2:$W$500,'Region 9'!$A$2:$A$500,L$1,'Region 9'!$X$2:$X$500,$D452,'Region 9'!$S$2:$S$500,$A452)</f>
        <v>#DIV/0!</v>
      </c>
      <c r="M452" t="e">
        <f ca="1">AVERAGEIFS('Region 9'!$W$2:$W$500,'Region 9'!$A$2:$A$500,M$1,'Region 9'!$X$2:$X$500,$D452,'Region 9'!$S$2:$S$500,$A452)</f>
        <v>#DIV/0!</v>
      </c>
      <c r="N452" t="e">
        <f ca="1">AVERAGEIFS('Region 9'!$W$2:$W$500,'Region 9'!$A$2:$A$500,N$1,'Region 9'!$X$2:$X$500,$D452,'Region 9'!$S$2:$S$500,$A452)</f>
        <v>#DIV/0!</v>
      </c>
      <c r="Q452" t="str">
        <f t="shared" si="383"/>
        <v>Aluminium</v>
      </c>
      <c r="R452" t="str">
        <f t="shared" si="384"/>
        <v>Semi-detached</v>
      </c>
      <c r="S452">
        <f t="shared" si="385"/>
        <v>9</v>
      </c>
      <c r="T452" t="str">
        <f t="shared" ca="1" si="441"/>
        <v>-</v>
      </c>
      <c r="U452" t="str">
        <f t="shared" ca="1" si="442"/>
        <v>-</v>
      </c>
      <c r="V452" t="str">
        <f t="shared" ca="1" si="443"/>
        <v>-</v>
      </c>
      <c r="W452" t="str">
        <f t="shared" ca="1" si="444"/>
        <v>-</v>
      </c>
      <c r="X452" t="str">
        <f t="shared" ca="1" si="445"/>
        <v>-</v>
      </c>
      <c r="Y452" t="str">
        <f t="shared" ca="1" si="446"/>
        <v>-</v>
      </c>
      <c r="Z452" t="str">
        <f t="shared" ca="1" si="447"/>
        <v>-</v>
      </c>
      <c r="AA452" t="str">
        <f t="shared" ca="1" si="448"/>
        <v>-</v>
      </c>
      <c r="AB452" t="str">
        <f t="shared" ca="1" si="449"/>
        <v>-</v>
      </c>
      <c r="AC452" t="str">
        <f t="shared" ca="1" si="450"/>
        <v>-</v>
      </c>
    </row>
    <row r="453" spans="1:29" x14ac:dyDescent="0.3">
      <c r="A453" t="s">
        <v>290</v>
      </c>
      <c r="B453" t="str">
        <f t="shared" ref="B453:D453" si="452">B349</f>
        <v>Semi-detached</v>
      </c>
      <c r="C453">
        <f t="shared" si="452"/>
        <v>10</v>
      </c>
      <c r="D453">
        <f t="shared" si="452"/>
        <v>2</v>
      </c>
      <c r="E453" t="e">
        <f>AVERAGEIFS('Region 10'!$W$2:$W$500,'Region 10'!$A$2:$A$500,E$1,'Region 10'!$X$2:$X$500,$D453,'Region 10'!$S$2:$S$500,$A453)</f>
        <v>#DIV/0!</v>
      </c>
      <c r="F453" t="e">
        <f>AVERAGEIFS('Region 10'!$W$2:$W$500,'Region 10'!$A$2:$A$500,F$1,'Region 10'!$X$2:$X$500,$D453,'Region 10'!$S$2:$S$500,$A453)</f>
        <v>#DIV/0!</v>
      </c>
      <c r="G453" t="e">
        <f>AVERAGEIFS('Region 10'!$W$2:$W$500,'Region 10'!$A$2:$A$500,G$1,'Region 10'!$X$2:$X$500,$D453,'Region 10'!$S$2:$S$500,$A453)</f>
        <v>#DIV/0!</v>
      </c>
      <c r="H453" t="e">
        <f>AVERAGEIFS('Region 10'!$W$2:$W$500,'Region 10'!$A$2:$A$500,H$1,'Region 10'!$X$2:$X$500,$D453,'Region 10'!$S$2:$S$500,$A453)</f>
        <v>#DIV/0!</v>
      </c>
      <c r="I453" t="e">
        <f>AVERAGEIFS('Region 10'!$W$2:$W$500,'Region 10'!$A$2:$A$500,I$1,'Region 10'!$X$2:$X$500,$D453,'Region 10'!$S$2:$S$500,$A453)</f>
        <v>#DIV/0!</v>
      </c>
      <c r="J453" t="e">
        <f>AVERAGEIFS('Region 10'!$W$2:$W$500,'Region 10'!$A$2:$A$500,J$1,'Region 10'!$X$2:$X$500,$D453,'Region 10'!$S$2:$S$500,$A453)</f>
        <v>#DIV/0!</v>
      </c>
      <c r="K453" t="e">
        <f>AVERAGEIFS('Region 10'!$W$2:$W$500,'Region 10'!$A$2:$A$500,K$1,'Region 10'!$X$2:$X$500,$D453,'Region 10'!$S$2:$S$500,$A453)</f>
        <v>#DIV/0!</v>
      </c>
      <c r="L453" t="e">
        <f>AVERAGEIFS('Region 10'!$W$2:$W$500,'Region 10'!$A$2:$A$500,L$1,'Region 10'!$X$2:$X$500,$D453,'Region 10'!$S$2:$S$500,$A453)</f>
        <v>#DIV/0!</v>
      </c>
      <c r="M453" t="e">
        <f>AVERAGEIFS('Region 10'!$W$2:$W$500,'Region 10'!$A$2:$A$500,M$1,'Region 10'!$X$2:$X$500,$D453,'Region 10'!$S$2:$S$500,$A453)</f>
        <v>#DIV/0!</v>
      </c>
      <c r="N453" t="e">
        <f>AVERAGEIFS('Region 10'!$W$2:$W$500,'Region 10'!$A$2:$A$500,N$1,'Region 10'!$X$2:$X$500,$D453,'Region 10'!$S$2:$S$500,$A453)</f>
        <v>#DIV/0!</v>
      </c>
      <c r="Q453" t="str">
        <f t="shared" si="383"/>
        <v>Aluminium</v>
      </c>
      <c r="R453" t="str">
        <f t="shared" si="384"/>
        <v>Semi-detached</v>
      </c>
      <c r="S453">
        <f t="shared" si="385"/>
        <v>10</v>
      </c>
      <c r="T453" t="str">
        <f t="shared" si="441"/>
        <v>-</v>
      </c>
      <c r="U453" t="str">
        <f t="shared" si="442"/>
        <v>-</v>
      </c>
      <c r="V453" t="str">
        <f t="shared" si="443"/>
        <v>-</v>
      </c>
      <c r="W453" t="str">
        <f t="shared" si="444"/>
        <v>-</v>
      </c>
      <c r="X453" t="str">
        <f t="shared" si="445"/>
        <v>-</v>
      </c>
      <c r="Y453" t="str">
        <f t="shared" si="446"/>
        <v>-</v>
      </c>
      <c r="Z453" t="str">
        <f t="shared" si="447"/>
        <v>-</v>
      </c>
      <c r="AA453" t="str">
        <f t="shared" si="448"/>
        <v>-</v>
      </c>
      <c r="AB453" t="str">
        <f t="shared" si="449"/>
        <v>-</v>
      </c>
      <c r="AC453" t="str">
        <f t="shared" si="450"/>
        <v>-</v>
      </c>
    </row>
    <row r="454" spans="1:29" x14ac:dyDescent="0.3">
      <c r="A454" t="s">
        <v>290</v>
      </c>
      <c r="B454" t="str">
        <f t="shared" ref="B454:D454" si="453">B350</f>
        <v>Semi-detached</v>
      </c>
      <c r="C454">
        <f t="shared" si="453"/>
        <v>11</v>
      </c>
      <c r="D454">
        <f t="shared" si="453"/>
        <v>2</v>
      </c>
      <c r="E454" t="e">
        <f>AVERAGEIFS('Region 11'!$W$2:$W$391,'Region 11'!$A$2:$A$391,E$1,'Region 11'!$X$2:$X$391,$D454,'Region 11'!$S$2:$S$391,$A454)</f>
        <v>#DIV/0!</v>
      </c>
      <c r="F454">
        <f>AVERAGEIFS('Region 11'!$W$2:$W$391,'Region 11'!$A$2:$A$391,F$1,'Region 11'!$X$2:$X$391,$D454,'Region 11'!$S$2:$S$391,$A454)</f>
        <v>0.23425925925925928</v>
      </c>
      <c r="G454" t="e">
        <f>AVERAGEIFS('Region 11'!$W$2:$W$391,'Region 11'!$A$2:$A$391,G$1,'Region 11'!$X$2:$X$391,$D454,'Region 11'!$S$2:$S$391,$A454)</f>
        <v>#DIV/0!</v>
      </c>
      <c r="H454" t="e">
        <f>AVERAGEIFS('Region 11'!$W$2:$W$391,'Region 11'!$A$2:$A$391,H$1,'Region 11'!$X$2:$X$391,$D454,'Region 11'!$S$2:$S$391,$A454)</f>
        <v>#DIV/0!</v>
      </c>
      <c r="I454" t="e">
        <f>AVERAGEIFS('Region 11'!$W$2:$W$391,'Region 11'!$A$2:$A$391,I$1,'Region 11'!$X$2:$X$391,$D454,'Region 11'!$S$2:$S$391,$A454)</f>
        <v>#DIV/0!</v>
      </c>
      <c r="J454" t="e">
        <f>AVERAGEIFS('Region 11'!$W$2:$W$391,'Region 11'!$A$2:$A$391,J$1,'Region 11'!$X$2:$X$391,$D454,'Region 11'!$S$2:$S$391,$A454)</f>
        <v>#DIV/0!</v>
      </c>
      <c r="K454" t="e">
        <f>AVERAGEIFS('Region 11'!$W$2:$W$391,'Region 11'!$A$2:$A$391,K$1,'Region 11'!$X$2:$X$391,$D454,'Region 11'!$S$2:$S$391,$A454)</f>
        <v>#DIV/0!</v>
      </c>
      <c r="L454" t="e">
        <f>AVERAGEIFS('Region 11'!$W$2:$W$391,'Region 11'!$A$2:$A$391,L$1,'Region 11'!$X$2:$X$391,$D454,'Region 11'!$S$2:$S$391,$A454)</f>
        <v>#DIV/0!</v>
      </c>
      <c r="M454" t="e">
        <f>AVERAGEIFS('Region 11'!$W$2:$W$391,'Region 11'!$A$2:$A$391,M$1,'Region 11'!$X$2:$X$391,$D454,'Region 11'!$S$2:$S$391,$A454)</f>
        <v>#DIV/0!</v>
      </c>
      <c r="N454" t="e">
        <f>AVERAGEIFS('Region 11'!$W$2:$W$391,'Region 11'!$A$2:$A$391,N$1,'Region 11'!$X$2:$X$391,$D454,'Region 11'!$S$2:$S$391,$A454)</f>
        <v>#DIV/0!</v>
      </c>
      <c r="Q454" t="str">
        <f t="shared" si="383"/>
        <v>Aluminium</v>
      </c>
      <c r="R454" t="str">
        <f t="shared" si="384"/>
        <v>Semi-detached</v>
      </c>
      <c r="S454">
        <f t="shared" si="385"/>
        <v>11</v>
      </c>
      <c r="T454" t="str">
        <f t="shared" si="441"/>
        <v>-</v>
      </c>
      <c r="U454">
        <f t="shared" si="442"/>
        <v>0.23425925925925928</v>
      </c>
      <c r="V454" t="str">
        <f t="shared" si="443"/>
        <v>-</v>
      </c>
      <c r="W454" t="str">
        <f t="shared" si="444"/>
        <v>-</v>
      </c>
      <c r="X454" t="str">
        <f t="shared" si="445"/>
        <v>-</v>
      </c>
      <c r="Y454" t="str">
        <f t="shared" si="446"/>
        <v>-</v>
      </c>
      <c r="Z454" t="str">
        <f t="shared" si="447"/>
        <v>-</v>
      </c>
      <c r="AA454" t="str">
        <f t="shared" si="448"/>
        <v>-</v>
      </c>
      <c r="AB454" t="str">
        <f t="shared" si="449"/>
        <v>-</v>
      </c>
      <c r="AC454" t="str">
        <f t="shared" si="450"/>
        <v>-</v>
      </c>
    </row>
    <row r="455" spans="1:29" x14ac:dyDescent="0.3">
      <c r="A455" t="s">
        <v>290</v>
      </c>
      <c r="B455" t="str">
        <f t="shared" ref="B455:D455" si="454">B351</f>
        <v>Semi-detached</v>
      </c>
      <c r="C455">
        <f t="shared" si="454"/>
        <v>12</v>
      </c>
      <c r="D455">
        <f t="shared" si="454"/>
        <v>2</v>
      </c>
      <c r="E455" t="e">
        <f>AVERAGEIFS('Region 12'!$W$2:$W$459,'Region 12'!$A$2:$A$459,E$1,'Region 12'!$X$2:$X$459,$D455,'Region 12'!$S$2:$S$459,$A455)</f>
        <v>#DIV/0!</v>
      </c>
      <c r="F455" t="e">
        <f>AVERAGEIFS('Region 12'!$W$2:$W$459,'Region 12'!$A$2:$A$459,F$1,'Region 12'!$X$2:$X$459,$D455,'Region 12'!$S$2:$S$459,$A455)</f>
        <v>#DIV/0!</v>
      </c>
      <c r="G455" t="e">
        <f>AVERAGEIFS('Region 12'!$W$2:$W$459,'Region 12'!$A$2:$A$459,G$1,'Region 12'!$X$2:$X$459,$D455,'Region 12'!$S$2:$S$459,$A455)</f>
        <v>#DIV/0!</v>
      </c>
      <c r="H455" t="e">
        <f>AVERAGEIFS('Region 12'!$W$2:$W$459,'Region 12'!$A$2:$A$459,H$1,'Region 12'!$X$2:$X$459,$D455,'Region 12'!$S$2:$S$459,$A455)</f>
        <v>#DIV/0!</v>
      </c>
      <c r="I455" t="e">
        <f>AVERAGEIFS('Region 12'!$W$2:$W$459,'Region 12'!$A$2:$A$459,I$1,'Region 12'!$X$2:$X$459,$D455,'Region 12'!$S$2:$S$459,$A455)</f>
        <v>#DIV/0!</v>
      </c>
      <c r="J455" t="e">
        <f>AVERAGEIFS('Region 12'!$W$2:$W$459,'Region 12'!$A$2:$A$459,J$1,'Region 12'!$X$2:$X$459,$D455,'Region 12'!$S$2:$S$459,$A455)</f>
        <v>#DIV/0!</v>
      </c>
      <c r="K455" t="e">
        <f>AVERAGEIFS('Region 12'!$W$2:$W$459,'Region 12'!$A$2:$A$459,K$1,'Region 12'!$X$2:$X$459,$D455,'Region 12'!$S$2:$S$459,$A455)</f>
        <v>#DIV/0!</v>
      </c>
      <c r="L455" t="e">
        <f>AVERAGEIFS('Region 12'!$W$2:$W$459,'Region 12'!$A$2:$A$459,L$1,'Region 12'!$X$2:$X$459,$D455,'Region 12'!$S$2:$S$459,$A455)</f>
        <v>#DIV/0!</v>
      </c>
      <c r="M455" t="e">
        <f>AVERAGEIFS('Region 12'!$W$2:$W$459,'Region 12'!$A$2:$A$459,M$1,'Region 12'!$X$2:$X$459,$D455,'Region 12'!$S$2:$S$459,$A455)</f>
        <v>#DIV/0!</v>
      </c>
      <c r="N455" t="e">
        <f>AVERAGEIFS('Region 12'!$W$2:$W$459,'Region 12'!$A$2:$A$459,N$1,'Region 12'!$X$2:$X$459,$D455,'Region 12'!$S$2:$S$459,$A455)</f>
        <v>#DIV/0!</v>
      </c>
      <c r="Q455" t="str">
        <f t="shared" si="383"/>
        <v>Aluminium</v>
      </c>
      <c r="R455" t="str">
        <f t="shared" si="384"/>
        <v>Semi-detached</v>
      </c>
      <c r="S455">
        <f t="shared" si="385"/>
        <v>12</v>
      </c>
      <c r="T455" t="str">
        <f t="shared" si="441"/>
        <v>-</v>
      </c>
      <c r="U455" t="str">
        <f t="shared" si="442"/>
        <v>-</v>
      </c>
      <c r="V455" t="str">
        <f t="shared" si="443"/>
        <v>-</v>
      </c>
      <c r="W455" t="str">
        <f t="shared" si="444"/>
        <v>-</v>
      </c>
      <c r="X455" t="str">
        <f t="shared" si="445"/>
        <v>-</v>
      </c>
      <c r="Y455" t="str">
        <f t="shared" si="446"/>
        <v>-</v>
      </c>
      <c r="Z455" t="str">
        <f t="shared" si="447"/>
        <v>-</v>
      </c>
      <c r="AA455" t="str">
        <f t="shared" si="448"/>
        <v>-</v>
      </c>
      <c r="AB455" t="str">
        <f t="shared" si="449"/>
        <v>-</v>
      </c>
      <c r="AC455" t="str">
        <f t="shared" si="450"/>
        <v>-</v>
      </c>
    </row>
    <row r="456" spans="1:29" x14ac:dyDescent="0.3">
      <c r="A456" t="s">
        <v>290</v>
      </c>
      <c r="B456" t="str">
        <f t="shared" ref="B456:D456" si="455">B352</f>
        <v>Semi-detached</v>
      </c>
      <c r="C456">
        <f t="shared" si="455"/>
        <v>13</v>
      </c>
      <c r="D456">
        <f t="shared" si="455"/>
        <v>2</v>
      </c>
      <c r="E456" t="e">
        <f>AVERAGEIFS('Region 13'!$W$2:$W$500,'Region 13'!$A$2:$A$500,E$1,'Region 13'!$X$2:$X$500,$D456,'Region 13'!$S$2:$S$500,$A456)</f>
        <v>#DIV/0!</v>
      </c>
      <c r="F456" t="e">
        <f>AVERAGEIFS('Region 13'!$W$2:$W$500,'Region 13'!$A$2:$A$500,F$1,'Region 13'!$X$2:$X$500,$D456,'Region 13'!$S$2:$S$500,$A456)</f>
        <v>#DIV/0!</v>
      </c>
      <c r="G456" t="e">
        <f>AVERAGEIFS('Region 13'!$W$2:$W$500,'Region 13'!$A$2:$A$500,G$1,'Region 13'!$X$2:$X$500,$D456,'Region 13'!$S$2:$S$500,$A456)</f>
        <v>#DIV/0!</v>
      </c>
      <c r="H456" t="e">
        <f>AVERAGEIFS('Region 13'!$W$2:$W$500,'Region 13'!$A$2:$A$500,H$1,'Region 13'!$X$2:$X$500,$D456,'Region 13'!$S$2:$S$500,$A456)</f>
        <v>#DIV/0!</v>
      </c>
      <c r="I456" t="e">
        <f>AVERAGEIFS('Region 13'!$W$2:$W$500,'Region 13'!$A$2:$A$500,I$1,'Region 13'!$X$2:$X$500,$D456,'Region 13'!$S$2:$S$500,$A456)</f>
        <v>#DIV/0!</v>
      </c>
      <c r="J456" t="e">
        <f>AVERAGEIFS('Region 13'!$W$2:$W$500,'Region 13'!$A$2:$A$500,J$1,'Region 13'!$X$2:$X$500,$D456,'Region 13'!$S$2:$S$500,$A456)</f>
        <v>#DIV/0!</v>
      </c>
      <c r="K456" t="e">
        <f>AVERAGEIFS('Region 13'!$W$2:$W$500,'Region 13'!$A$2:$A$500,K$1,'Region 13'!$X$2:$X$500,$D456,'Region 13'!$S$2:$S$500,$A456)</f>
        <v>#DIV/0!</v>
      </c>
      <c r="L456" t="e">
        <f>AVERAGEIFS('Region 13'!$W$2:$W$500,'Region 13'!$A$2:$A$500,L$1,'Region 13'!$X$2:$X$500,$D456,'Region 13'!$S$2:$S$500,$A456)</f>
        <v>#DIV/0!</v>
      </c>
      <c r="M456" t="e">
        <f>AVERAGEIFS('Region 13'!$W$2:$W$500,'Region 13'!$A$2:$A$500,M$1,'Region 13'!$X$2:$X$500,$D456,'Region 13'!$S$2:$S$500,$A456)</f>
        <v>#DIV/0!</v>
      </c>
      <c r="N456" t="e">
        <f>AVERAGEIFS('Region 13'!$W$2:$W$500,'Region 13'!$A$2:$A$500,N$1,'Region 13'!$X$2:$X$500,$D456,'Region 13'!$S$2:$S$500,$A456)</f>
        <v>#DIV/0!</v>
      </c>
      <c r="Q456" t="str">
        <f t="shared" si="383"/>
        <v>Aluminium</v>
      </c>
      <c r="R456" t="str">
        <f t="shared" si="384"/>
        <v>Semi-detached</v>
      </c>
      <c r="S456">
        <f t="shared" si="385"/>
        <v>13</v>
      </c>
      <c r="T456" t="str">
        <f t="shared" si="441"/>
        <v>-</v>
      </c>
      <c r="U456" t="str">
        <f t="shared" si="442"/>
        <v>-</v>
      </c>
      <c r="V456" t="str">
        <f t="shared" si="443"/>
        <v>-</v>
      </c>
      <c r="W456" t="str">
        <f t="shared" si="444"/>
        <v>-</v>
      </c>
      <c r="X456" t="str">
        <f t="shared" si="445"/>
        <v>-</v>
      </c>
      <c r="Y456" t="str">
        <f t="shared" si="446"/>
        <v>-</v>
      </c>
      <c r="Z456" t="str">
        <f t="shared" si="447"/>
        <v>-</v>
      </c>
      <c r="AA456" t="str">
        <f t="shared" si="448"/>
        <v>-</v>
      </c>
      <c r="AB456" t="str">
        <f t="shared" si="449"/>
        <v>-</v>
      </c>
      <c r="AC456" t="str">
        <f t="shared" si="450"/>
        <v>-</v>
      </c>
    </row>
    <row r="457" spans="1:29" x14ac:dyDescent="0.3">
      <c r="A457" t="s">
        <v>290</v>
      </c>
      <c r="B457" t="str">
        <f t="shared" ref="B457:D457" si="456">B353</f>
        <v>Semi-detached</v>
      </c>
      <c r="C457">
        <f t="shared" si="456"/>
        <v>14</v>
      </c>
      <c r="D457">
        <f t="shared" si="456"/>
        <v>2</v>
      </c>
      <c r="E457" t="e">
        <f ca="1">AVERAGEIFS('Region 14'!$W$2:$W$500,'Region 14'!$A$2:$A$500,E$1,'Region 14'!$X$2:$X$500,$D457,'Region 14'!$S$2:$S$500,$A457)</f>
        <v>#DIV/0!</v>
      </c>
      <c r="F457" t="e">
        <f ca="1">AVERAGEIFS('Region 14'!$W$2:$W$500,'Region 14'!$A$2:$A$500,F$1,'Region 14'!$X$2:$X$500,$D457,'Region 14'!$S$2:$S$500,$A457)</f>
        <v>#DIV/0!</v>
      </c>
      <c r="G457" t="e">
        <f ca="1">AVERAGEIFS('Region 14'!$W$2:$W$500,'Region 14'!$A$2:$A$500,G$1,'Region 14'!$X$2:$X$500,$D457,'Region 14'!$S$2:$S$500,$A457)</f>
        <v>#DIV/0!</v>
      </c>
      <c r="H457" t="e">
        <f ca="1">AVERAGEIFS('Region 14'!$W$2:$W$500,'Region 14'!$A$2:$A$500,H$1,'Region 14'!$X$2:$X$500,$D457,'Region 14'!$S$2:$S$500,$A457)</f>
        <v>#DIV/0!</v>
      </c>
      <c r="I457" t="e">
        <f ca="1">AVERAGEIFS('Region 14'!$W$2:$W$500,'Region 14'!$A$2:$A$500,I$1,'Region 14'!$X$2:$X$500,$D457,'Region 14'!$S$2:$S$500,$A457)</f>
        <v>#DIV/0!</v>
      </c>
      <c r="J457" t="e">
        <f ca="1">AVERAGEIFS('Region 14'!$W$2:$W$500,'Region 14'!$A$2:$A$500,J$1,'Region 14'!$X$2:$X$500,$D457,'Region 14'!$S$2:$S$500,$A457)</f>
        <v>#DIV/0!</v>
      </c>
      <c r="K457" t="e">
        <f ca="1">AVERAGEIFS('Region 14'!$W$2:$W$500,'Region 14'!$A$2:$A$500,K$1,'Region 14'!$X$2:$X$500,$D457,'Region 14'!$S$2:$S$500,$A457)</f>
        <v>#DIV/0!</v>
      </c>
      <c r="L457" t="e">
        <f ca="1">AVERAGEIFS('Region 14'!$W$2:$W$500,'Region 14'!$A$2:$A$500,L$1,'Region 14'!$X$2:$X$500,$D457,'Region 14'!$S$2:$S$500,$A457)</f>
        <v>#DIV/0!</v>
      </c>
      <c r="M457" t="e">
        <f ca="1">AVERAGEIFS('Region 14'!$W$2:$W$500,'Region 14'!$A$2:$A$500,M$1,'Region 14'!$X$2:$X$500,$D457,'Region 14'!$S$2:$S$500,$A457)</f>
        <v>#DIV/0!</v>
      </c>
      <c r="N457" t="e">
        <f ca="1">AVERAGEIFS('Region 14'!$W$2:$W$500,'Region 14'!$A$2:$A$500,N$1,'Region 14'!$X$2:$X$500,$D457,'Region 14'!$S$2:$S$500,$A457)</f>
        <v>#DIV/0!</v>
      </c>
      <c r="Q457" t="str">
        <f t="shared" si="383"/>
        <v>Aluminium</v>
      </c>
      <c r="R457" t="str">
        <f t="shared" si="384"/>
        <v>Semi-detached</v>
      </c>
      <c r="S457">
        <f t="shared" si="385"/>
        <v>14</v>
      </c>
      <c r="T457" t="str">
        <f t="shared" ca="1" si="441"/>
        <v>-</v>
      </c>
      <c r="U457" t="str">
        <f t="shared" ca="1" si="442"/>
        <v>-</v>
      </c>
      <c r="V457" t="str">
        <f t="shared" ca="1" si="443"/>
        <v>-</v>
      </c>
      <c r="W457" t="str">
        <f t="shared" ca="1" si="444"/>
        <v>-</v>
      </c>
      <c r="X457" t="str">
        <f t="shared" ca="1" si="445"/>
        <v>-</v>
      </c>
      <c r="Y457" t="str">
        <f t="shared" ca="1" si="446"/>
        <v>-</v>
      </c>
      <c r="Z457" t="str">
        <f t="shared" ca="1" si="447"/>
        <v>-</v>
      </c>
      <c r="AA457" t="str">
        <f t="shared" ca="1" si="448"/>
        <v>-</v>
      </c>
      <c r="AB457" t="str">
        <f t="shared" ca="1" si="449"/>
        <v>-</v>
      </c>
      <c r="AC457" t="str">
        <f t="shared" ca="1" si="450"/>
        <v>-</v>
      </c>
    </row>
    <row r="458" spans="1:29" x14ac:dyDescent="0.3">
      <c r="A458" t="s">
        <v>290</v>
      </c>
      <c r="B458" t="str">
        <f t="shared" ref="B458:D458" si="457">B354</f>
        <v>Semi-detached</v>
      </c>
      <c r="C458">
        <f t="shared" si="457"/>
        <v>15</v>
      </c>
      <c r="D458">
        <f t="shared" si="457"/>
        <v>2</v>
      </c>
      <c r="E458" t="e">
        <f ca="1">AVERAGEIFS('Region 15'!$W$2:$W$500,'Region 15'!$A$2:$A$500,E$1,'Region 15'!$X$2:$X$500,$D458,'Region 15'!$S$2:$S$500,$A458)</f>
        <v>#DIV/0!</v>
      </c>
      <c r="F458" t="e">
        <f ca="1">AVERAGEIFS('Region 15'!$W$2:$W$500,'Region 15'!$A$2:$A$500,F$1,'Region 15'!$X$2:$X$500,$D458,'Region 15'!$S$2:$S$500,$A458)</f>
        <v>#DIV/0!</v>
      </c>
      <c r="G458" t="e">
        <f ca="1">AVERAGEIFS('Region 15'!$W$2:$W$500,'Region 15'!$A$2:$A$500,G$1,'Region 15'!$X$2:$X$500,$D458,'Region 15'!$S$2:$S$500,$A458)</f>
        <v>#DIV/0!</v>
      </c>
      <c r="H458" t="e">
        <f ca="1">AVERAGEIFS('Region 15'!$W$2:$W$500,'Region 15'!$A$2:$A$500,H$1,'Region 15'!$X$2:$X$500,$D458,'Region 15'!$S$2:$S$500,$A458)</f>
        <v>#DIV/0!</v>
      </c>
      <c r="I458" t="e">
        <f ca="1">AVERAGEIFS('Region 15'!$W$2:$W$500,'Region 15'!$A$2:$A$500,I$1,'Region 15'!$X$2:$X$500,$D458,'Region 15'!$S$2:$S$500,$A458)</f>
        <v>#DIV/0!</v>
      </c>
      <c r="J458" t="e">
        <f ca="1">AVERAGEIFS('Region 15'!$W$2:$W$500,'Region 15'!$A$2:$A$500,J$1,'Region 15'!$X$2:$X$500,$D458,'Region 15'!$S$2:$S$500,$A458)</f>
        <v>#DIV/0!</v>
      </c>
      <c r="K458" t="e">
        <f ca="1">AVERAGEIFS('Region 15'!$W$2:$W$500,'Region 15'!$A$2:$A$500,K$1,'Region 15'!$X$2:$X$500,$D458,'Region 15'!$S$2:$S$500,$A458)</f>
        <v>#DIV/0!</v>
      </c>
      <c r="L458" t="e">
        <f ca="1">AVERAGEIFS('Region 15'!$W$2:$W$500,'Region 15'!$A$2:$A$500,L$1,'Region 15'!$X$2:$X$500,$D458,'Region 15'!$S$2:$S$500,$A458)</f>
        <v>#DIV/0!</v>
      </c>
      <c r="M458" t="e">
        <f ca="1">AVERAGEIFS('Region 15'!$W$2:$W$500,'Region 15'!$A$2:$A$500,M$1,'Region 15'!$X$2:$X$500,$D458,'Region 15'!$S$2:$S$500,$A458)</f>
        <v>#DIV/0!</v>
      </c>
      <c r="N458" t="e">
        <f ca="1">AVERAGEIFS('Region 15'!$W$2:$W$500,'Region 15'!$A$2:$A$500,N$1,'Region 15'!$X$2:$X$500,$D458,'Region 15'!$S$2:$S$500,$A458)</f>
        <v>#DIV/0!</v>
      </c>
      <c r="Q458" t="str">
        <f t="shared" si="383"/>
        <v>Aluminium</v>
      </c>
      <c r="R458" t="str">
        <f t="shared" si="384"/>
        <v>Semi-detached</v>
      </c>
      <c r="S458">
        <f t="shared" si="385"/>
        <v>15</v>
      </c>
      <c r="T458" t="str">
        <f t="shared" ca="1" si="441"/>
        <v>-</v>
      </c>
      <c r="U458" t="str">
        <f t="shared" ca="1" si="442"/>
        <v>-</v>
      </c>
      <c r="V458" t="str">
        <f t="shared" ca="1" si="443"/>
        <v>-</v>
      </c>
      <c r="W458" t="str">
        <f t="shared" ca="1" si="444"/>
        <v>-</v>
      </c>
      <c r="X458" t="str">
        <f t="shared" ca="1" si="445"/>
        <v>-</v>
      </c>
      <c r="Y458" t="str">
        <f t="shared" ca="1" si="446"/>
        <v>-</v>
      </c>
      <c r="Z458" t="str">
        <f t="shared" ca="1" si="447"/>
        <v>-</v>
      </c>
      <c r="AA458" t="str">
        <f t="shared" ca="1" si="448"/>
        <v>-</v>
      </c>
      <c r="AB458" t="str">
        <f t="shared" ca="1" si="449"/>
        <v>-</v>
      </c>
      <c r="AC458" t="str">
        <f t="shared" ca="1" si="450"/>
        <v>-</v>
      </c>
    </row>
    <row r="459" spans="1:29" x14ac:dyDescent="0.3">
      <c r="A459" t="s">
        <v>290</v>
      </c>
      <c r="B459" t="str">
        <f t="shared" ref="B459:D459" si="458">B355</f>
        <v>Semi-detached</v>
      </c>
      <c r="C459">
        <f t="shared" si="458"/>
        <v>16</v>
      </c>
      <c r="D459">
        <f t="shared" si="458"/>
        <v>2</v>
      </c>
      <c r="E459" t="e">
        <f ca="1">AVERAGEIFS('Region 16'!$W$2:$W$500,'Region 16'!$A$2:$A$500,E$1,'Region 16'!$X$2:$X$500,$D459,'Region 16'!$S$2:$S$500,$A459)</f>
        <v>#DIV/0!</v>
      </c>
      <c r="F459" t="e">
        <f ca="1">AVERAGEIFS('Region 16'!$W$2:$W$500,'Region 16'!$A$2:$A$500,F$1,'Region 16'!$X$2:$X$500,$D459,'Region 16'!$S$2:$S$500,$A459)</f>
        <v>#DIV/0!</v>
      </c>
      <c r="G459" t="e">
        <f ca="1">AVERAGEIFS('Region 16'!$W$2:$W$500,'Region 16'!$A$2:$A$500,G$1,'Region 16'!$X$2:$X$500,$D459,'Region 16'!$S$2:$S$500,$A459)</f>
        <v>#DIV/0!</v>
      </c>
      <c r="H459" t="e">
        <f ca="1">AVERAGEIFS('Region 16'!$W$2:$W$500,'Region 16'!$A$2:$A$500,H$1,'Region 16'!$X$2:$X$500,$D459,'Region 16'!$S$2:$S$500,$A459)</f>
        <v>#DIV/0!</v>
      </c>
      <c r="I459" t="e">
        <f ca="1">AVERAGEIFS('Region 16'!$W$2:$W$500,'Region 16'!$A$2:$A$500,I$1,'Region 16'!$X$2:$X$500,$D459,'Region 16'!$S$2:$S$500,$A459)</f>
        <v>#DIV/0!</v>
      </c>
      <c r="J459" t="e">
        <f ca="1">AVERAGEIFS('Region 16'!$W$2:$W$500,'Region 16'!$A$2:$A$500,J$1,'Region 16'!$X$2:$X$500,$D459,'Region 16'!$S$2:$S$500,$A459)</f>
        <v>#DIV/0!</v>
      </c>
      <c r="K459" t="e">
        <f ca="1">AVERAGEIFS('Region 16'!$W$2:$W$500,'Region 16'!$A$2:$A$500,K$1,'Region 16'!$X$2:$X$500,$D459,'Region 16'!$S$2:$S$500,$A459)</f>
        <v>#DIV/0!</v>
      </c>
      <c r="L459" t="e">
        <f ca="1">AVERAGEIFS('Region 16'!$W$2:$W$500,'Region 16'!$A$2:$A$500,L$1,'Region 16'!$X$2:$X$500,$D459,'Region 16'!$S$2:$S$500,$A459)</f>
        <v>#DIV/0!</v>
      </c>
      <c r="M459" t="e">
        <f ca="1">AVERAGEIFS('Region 16'!$W$2:$W$500,'Region 16'!$A$2:$A$500,M$1,'Region 16'!$X$2:$X$500,$D459,'Region 16'!$S$2:$S$500,$A459)</f>
        <v>#DIV/0!</v>
      </c>
      <c r="N459" t="e">
        <f ca="1">AVERAGEIFS('Region 16'!$W$2:$W$500,'Region 16'!$A$2:$A$500,N$1,'Region 16'!$X$2:$X$500,$D459,'Region 16'!$S$2:$S$500,$A459)</f>
        <v>#DIV/0!</v>
      </c>
      <c r="Q459" t="str">
        <f t="shared" ref="Q459:Q522" si="459">A459</f>
        <v>Aluminium</v>
      </c>
      <c r="R459" t="str">
        <f t="shared" ref="R459:R522" si="460">B459</f>
        <v>Semi-detached</v>
      </c>
      <c r="S459">
        <f t="shared" ref="S459:S522" si="461">C459</f>
        <v>16</v>
      </c>
      <c r="T459" t="str">
        <f t="shared" ca="1" si="441"/>
        <v>-</v>
      </c>
      <c r="U459" t="str">
        <f t="shared" ca="1" si="442"/>
        <v>-</v>
      </c>
      <c r="V459" t="str">
        <f t="shared" ca="1" si="443"/>
        <v>-</v>
      </c>
      <c r="W459" t="str">
        <f t="shared" ca="1" si="444"/>
        <v>-</v>
      </c>
      <c r="X459" t="str">
        <f t="shared" ca="1" si="445"/>
        <v>-</v>
      </c>
      <c r="Y459" t="str">
        <f t="shared" ca="1" si="446"/>
        <v>-</v>
      </c>
      <c r="Z459" t="str">
        <f t="shared" ca="1" si="447"/>
        <v>-</v>
      </c>
      <c r="AA459" t="str">
        <f t="shared" ca="1" si="448"/>
        <v>-</v>
      </c>
      <c r="AB459" t="str">
        <f t="shared" ca="1" si="449"/>
        <v>-</v>
      </c>
      <c r="AC459" t="str">
        <f t="shared" ca="1" si="450"/>
        <v>-</v>
      </c>
    </row>
    <row r="460" spans="1:29" x14ac:dyDescent="0.3">
      <c r="A460" t="s">
        <v>290</v>
      </c>
      <c r="B460" t="str">
        <f t="shared" ref="B460:D460" si="462">B356</f>
        <v>Semi-detached</v>
      </c>
      <c r="C460">
        <f t="shared" si="462"/>
        <v>17</v>
      </c>
      <c r="D460">
        <f t="shared" si="462"/>
        <v>2</v>
      </c>
      <c r="E460" t="e">
        <f>AVERAGEIFS('Region 17'!$W$2:$W$498,'Region 17'!$A$2:$A$498,E$1,'Region 17'!$X$2:$X$498,$D460,'Region 17'!$S$2:$S$498,$A460)</f>
        <v>#DIV/0!</v>
      </c>
      <c r="F460" t="e">
        <f>AVERAGEIFS('Region 17'!$W$2:$W$498,'Region 17'!$A$2:$A$498,F$1,'Region 17'!$X$2:$X$498,$D460,'Region 17'!$S$2:$S$498,$A460)</f>
        <v>#DIV/0!</v>
      </c>
      <c r="G460" t="e">
        <f>AVERAGEIFS('Region 17'!$W$2:$W$498,'Region 17'!$A$2:$A$498,G$1,'Region 17'!$X$2:$X$498,$D460,'Region 17'!$S$2:$S$498,$A460)</f>
        <v>#DIV/0!</v>
      </c>
      <c r="H460" t="e">
        <f>AVERAGEIFS('Region 17'!$W$2:$W$498,'Region 17'!$A$2:$A$498,H$1,'Region 17'!$X$2:$X$498,$D460,'Region 17'!$S$2:$S$498,$A460)</f>
        <v>#DIV/0!</v>
      </c>
      <c r="I460" t="e">
        <f>AVERAGEIFS('Region 17'!$W$2:$W$498,'Region 17'!$A$2:$A$498,I$1,'Region 17'!$X$2:$X$498,$D460,'Region 17'!$S$2:$S$498,$A460)</f>
        <v>#DIV/0!</v>
      </c>
      <c r="J460" t="e">
        <f>AVERAGEIFS('Region 17'!$W$2:$W$498,'Region 17'!$A$2:$A$498,J$1,'Region 17'!$X$2:$X$498,$D460,'Region 17'!$S$2:$S$498,$A460)</f>
        <v>#DIV/0!</v>
      </c>
      <c r="K460" t="e">
        <f>AVERAGEIFS('Region 17'!$W$2:$W$498,'Region 17'!$A$2:$A$498,K$1,'Region 17'!$X$2:$X$498,$D460,'Region 17'!$S$2:$S$498,$A460)</f>
        <v>#DIV/0!</v>
      </c>
      <c r="L460" t="e">
        <f>AVERAGEIFS('Region 17'!$W$2:$W$498,'Region 17'!$A$2:$A$498,L$1,'Region 17'!$X$2:$X$498,$D460,'Region 17'!$S$2:$S$498,$A460)</f>
        <v>#DIV/0!</v>
      </c>
      <c r="M460" t="e">
        <f>AVERAGEIFS('Region 17'!$W$2:$W$498,'Region 17'!$A$2:$A$498,M$1,'Region 17'!$X$2:$X$498,$D460,'Region 17'!$S$2:$S$498,$A460)</f>
        <v>#DIV/0!</v>
      </c>
      <c r="N460" t="e">
        <f>AVERAGEIFS('Region 17'!$W$2:$W$498,'Region 17'!$A$2:$A$498,N$1,'Region 17'!$X$2:$X$498,$D460,'Region 17'!$S$2:$S$498,$A460)</f>
        <v>#DIV/0!</v>
      </c>
      <c r="Q460" t="str">
        <f t="shared" si="459"/>
        <v>Aluminium</v>
      </c>
      <c r="R460" t="str">
        <f t="shared" si="460"/>
        <v>Semi-detached</v>
      </c>
      <c r="S460">
        <f t="shared" si="461"/>
        <v>17</v>
      </c>
      <c r="T460" t="str">
        <f t="shared" si="441"/>
        <v>-</v>
      </c>
      <c r="U460" t="str">
        <f t="shared" si="442"/>
        <v>-</v>
      </c>
      <c r="V460" t="str">
        <f t="shared" si="443"/>
        <v>-</v>
      </c>
      <c r="W460" t="str">
        <f t="shared" si="444"/>
        <v>-</v>
      </c>
      <c r="X460" t="str">
        <f t="shared" si="445"/>
        <v>-</v>
      </c>
      <c r="Y460" t="str">
        <f t="shared" si="446"/>
        <v>-</v>
      </c>
      <c r="Z460" t="str">
        <f t="shared" si="447"/>
        <v>-</v>
      </c>
      <c r="AA460" t="str">
        <f t="shared" si="448"/>
        <v>-</v>
      </c>
      <c r="AB460" t="str">
        <f t="shared" si="449"/>
        <v>-</v>
      </c>
      <c r="AC460" t="str">
        <f t="shared" si="450"/>
        <v>-</v>
      </c>
    </row>
    <row r="461" spans="1:29" x14ac:dyDescent="0.3">
      <c r="A461" t="s">
        <v>290</v>
      </c>
      <c r="B461" t="str">
        <f t="shared" ref="B461:D461" si="463">B357</f>
        <v>Semi-detached</v>
      </c>
      <c r="C461">
        <f t="shared" si="463"/>
        <v>18</v>
      </c>
      <c r="D461">
        <f t="shared" si="463"/>
        <v>2</v>
      </c>
      <c r="E461" t="e">
        <f>AVERAGEIFS('Region 18'!$W$2:$W$468,'Region 18'!$A$2:$A$468,E$1,'Region 18'!$X$2:$X$468,$D461,'Region 18'!$S$2:$S$468,$A461)</f>
        <v>#DIV/0!</v>
      </c>
      <c r="F461" t="e">
        <f>AVERAGEIFS('Region 18'!$W$2:$W$468,'Region 18'!$A$2:$A$468,F$1,'Region 18'!$X$2:$X$468,$D461,'Region 18'!$S$2:$S$468,$A461)</f>
        <v>#DIV/0!</v>
      </c>
      <c r="G461" t="e">
        <f>AVERAGEIFS('Region 18'!$W$2:$W$468,'Region 18'!$A$2:$A$468,G$1,'Region 18'!$X$2:$X$468,$D461,'Region 18'!$S$2:$S$468,$A461)</f>
        <v>#DIV/0!</v>
      </c>
      <c r="H461" t="e">
        <f>AVERAGEIFS('Region 18'!$W$2:$W$468,'Region 18'!$A$2:$A$468,H$1,'Region 18'!$X$2:$X$468,$D461,'Region 18'!$S$2:$S$468,$A461)</f>
        <v>#DIV/0!</v>
      </c>
      <c r="I461" t="e">
        <f>AVERAGEIFS('Region 18'!$W$2:$W$468,'Region 18'!$A$2:$A$468,I$1,'Region 18'!$X$2:$X$468,$D461,'Region 18'!$S$2:$S$468,$A461)</f>
        <v>#DIV/0!</v>
      </c>
      <c r="J461" t="e">
        <f>AVERAGEIFS('Region 18'!$W$2:$W$468,'Region 18'!$A$2:$A$468,J$1,'Region 18'!$X$2:$X$468,$D461,'Region 18'!$S$2:$S$468,$A461)</f>
        <v>#DIV/0!</v>
      </c>
      <c r="K461" t="e">
        <f>AVERAGEIFS('Region 18'!$W$2:$W$468,'Region 18'!$A$2:$A$468,K$1,'Region 18'!$X$2:$X$468,$D461,'Region 18'!$S$2:$S$468,$A461)</f>
        <v>#DIV/0!</v>
      </c>
      <c r="L461" t="e">
        <f>AVERAGEIFS('Region 18'!$W$2:$W$468,'Region 18'!$A$2:$A$468,L$1,'Region 18'!$X$2:$X$468,$D461,'Region 18'!$S$2:$S$468,$A461)</f>
        <v>#DIV/0!</v>
      </c>
      <c r="M461" t="e">
        <f>AVERAGEIFS('Region 18'!$W$2:$W$468,'Region 18'!$A$2:$A$468,M$1,'Region 18'!$X$2:$X$468,$D461,'Region 18'!$S$2:$S$468,$A461)</f>
        <v>#DIV/0!</v>
      </c>
      <c r="N461" t="e">
        <f>AVERAGEIFS('Region 18'!$W$2:$W$468,'Region 18'!$A$2:$A$468,N$1,'Region 18'!$X$2:$X$468,$D461,'Region 18'!$S$2:$S$468,$A461)</f>
        <v>#DIV/0!</v>
      </c>
      <c r="Q461" t="str">
        <f t="shared" si="459"/>
        <v>Aluminium</v>
      </c>
      <c r="R461" t="str">
        <f t="shared" si="460"/>
        <v>Semi-detached</v>
      </c>
      <c r="S461">
        <f t="shared" si="461"/>
        <v>18</v>
      </c>
      <c r="T461" t="str">
        <f t="shared" si="441"/>
        <v>-</v>
      </c>
      <c r="U461" t="str">
        <f t="shared" si="442"/>
        <v>-</v>
      </c>
      <c r="V461" t="str">
        <f t="shared" si="443"/>
        <v>-</v>
      </c>
      <c r="W461" t="str">
        <f t="shared" si="444"/>
        <v>-</v>
      </c>
      <c r="X461" t="str">
        <f t="shared" si="445"/>
        <v>-</v>
      </c>
      <c r="Y461" t="str">
        <f t="shared" si="446"/>
        <v>-</v>
      </c>
      <c r="Z461" t="str">
        <f t="shared" si="447"/>
        <v>-</v>
      </c>
      <c r="AA461" t="str">
        <f t="shared" si="448"/>
        <v>-</v>
      </c>
      <c r="AB461" t="str">
        <f t="shared" si="449"/>
        <v>-</v>
      </c>
      <c r="AC461" t="str">
        <f t="shared" si="450"/>
        <v>-</v>
      </c>
    </row>
    <row r="462" spans="1:29" x14ac:dyDescent="0.3">
      <c r="A462" t="s">
        <v>290</v>
      </c>
      <c r="B462" t="str">
        <f t="shared" ref="B462:D462" si="464">B358</f>
        <v>Semi-detached</v>
      </c>
      <c r="C462">
        <f t="shared" si="464"/>
        <v>19</v>
      </c>
      <c r="D462">
        <f t="shared" si="464"/>
        <v>2</v>
      </c>
      <c r="E462" t="e">
        <f>AVERAGEIFS('Region 19'!$W$2:$W$494,'Region 19'!$A$2:$A$494,E$1,'Region 19'!$X$2:$X$494,$D462,'Region 19'!$S$2:$S$494,$A462)</f>
        <v>#DIV/0!</v>
      </c>
      <c r="F462" t="e">
        <f>AVERAGEIFS('Region 19'!$W$2:$W$494,'Region 19'!$A$2:$A$494,F$1,'Region 19'!$X$2:$X$494,$D462,'Region 19'!$S$2:$S$494,$A462)</f>
        <v>#DIV/0!</v>
      </c>
      <c r="G462" t="e">
        <f>AVERAGEIFS('Region 19'!$W$2:$W$494,'Region 19'!$A$2:$A$494,G$1,'Region 19'!$X$2:$X$494,$D462,'Region 19'!$S$2:$S$494,$A462)</f>
        <v>#DIV/0!</v>
      </c>
      <c r="H462" t="e">
        <f>AVERAGEIFS('Region 19'!$W$2:$W$494,'Region 19'!$A$2:$A$494,H$1,'Region 19'!$X$2:$X$494,$D462,'Region 19'!$S$2:$S$494,$A462)</f>
        <v>#DIV/0!</v>
      </c>
      <c r="I462" t="e">
        <f>AVERAGEIFS('Region 19'!$W$2:$W$494,'Region 19'!$A$2:$A$494,I$1,'Region 19'!$X$2:$X$494,$D462,'Region 19'!$S$2:$S$494,$A462)</f>
        <v>#DIV/0!</v>
      </c>
      <c r="J462" t="e">
        <f>AVERAGEIFS('Region 19'!$W$2:$W$494,'Region 19'!$A$2:$A$494,J$1,'Region 19'!$X$2:$X$494,$D462,'Region 19'!$S$2:$S$494,$A462)</f>
        <v>#DIV/0!</v>
      </c>
      <c r="K462" t="e">
        <f>AVERAGEIFS('Region 19'!$W$2:$W$494,'Region 19'!$A$2:$A$494,K$1,'Region 19'!$X$2:$X$494,$D462,'Region 19'!$S$2:$S$494,$A462)</f>
        <v>#DIV/0!</v>
      </c>
      <c r="L462" t="e">
        <f>AVERAGEIFS('Region 19'!$W$2:$W$494,'Region 19'!$A$2:$A$494,L$1,'Region 19'!$X$2:$X$494,$D462,'Region 19'!$S$2:$S$494,$A462)</f>
        <v>#DIV/0!</v>
      </c>
      <c r="M462" t="e">
        <f>AVERAGEIFS('Region 19'!$W$2:$W$494,'Region 19'!$A$2:$A$494,M$1,'Region 19'!$X$2:$X$494,$D462,'Region 19'!$S$2:$S$494,$A462)</f>
        <v>#DIV/0!</v>
      </c>
      <c r="N462" t="e">
        <f>AVERAGEIFS('Region 19'!$W$2:$W$494,'Region 19'!$A$2:$A$494,N$1,'Region 19'!$X$2:$X$494,$D462,'Region 19'!$S$2:$S$494,$A462)</f>
        <v>#DIV/0!</v>
      </c>
      <c r="Q462" t="str">
        <f t="shared" si="459"/>
        <v>Aluminium</v>
      </c>
      <c r="R462" t="str">
        <f t="shared" si="460"/>
        <v>Semi-detached</v>
      </c>
      <c r="S462">
        <f t="shared" si="461"/>
        <v>19</v>
      </c>
      <c r="T462" t="str">
        <f t="shared" si="441"/>
        <v>-</v>
      </c>
      <c r="U462" t="str">
        <f t="shared" si="442"/>
        <v>-</v>
      </c>
      <c r="V462" t="str">
        <f t="shared" si="443"/>
        <v>-</v>
      </c>
      <c r="W462" t="str">
        <f t="shared" si="444"/>
        <v>-</v>
      </c>
      <c r="X462" t="str">
        <f t="shared" si="445"/>
        <v>-</v>
      </c>
      <c r="Y462" t="str">
        <f t="shared" si="446"/>
        <v>-</v>
      </c>
      <c r="Z462" t="str">
        <f t="shared" si="447"/>
        <v>-</v>
      </c>
      <c r="AA462" t="str">
        <f t="shared" si="448"/>
        <v>-</v>
      </c>
      <c r="AB462" t="str">
        <f t="shared" si="449"/>
        <v>-</v>
      </c>
      <c r="AC462" t="str">
        <f t="shared" si="450"/>
        <v>-</v>
      </c>
    </row>
    <row r="463" spans="1:29" x14ac:dyDescent="0.3">
      <c r="A463" t="s">
        <v>290</v>
      </c>
      <c r="B463" t="str">
        <f t="shared" ref="B463:D463" si="465">B359</f>
        <v>Semi-detached</v>
      </c>
      <c r="C463">
        <f t="shared" si="465"/>
        <v>20</v>
      </c>
      <c r="D463">
        <f t="shared" si="465"/>
        <v>2</v>
      </c>
      <c r="E463" t="e">
        <f>AVERAGEIFS('Region 20'!$W$2:$W$269,'Region 20'!$A$2:$A$269,E$1,'Region 20'!$X$2:$X$269,$D463,'Region 20'!$S$2:$S$269,$A463)</f>
        <v>#DIV/0!</v>
      </c>
      <c r="F463" t="e">
        <f>AVERAGEIFS('Region 20'!$W$2:$W$269,'Region 20'!$A$2:$A$269,F$1,'Region 20'!$X$2:$X$269,$D463,'Region 20'!$S$2:$S$269,$A463)</f>
        <v>#DIV/0!</v>
      </c>
      <c r="G463" t="e">
        <f>AVERAGEIFS('Region 20'!$W$2:$W$269,'Region 20'!$A$2:$A$269,G$1,'Region 20'!$X$2:$X$269,$D463,'Region 20'!$S$2:$S$269,$A463)</f>
        <v>#DIV/0!</v>
      </c>
      <c r="H463" t="e">
        <f>AVERAGEIFS('Region 20'!$W$2:$W$269,'Region 20'!$A$2:$A$269,H$1,'Region 20'!$X$2:$X$269,$D463,'Region 20'!$S$2:$S$269,$A463)</f>
        <v>#DIV/0!</v>
      </c>
      <c r="I463" t="e">
        <f>AVERAGEIFS('Region 20'!$W$2:$W$269,'Region 20'!$A$2:$A$269,I$1,'Region 20'!$X$2:$X$269,$D463,'Region 20'!$S$2:$S$269,$A463)</f>
        <v>#DIV/0!</v>
      </c>
      <c r="J463" t="e">
        <f>AVERAGEIFS('Region 20'!$W$2:$W$269,'Region 20'!$A$2:$A$269,J$1,'Region 20'!$X$2:$X$269,$D463,'Region 20'!$S$2:$S$269,$A463)</f>
        <v>#DIV/0!</v>
      </c>
      <c r="K463" t="e">
        <f>AVERAGEIFS('Region 20'!$W$2:$W$269,'Region 20'!$A$2:$A$269,K$1,'Region 20'!$X$2:$X$269,$D463,'Region 20'!$S$2:$S$269,$A463)</f>
        <v>#DIV/0!</v>
      </c>
      <c r="L463" t="e">
        <f>AVERAGEIFS('Region 20'!$W$2:$W$269,'Region 20'!$A$2:$A$269,L$1,'Region 20'!$X$2:$X$269,$D463,'Region 20'!$S$2:$S$269,$A463)</f>
        <v>#DIV/0!</v>
      </c>
      <c r="M463" t="e">
        <f>AVERAGEIFS('Region 20'!$W$2:$W$269,'Region 20'!$A$2:$A$269,M$1,'Region 20'!$X$2:$X$269,$D463,'Region 20'!$S$2:$S$269,$A463)</f>
        <v>#DIV/0!</v>
      </c>
      <c r="N463" t="e">
        <f>AVERAGEIFS('Region 20'!$W$2:$W$269,'Region 20'!$A$2:$A$269,N$1,'Region 20'!$X$2:$X$269,$D463,'Region 20'!$S$2:$S$269,$A463)</f>
        <v>#DIV/0!</v>
      </c>
      <c r="Q463" t="str">
        <f t="shared" si="459"/>
        <v>Aluminium</v>
      </c>
      <c r="R463" t="str">
        <f t="shared" si="460"/>
        <v>Semi-detached</v>
      </c>
      <c r="S463">
        <f t="shared" si="461"/>
        <v>20</v>
      </c>
      <c r="T463" t="str">
        <f t="shared" si="441"/>
        <v>-</v>
      </c>
      <c r="U463" t="str">
        <f t="shared" si="442"/>
        <v>-</v>
      </c>
      <c r="V463" t="str">
        <f t="shared" si="443"/>
        <v>-</v>
      </c>
      <c r="W463" t="str">
        <f t="shared" si="444"/>
        <v>-</v>
      </c>
      <c r="X463" t="str">
        <f t="shared" si="445"/>
        <v>-</v>
      </c>
      <c r="Y463" t="str">
        <f t="shared" si="446"/>
        <v>-</v>
      </c>
      <c r="Z463" t="str">
        <f t="shared" si="447"/>
        <v>-</v>
      </c>
      <c r="AA463" t="str">
        <f t="shared" si="448"/>
        <v>-</v>
      </c>
      <c r="AB463" t="str">
        <f t="shared" si="449"/>
        <v>-</v>
      </c>
      <c r="AC463" t="str">
        <f t="shared" si="450"/>
        <v>-</v>
      </c>
    </row>
    <row r="464" spans="1:29" x14ac:dyDescent="0.3">
      <c r="A464" t="s">
        <v>290</v>
      </c>
      <c r="B464" t="str">
        <f t="shared" ref="B464:D464" si="466">B360</f>
        <v>Semi-detached</v>
      </c>
      <c r="C464">
        <f t="shared" si="466"/>
        <v>21</v>
      </c>
      <c r="D464">
        <f t="shared" si="466"/>
        <v>2</v>
      </c>
      <c r="E464" t="e">
        <f>AVERAGEIFS('Region 21'!$W$2:$W$497,'Region 21'!$A$2:$A$497,E$1,'Region 21'!$X$2:$X$497,$D464,'Region 21'!$S$2:$S$497,$A464)</f>
        <v>#DIV/0!</v>
      </c>
      <c r="F464" t="e">
        <f>AVERAGEIFS('Region 21'!$W$2:$W$497,'Region 21'!$A$2:$A$497,F$1,'Region 21'!$X$2:$X$497,$D464,'Region 21'!$S$2:$S$497,$A464)</f>
        <v>#DIV/0!</v>
      </c>
      <c r="G464" t="e">
        <f>AVERAGEIFS('Region 21'!$W$2:$W$497,'Region 21'!$A$2:$A$497,G$1,'Region 21'!$X$2:$X$497,$D464,'Region 21'!$S$2:$S$497,$A464)</f>
        <v>#DIV/0!</v>
      </c>
      <c r="H464" t="e">
        <f>AVERAGEIFS('Region 21'!$W$2:$W$497,'Region 21'!$A$2:$A$497,H$1,'Region 21'!$X$2:$X$497,$D464,'Region 21'!$S$2:$S$497,$A464)</f>
        <v>#DIV/0!</v>
      </c>
      <c r="I464" t="e">
        <f>AVERAGEIFS('Region 21'!$W$2:$W$497,'Region 21'!$A$2:$A$497,I$1,'Region 21'!$X$2:$X$497,$D464,'Region 21'!$S$2:$S$497,$A464)</f>
        <v>#DIV/0!</v>
      </c>
      <c r="J464" t="e">
        <f>AVERAGEIFS('Region 21'!$W$2:$W$497,'Region 21'!$A$2:$A$497,J$1,'Region 21'!$X$2:$X$497,$D464,'Region 21'!$S$2:$S$497,$A464)</f>
        <v>#DIV/0!</v>
      </c>
      <c r="K464" t="e">
        <f>AVERAGEIFS('Region 21'!$W$2:$W$497,'Region 21'!$A$2:$A$497,K$1,'Region 21'!$X$2:$X$497,$D464,'Region 21'!$S$2:$S$497,$A464)</f>
        <v>#DIV/0!</v>
      </c>
      <c r="L464" t="e">
        <f>AVERAGEIFS('Region 21'!$W$2:$W$497,'Region 21'!$A$2:$A$497,L$1,'Region 21'!$X$2:$X$497,$D464,'Region 21'!$S$2:$S$497,$A464)</f>
        <v>#DIV/0!</v>
      </c>
      <c r="M464" t="e">
        <f>AVERAGEIFS('Region 21'!$W$2:$W$497,'Region 21'!$A$2:$A$497,M$1,'Region 21'!$X$2:$X$497,$D464,'Region 21'!$S$2:$S$497,$A464)</f>
        <v>#DIV/0!</v>
      </c>
      <c r="N464" t="e">
        <f>AVERAGEIFS('Region 21'!$W$2:$W$497,'Region 21'!$A$2:$A$497,N$1,'Region 21'!$X$2:$X$497,$D464,'Region 21'!$S$2:$S$497,$A464)</f>
        <v>#DIV/0!</v>
      </c>
      <c r="Q464" t="str">
        <f t="shared" si="459"/>
        <v>Aluminium</v>
      </c>
      <c r="R464" t="str">
        <f t="shared" si="460"/>
        <v>Semi-detached</v>
      </c>
      <c r="S464">
        <f t="shared" si="461"/>
        <v>21</v>
      </c>
      <c r="T464" t="str">
        <f t="shared" si="441"/>
        <v>-</v>
      </c>
      <c r="U464" t="str">
        <f t="shared" si="442"/>
        <v>-</v>
      </c>
      <c r="V464" t="str">
        <f t="shared" si="443"/>
        <v>-</v>
      </c>
      <c r="W464" t="str">
        <f t="shared" si="444"/>
        <v>-</v>
      </c>
      <c r="X464" t="str">
        <f t="shared" si="445"/>
        <v>-</v>
      </c>
      <c r="Y464" t="str">
        <f t="shared" si="446"/>
        <v>-</v>
      </c>
      <c r="Z464" t="str">
        <f t="shared" si="447"/>
        <v>-</v>
      </c>
      <c r="AA464" t="str">
        <f t="shared" si="448"/>
        <v>-</v>
      </c>
      <c r="AB464" t="str">
        <f t="shared" si="449"/>
        <v>-</v>
      </c>
      <c r="AC464" t="str">
        <f t="shared" si="450"/>
        <v>-</v>
      </c>
    </row>
    <row r="465" spans="1:29" x14ac:dyDescent="0.3">
      <c r="A465" t="s">
        <v>290</v>
      </c>
      <c r="B465" t="str">
        <f t="shared" ref="B465:D465" si="467">B361</f>
        <v>Semi-detached</v>
      </c>
      <c r="C465">
        <f t="shared" si="467"/>
        <v>22</v>
      </c>
      <c r="D465">
        <f t="shared" si="467"/>
        <v>2</v>
      </c>
      <c r="E465" t="e">
        <f>AVERAGEIFS('Region 22'!$W$2:$W$510,'Region 22'!$A$2:$A$510,E$1,'Region 22'!$X$2:$X$510,$D465,'Region 22'!$S$2:$S$510,$A465)</f>
        <v>#DIV/0!</v>
      </c>
      <c r="F465" t="e">
        <f>AVERAGEIFS('Region 22'!$W$2:$W$510,'Region 22'!$A$2:$A$510,F$1,'Region 22'!$X$2:$X$510,$D465,'Region 22'!$S$2:$S$510,$A465)</f>
        <v>#DIV/0!</v>
      </c>
      <c r="G465" t="e">
        <f>AVERAGEIFS('Region 22'!$W$2:$W$510,'Region 22'!$A$2:$A$510,G$1,'Region 22'!$X$2:$X$510,$D465,'Region 22'!$S$2:$S$510,$A465)</f>
        <v>#DIV/0!</v>
      </c>
      <c r="H465" t="e">
        <f>AVERAGEIFS('Region 22'!$W$2:$W$510,'Region 22'!$A$2:$A$510,H$1,'Region 22'!$X$2:$X$510,$D465,'Region 22'!$S$2:$S$510,$A465)</f>
        <v>#DIV/0!</v>
      </c>
      <c r="I465" t="e">
        <f>AVERAGEIFS('Region 22'!$W$2:$W$510,'Region 22'!$A$2:$A$510,I$1,'Region 22'!$X$2:$X$510,$D465,'Region 22'!$S$2:$S$510,$A465)</f>
        <v>#DIV/0!</v>
      </c>
      <c r="J465" t="e">
        <f>AVERAGEIFS('Region 22'!$W$2:$W$510,'Region 22'!$A$2:$A$510,J$1,'Region 22'!$X$2:$X$510,$D465,'Region 22'!$S$2:$S$510,$A465)</f>
        <v>#DIV/0!</v>
      </c>
      <c r="K465" t="e">
        <f>AVERAGEIFS('Region 22'!$W$2:$W$510,'Region 22'!$A$2:$A$510,K$1,'Region 22'!$X$2:$X$510,$D465,'Region 22'!$S$2:$S$510,$A465)</f>
        <v>#DIV/0!</v>
      </c>
      <c r="L465" t="e">
        <f>AVERAGEIFS('Region 22'!$W$2:$W$510,'Region 22'!$A$2:$A$510,L$1,'Region 22'!$X$2:$X$510,$D465,'Region 22'!$S$2:$S$510,$A465)</f>
        <v>#DIV/0!</v>
      </c>
      <c r="M465" t="e">
        <f>AVERAGEIFS('Region 22'!$W$2:$W$510,'Region 22'!$A$2:$A$510,M$1,'Region 22'!$X$2:$X$510,$D465,'Region 22'!$S$2:$S$510,$A465)</f>
        <v>#DIV/0!</v>
      </c>
      <c r="N465" t="e">
        <f>AVERAGEIFS('Region 22'!$W$2:$W$510,'Region 22'!$A$2:$A$510,N$1,'Region 22'!$X$2:$X$510,$D465,'Region 22'!$S$2:$S$510,$A465)</f>
        <v>#DIV/0!</v>
      </c>
      <c r="Q465" t="str">
        <f t="shared" si="459"/>
        <v>Aluminium</v>
      </c>
      <c r="R465" t="str">
        <f t="shared" si="460"/>
        <v>Semi-detached</v>
      </c>
      <c r="S465">
        <f t="shared" si="461"/>
        <v>22</v>
      </c>
      <c r="T465" t="str">
        <f t="shared" si="441"/>
        <v>-</v>
      </c>
      <c r="U465" t="str">
        <f t="shared" si="442"/>
        <v>-</v>
      </c>
      <c r="V465" t="str">
        <f t="shared" si="443"/>
        <v>-</v>
      </c>
      <c r="W465" t="str">
        <f t="shared" si="444"/>
        <v>-</v>
      </c>
      <c r="X465" t="str">
        <f t="shared" si="445"/>
        <v>-</v>
      </c>
      <c r="Y465" t="str">
        <f t="shared" si="446"/>
        <v>-</v>
      </c>
      <c r="Z465" t="str">
        <f t="shared" si="447"/>
        <v>-</v>
      </c>
      <c r="AA465" t="str">
        <f t="shared" si="448"/>
        <v>-</v>
      </c>
      <c r="AB465" t="str">
        <f t="shared" si="449"/>
        <v>-</v>
      </c>
      <c r="AC465" t="str">
        <f t="shared" si="450"/>
        <v>-</v>
      </c>
    </row>
    <row r="466" spans="1:29" x14ac:dyDescent="0.3">
      <c r="A466" t="s">
        <v>290</v>
      </c>
      <c r="B466" t="str">
        <f t="shared" ref="B466:D466" si="468">B362</f>
        <v>Semi-detached</v>
      </c>
      <c r="C466">
        <f t="shared" si="468"/>
        <v>23</v>
      </c>
      <c r="D466">
        <f t="shared" si="468"/>
        <v>2</v>
      </c>
      <c r="E466" t="e">
        <f>AVERAGEIFS('Region 23'!$W$2:$W$468,'Region 23'!$A$2:$A$468,E$1,'Region 23'!$X$2:$X$468,$D466,'Region 23'!$S$2:$S$468,$A466)</f>
        <v>#DIV/0!</v>
      </c>
      <c r="F466" t="e">
        <f>AVERAGEIFS('Region 23'!$W$2:$W$468,'Region 23'!$A$2:$A$468,F$1,'Region 23'!$X$2:$X$468,$D466,'Region 23'!$S$2:$S$468,$A466)</f>
        <v>#DIV/0!</v>
      </c>
      <c r="G466" t="e">
        <f>AVERAGEIFS('Region 23'!$W$2:$W$468,'Region 23'!$A$2:$A$468,G$1,'Region 23'!$X$2:$X$468,$D466,'Region 23'!$S$2:$S$468,$A466)</f>
        <v>#DIV/0!</v>
      </c>
      <c r="H466" t="e">
        <f>AVERAGEIFS('Region 23'!$W$2:$W$468,'Region 23'!$A$2:$A$468,H$1,'Region 23'!$X$2:$X$468,$D466,'Region 23'!$S$2:$S$468,$A466)</f>
        <v>#DIV/0!</v>
      </c>
      <c r="I466" t="e">
        <f>AVERAGEIFS('Region 23'!$W$2:$W$468,'Region 23'!$A$2:$A$468,I$1,'Region 23'!$X$2:$X$468,$D466,'Region 23'!$S$2:$S$468,$A466)</f>
        <v>#DIV/0!</v>
      </c>
      <c r="J466" t="e">
        <f>AVERAGEIFS('Region 23'!$W$2:$W$468,'Region 23'!$A$2:$A$468,J$1,'Region 23'!$X$2:$X$468,$D466,'Region 23'!$S$2:$S$468,$A466)</f>
        <v>#DIV/0!</v>
      </c>
      <c r="K466" t="e">
        <f>AVERAGEIFS('Region 23'!$W$2:$W$468,'Region 23'!$A$2:$A$468,K$1,'Region 23'!$X$2:$X$468,$D466,'Region 23'!$S$2:$S$468,$A466)</f>
        <v>#DIV/0!</v>
      </c>
      <c r="L466" t="e">
        <f>AVERAGEIFS('Region 23'!$W$2:$W$468,'Region 23'!$A$2:$A$468,L$1,'Region 23'!$X$2:$X$468,$D466,'Region 23'!$S$2:$S$468,$A466)</f>
        <v>#DIV/0!</v>
      </c>
      <c r="M466" t="e">
        <f>AVERAGEIFS('Region 23'!$W$2:$W$468,'Region 23'!$A$2:$A$468,M$1,'Region 23'!$X$2:$X$468,$D466,'Region 23'!$S$2:$S$468,$A466)</f>
        <v>#DIV/0!</v>
      </c>
      <c r="N466" t="e">
        <f>AVERAGEIFS('Region 23'!$W$2:$W$468,'Region 23'!$A$2:$A$468,N$1,'Region 23'!$X$2:$X$468,$D466,'Region 23'!$S$2:$S$468,$A466)</f>
        <v>#DIV/0!</v>
      </c>
      <c r="Q466" t="str">
        <f t="shared" si="459"/>
        <v>Aluminium</v>
      </c>
      <c r="R466" t="str">
        <f t="shared" si="460"/>
        <v>Semi-detached</v>
      </c>
      <c r="S466">
        <f t="shared" si="461"/>
        <v>23</v>
      </c>
      <c r="T466" t="str">
        <f t="shared" si="441"/>
        <v>-</v>
      </c>
      <c r="U466" t="str">
        <f t="shared" si="442"/>
        <v>-</v>
      </c>
      <c r="V466" t="str">
        <f t="shared" si="443"/>
        <v>-</v>
      </c>
      <c r="W466" t="str">
        <f t="shared" si="444"/>
        <v>-</v>
      </c>
      <c r="X466" t="str">
        <f t="shared" si="445"/>
        <v>-</v>
      </c>
      <c r="Y466" t="str">
        <f t="shared" si="446"/>
        <v>-</v>
      </c>
      <c r="Z466" t="str">
        <f t="shared" si="447"/>
        <v>-</v>
      </c>
      <c r="AA466" t="str">
        <f t="shared" si="448"/>
        <v>-</v>
      </c>
      <c r="AB466" t="str">
        <f t="shared" si="449"/>
        <v>-</v>
      </c>
      <c r="AC466" t="str">
        <f t="shared" si="450"/>
        <v>-</v>
      </c>
    </row>
    <row r="467" spans="1:29" x14ac:dyDescent="0.3">
      <c r="A467" t="s">
        <v>290</v>
      </c>
      <c r="B467" t="str">
        <f t="shared" ref="B467:D467" si="469">B363</f>
        <v>Semi-detached</v>
      </c>
      <c r="C467">
        <f t="shared" si="469"/>
        <v>24</v>
      </c>
      <c r="D467">
        <f t="shared" si="469"/>
        <v>2</v>
      </c>
      <c r="E467" t="e">
        <f>AVERAGEIFS('Region 24'!$W$2:$W$454,'Region 24'!$A$2:$A$454,E$1,'Region 24'!$X$2:$X$454,$D467,'Region 24'!$S$2:$S$454,$A467)</f>
        <v>#DIV/0!</v>
      </c>
      <c r="F467" t="e">
        <f>AVERAGEIFS('Region 24'!$W$2:$W$454,'Region 24'!$A$2:$A$454,F$1,'Region 24'!$X$2:$X$454,$D467,'Region 24'!$S$2:$S$454,$A467)</f>
        <v>#DIV/0!</v>
      </c>
      <c r="G467" t="e">
        <f>AVERAGEIFS('Region 24'!$W$2:$W$454,'Region 24'!$A$2:$A$454,G$1,'Region 24'!$X$2:$X$454,$D467,'Region 24'!$S$2:$S$454,$A467)</f>
        <v>#DIV/0!</v>
      </c>
      <c r="H467" t="e">
        <f>AVERAGEIFS('Region 24'!$W$2:$W$454,'Region 24'!$A$2:$A$454,H$1,'Region 24'!$X$2:$X$454,$D467,'Region 24'!$S$2:$S$454,$A467)</f>
        <v>#DIV/0!</v>
      </c>
      <c r="I467" t="e">
        <f>AVERAGEIFS('Region 24'!$W$2:$W$454,'Region 24'!$A$2:$A$454,I$1,'Region 24'!$X$2:$X$454,$D467,'Region 24'!$S$2:$S$454,$A467)</f>
        <v>#DIV/0!</v>
      </c>
      <c r="J467" t="e">
        <f>AVERAGEIFS('Region 24'!$W$2:$W$454,'Region 24'!$A$2:$A$454,J$1,'Region 24'!$X$2:$X$454,$D467,'Region 24'!$S$2:$S$454,$A467)</f>
        <v>#DIV/0!</v>
      </c>
      <c r="K467" t="e">
        <f>AVERAGEIFS('Region 24'!$W$2:$W$454,'Region 24'!$A$2:$A$454,K$1,'Region 24'!$X$2:$X$454,$D467,'Region 24'!$S$2:$S$454,$A467)</f>
        <v>#DIV/0!</v>
      </c>
      <c r="L467" t="e">
        <f>AVERAGEIFS('Region 24'!$W$2:$W$454,'Region 24'!$A$2:$A$454,L$1,'Region 24'!$X$2:$X$454,$D467,'Region 24'!$S$2:$S$454,$A467)</f>
        <v>#DIV/0!</v>
      </c>
      <c r="M467" t="e">
        <f>AVERAGEIFS('Region 24'!$W$2:$W$454,'Region 24'!$A$2:$A$454,M$1,'Region 24'!$X$2:$X$454,$D467,'Region 24'!$S$2:$S$454,$A467)</f>
        <v>#DIV/0!</v>
      </c>
      <c r="N467" t="e">
        <f>AVERAGEIFS('Region 24'!$W$2:$W$454,'Region 24'!$A$2:$A$454,N$1,'Region 24'!$X$2:$X$454,$D467,'Region 24'!$S$2:$S$454,$A467)</f>
        <v>#DIV/0!</v>
      </c>
      <c r="Q467" t="str">
        <f t="shared" si="459"/>
        <v>Aluminium</v>
      </c>
      <c r="R467" t="str">
        <f t="shared" si="460"/>
        <v>Semi-detached</v>
      </c>
      <c r="S467">
        <f t="shared" si="461"/>
        <v>24</v>
      </c>
      <c r="T467" t="str">
        <f t="shared" si="441"/>
        <v>-</v>
      </c>
      <c r="U467" t="str">
        <f t="shared" si="442"/>
        <v>-</v>
      </c>
      <c r="V467" t="str">
        <f t="shared" si="443"/>
        <v>-</v>
      </c>
      <c r="W467" t="str">
        <f t="shared" si="444"/>
        <v>-</v>
      </c>
      <c r="X467" t="str">
        <f t="shared" si="445"/>
        <v>-</v>
      </c>
      <c r="Y467" t="str">
        <f t="shared" si="446"/>
        <v>-</v>
      </c>
      <c r="Z467" t="str">
        <f t="shared" si="447"/>
        <v>-</v>
      </c>
      <c r="AA467" t="str">
        <f t="shared" si="448"/>
        <v>-</v>
      </c>
      <c r="AB467" t="str">
        <f t="shared" si="449"/>
        <v>-</v>
      </c>
      <c r="AC467" t="str">
        <f t="shared" si="450"/>
        <v>-</v>
      </c>
    </row>
    <row r="468" spans="1:29" x14ac:dyDescent="0.3">
      <c r="A468" t="s">
        <v>290</v>
      </c>
      <c r="B468" t="str">
        <f t="shared" ref="B468:D468" si="470">B364</f>
        <v>Semi-detached</v>
      </c>
      <c r="C468">
        <f t="shared" si="470"/>
        <v>25</v>
      </c>
      <c r="D468">
        <f t="shared" si="470"/>
        <v>2</v>
      </c>
      <c r="E468" t="e">
        <f>AVERAGEIFS('Region 25'!$W$2:$W$499,'Region 25'!$A$2:$A$499,E$1,'Region 25'!$X$2:$X$499,$D468,'Region 25'!$S$2:$S$499,$A468)</f>
        <v>#DIV/0!</v>
      </c>
      <c r="F468" t="e">
        <f>AVERAGEIFS('Region 25'!$W$2:$W$499,'Region 25'!$A$2:$A$499,F$1,'Region 25'!$X$2:$X$499,$D468,'Region 25'!$S$2:$S$499,$A468)</f>
        <v>#DIV/0!</v>
      </c>
      <c r="G468" t="e">
        <f>AVERAGEIFS('Region 25'!$W$2:$W$499,'Region 25'!$A$2:$A$499,G$1,'Region 25'!$X$2:$X$499,$D468,'Region 25'!$S$2:$S$499,$A468)</f>
        <v>#DIV/0!</v>
      </c>
      <c r="H468" t="e">
        <f>AVERAGEIFS('Region 25'!$W$2:$W$499,'Region 25'!$A$2:$A$499,H$1,'Region 25'!$X$2:$X$499,$D468,'Region 25'!$S$2:$S$499,$A468)</f>
        <v>#DIV/0!</v>
      </c>
      <c r="I468" t="e">
        <f>AVERAGEIFS('Region 25'!$W$2:$W$499,'Region 25'!$A$2:$A$499,I$1,'Region 25'!$X$2:$X$499,$D468,'Region 25'!$S$2:$S$499,$A468)</f>
        <v>#DIV/0!</v>
      </c>
      <c r="J468" t="e">
        <f>AVERAGEIFS('Region 25'!$W$2:$W$499,'Region 25'!$A$2:$A$499,J$1,'Region 25'!$X$2:$X$499,$D468,'Region 25'!$S$2:$S$499,$A468)</f>
        <v>#DIV/0!</v>
      </c>
      <c r="K468" t="e">
        <f>AVERAGEIFS('Region 25'!$W$2:$W$499,'Region 25'!$A$2:$A$499,K$1,'Region 25'!$X$2:$X$499,$D468,'Region 25'!$S$2:$S$499,$A468)</f>
        <v>#DIV/0!</v>
      </c>
      <c r="L468" t="e">
        <f>AVERAGEIFS('Region 25'!$W$2:$W$499,'Region 25'!$A$2:$A$499,L$1,'Region 25'!$X$2:$X$499,$D468,'Region 25'!$S$2:$S$499,$A468)</f>
        <v>#DIV/0!</v>
      </c>
      <c r="M468" t="e">
        <f>AVERAGEIFS('Region 25'!$W$2:$W$499,'Region 25'!$A$2:$A$499,M$1,'Region 25'!$X$2:$X$499,$D468,'Region 25'!$S$2:$S$499,$A468)</f>
        <v>#DIV/0!</v>
      </c>
      <c r="N468" t="e">
        <f>AVERAGEIFS('Region 25'!$W$2:$W$499,'Region 25'!$A$2:$A$499,N$1,'Region 25'!$X$2:$X$499,$D468,'Region 25'!$S$2:$S$499,$A468)</f>
        <v>#DIV/0!</v>
      </c>
      <c r="Q468" t="str">
        <f t="shared" si="459"/>
        <v>Aluminium</v>
      </c>
      <c r="R468" t="str">
        <f t="shared" si="460"/>
        <v>Semi-detached</v>
      </c>
      <c r="S468">
        <f t="shared" si="461"/>
        <v>25</v>
      </c>
      <c r="T468" t="str">
        <f t="shared" si="441"/>
        <v>-</v>
      </c>
      <c r="U468" t="str">
        <f t="shared" si="442"/>
        <v>-</v>
      </c>
      <c r="V468" t="str">
        <f t="shared" si="443"/>
        <v>-</v>
      </c>
      <c r="W468" t="str">
        <f t="shared" si="444"/>
        <v>-</v>
      </c>
      <c r="X468" t="str">
        <f t="shared" si="445"/>
        <v>-</v>
      </c>
      <c r="Y468" t="str">
        <f t="shared" si="446"/>
        <v>-</v>
      </c>
      <c r="Z468" t="str">
        <f t="shared" si="447"/>
        <v>-</v>
      </c>
      <c r="AA468" t="str">
        <f t="shared" si="448"/>
        <v>-</v>
      </c>
      <c r="AB468" t="str">
        <f t="shared" si="449"/>
        <v>-</v>
      </c>
      <c r="AC468" t="str">
        <f t="shared" si="450"/>
        <v>-</v>
      </c>
    </row>
    <row r="469" spans="1:29" x14ac:dyDescent="0.3">
      <c r="A469" t="s">
        <v>290</v>
      </c>
      <c r="B469" t="str">
        <f t="shared" ref="B469:D469" si="471">B365</f>
        <v>Semi-detached</v>
      </c>
      <c r="C469">
        <f t="shared" si="471"/>
        <v>26</v>
      </c>
      <c r="D469">
        <f t="shared" si="471"/>
        <v>2</v>
      </c>
      <c r="E469" t="e">
        <f ca="1">AVERAGEIFS('Region 26'!$W$2:$W$500,'Region 26'!$A$2:$A$500,E$1,'Region 26'!$X$2:$X$500,$D469,'Region 26'!$S$2:$S$500,$A469)</f>
        <v>#DIV/0!</v>
      </c>
      <c r="F469" t="e">
        <f ca="1">AVERAGEIFS('Region 26'!$W$2:$W$500,'Region 26'!$A$2:$A$500,F$1,'Region 26'!$X$2:$X$500,$D469,'Region 26'!$S$2:$S$500,$A469)</f>
        <v>#DIV/0!</v>
      </c>
      <c r="G469" t="e">
        <f ca="1">AVERAGEIFS('Region 26'!$W$2:$W$500,'Region 26'!$A$2:$A$500,G$1,'Region 26'!$X$2:$X$500,$D469,'Region 26'!$S$2:$S$500,$A469)</f>
        <v>#DIV/0!</v>
      </c>
      <c r="H469" t="e">
        <f ca="1">AVERAGEIFS('Region 26'!$W$2:$W$500,'Region 26'!$A$2:$A$500,H$1,'Region 26'!$X$2:$X$500,$D469,'Region 26'!$S$2:$S$500,$A469)</f>
        <v>#DIV/0!</v>
      </c>
      <c r="I469" t="e">
        <f ca="1">AVERAGEIFS('Region 26'!$W$2:$W$500,'Region 26'!$A$2:$A$500,I$1,'Region 26'!$X$2:$X$500,$D469,'Region 26'!$S$2:$S$500,$A469)</f>
        <v>#DIV/0!</v>
      </c>
      <c r="J469" t="e">
        <f ca="1">AVERAGEIFS('Region 26'!$W$2:$W$500,'Region 26'!$A$2:$A$500,J$1,'Region 26'!$X$2:$X$500,$D469,'Region 26'!$S$2:$S$500,$A469)</f>
        <v>#DIV/0!</v>
      </c>
      <c r="K469" t="e">
        <f ca="1">AVERAGEIFS('Region 26'!$W$2:$W$500,'Region 26'!$A$2:$A$500,K$1,'Region 26'!$X$2:$X$500,$D469,'Region 26'!$S$2:$S$500,$A469)</f>
        <v>#DIV/0!</v>
      </c>
      <c r="L469" t="e">
        <f ca="1">AVERAGEIFS('Region 26'!$W$2:$W$500,'Region 26'!$A$2:$A$500,L$1,'Region 26'!$X$2:$X$500,$D469,'Region 26'!$S$2:$S$500,$A469)</f>
        <v>#DIV/0!</v>
      </c>
      <c r="M469" t="e">
        <f ca="1">AVERAGEIFS('Region 26'!$W$2:$W$500,'Region 26'!$A$2:$A$500,M$1,'Region 26'!$X$2:$X$500,$D469,'Region 26'!$S$2:$S$500,$A469)</f>
        <v>#DIV/0!</v>
      </c>
      <c r="N469" t="e">
        <f ca="1">AVERAGEIFS('Region 26'!$W$2:$W$500,'Region 26'!$A$2:$A$500,N$1,'Region 26'!$X$2:$X$500,$D469,'Region 26'!$S$2:$S$500,$A469)</f>
        <v>#DIV/0!</v>
      </c>
      <c r="Q469" t="str">
        <f t="shared" si="459"/>
        <v>Aluminium</v>
      </c>
      <c r="R469" t="str">
        <f t="shared" si="460"/>
        <v>Semi-detached</v>
      </c>
      <c r="S469">
        <f t="shared" si="461"/>
        <v>26</v>
      </c>
      <c r="T469" t="str">
        <f t="shared" ca="1" si="441"/>
        <v>-</v>
      </c>
      <c r="U469" t="str">
        <f t="shared" ca="1" si="442"/>
        <v>-</v>
      </c>
      <c r="V469" t="str">
        <f t="shared" ca="1" si="443"/>
        <v>-</v>
      </c>
      <c r="W469" t="str">
        <f t="shared" ca="1" si="444"/>
        <v>-</v>
      </c>
      <c r="X469" t="str">
        <f t="shared" ca="1" si="445"/>
        <v>-</v>
      </c>
      <c r="Y469" t="str">
        <f t="shared" ca="1" si="446"/>
        <v>-</v>
      </c>
      <c r="Z469" t="str">
        <f t="shared" ca="1" si="447"/>
        <v>-</v>
      </c>
      <c r="AA469" t="str">
        <f t="shared" ca="1" si="448"/>
        <v>-</v>
      </c>
      <c r="AB469" t="str">
        <f t="shared" ca="1" si="449"/>
        <v>-</v>
      </c>
      <c r="AC469" t="str">
        <f t="shared" ca="1" si="450"/>
        <v>-</v>
      </c>
    </row>
    <row r="470" spans="1:29" x14ac:dyDescent="0.3">
      <c r="A470" t="s">
        <v>290</v>
      </c>
      <c r="B470" t="str">
        <f t="shared" ref="B470:D470" si="472">B366</f>
        <v>Appartments</v>
      </c>
      <c r="C470">
        <f t="shared" si="472"/>
        <v>1</v>
      </c>
      <c r="D470">
        <f t="shared" si="472"/>
        <v>3</v>
      </c>
      <c r="E470" t="e">
        <f>AVERAGEIFS('Region 1'!$W$2:$W$498,'Region 1'!$A$2:$A$498,E$1,'Region 1'!$X$2:$X$498,$D470,'Region 1'!$S$2:$S$498,$A470)</f>
        <v>#DIV/0!</v>
      </c>
      <c r="F470" t="e">
        <f>AVERAGEIFS('Region 1'!$W$2:$W$498,'Region 1'!$A$2:$A$498,F$1,'Region 1'!$X$2:$X$498,$D470,'Region 1'!$S$2:$S$498,$A470)</f>
        <v>#DIV/0!</v>
      </c>
      <c r="G470" t="e">
        <f>AVERAGEIFS('Region 1'!$W$2:$W$498,'Region 1'!$A$2:$A$498,G$1,'Region 1'!$X$2:$X$498,$D470,'Region 1'!$S$2:$S$498,$A470)</f>
        <v>#DIV/0!</v>
      </c>
      <c r="H470" t="e">
        <f>AVERAGEIFS('Region 1'!$W$2:$W$498,'Region 1'!$A$2:$A$498,H$1,'Region 1'!$X$2:$X$498,$D470,'Region 1'!$S$2:$S$498,$A470)</f>
        <v>#DIV/0!</v>
      </c>
      <c r="I470" t="e">
        <f>AVERAGEIFS('Region 1'!$W$2:$W$498,'Region 1'!$A$2:$A$498,I$1,'Region 1'!$X$2:$X$498,$D470,'Region 1'!$S$2:$S$498,$A470)</f>
        <v>#DIV/0!</v>
      </c>
      <c r="J470" t="e">
        <f>AVERAGEIFS('Region 1'!$W$2:$W$498,'Region 1'!$A$2:$A$498,J$1,'Region 1'!$X$2:$X$498,$D470,'Region 1'!$S$2:$S$498,$A470)</f>
        <v>#DIV/0!</v>
      </c>
      <c r="K470" t="e">
        <f>AVERAGEIFS('Region 1'!$W$2:$W$498,'Region 1'!$A$2:$A$498,K$1,'Region 1'!$X$2:$X$498,$D470,'Region 1'!$S$2:$S$498,$A470)</f>
        <v>#DIV/0!</v>
      </c>
      <c r="L470" t="e">
        <f>AVERAGEIFS('Region 1'!$W$2:$W$498,'Region 1'!$A$2:$A$498,L$1,'Region 1'!$X$2:$X$498,$D470,'Region 1'!$S$2:$S$498,$A470)</f>
        <v>#DIV/0!</v>
      </c>
      <c r="M470" t="e">
        <f>AVERAGEIFS('Region 1'!$W$2:$W$498,'Region 1'!$A$2:$A$498,M$1,'Region 1'!$X$2:$X$498,$D470,'Region 1'!$S$2:$S$498,$A470)</f>
        <v>#DIV/0!</v>
      </c>
      <c r="N470" t="e">
        <f>AVERAGEIFS('Region 1'!$W$2:$W$498,'Region 1'!$A$2:$A$498,N$1,'Region 1'!$X$2:$X$498,$D470,'Region 1'!$S$2:$S$498,$A470)</f>
        <v>#DIV/0!</v>
      </c>
      <c r="Q470" t="str">
        <f t="shared" si="459"/>
        <v>Aluminium</v>
      </c>
      <c r="R470" t="str">
        <f t="shared" si="460"/>
        <v>Appartments</v>
      </c>
      <c r="S470">
        <f t="shared" si="461"/>
        <v>1</v>
      </c>
      <c r="T470" t="str">
        <f t="shared" si="441"/>
        <v>-</v>
      </c>
      <c r="U470" t="str">
        <f t="shared" si="442"/>
        <v>-</v>
      </c>
      <c r="V470" t="str">
        <f t="shared" si="443"/>
        <v>-</v>
      </c>
      <c r="W470" t="str">
        <f t="shared" si="444"/>
        <v>-</v>
      </c>
      <c r="X470" t="str">
        <f t="shared" si="445"/>
        <v>-</v>
      </c>
      <c r="Y470" t="str">
        <f t="shared" si="446"/>
        <v>-</v>
      </c>
      <c r="Z470" t="str">
        <f t="shared" si="447"/>
        <v>-</v>
      </c>
      <c r="AA470" t="str">
        <f t="shared" si="448"/>
        <v>-</v>
      </c>
      <c r="AB470" t="str">
        <f t="shared" si="449"/>
        <v>-</v>
      </c>
      <c r="AC470" t="str">
        <f t="shared" si="450"/>
        <v>-</v>
      </c>
    </row>
    <row r="471" spans="1:29" x14ac:dyDescent="0.3">
      <c r="A471" t="s">
        <v>290</v>
      </c>
      <c r="B471" t="str">
        <f t="shared" ref="B471:D471" si="473">B367</f>
        <v>Appartments</v>
      </c>
      <c r="C471">
        <f t="shared" si="473"/>
        <v>2</v>
      </c>
      <c r="D471">
        <f t="shared" si="473"/>
        <v>3</v>
      </c>
      <c r="E471" t="e">
        <f>AVERAGEIFS('Region 2'!$W$2:$W$498,'Region 2'!$A$2:$A$498,E$1,'Region 2'!$X$2:$X$498,$D471,'Region 2'!$S$2:$S$498,$A471)</f>
        <v>#DIV/0!</v>
      </c>
      <c r="F471" t="e">
        <f>AVERAGEIFS('Region 2'!$W$2:$W$498,'Region 2'!$A$2:$A$498,F$1,'Region 2'!$X$2:$X$498,$D471,'Region 2'!$S$2:$S$498,$A471)</f>
        <v>#DIV/0!</v>
      </c>
      <c r="G471">
        <f>AVERAGEIFS('Region 2'!$W$2:$W$498,'Region 2'!$A$2:$A$498,G$1,'Region 2'!$X$2:$X$498,$D471,'Region 2'!$S$2:$S$498,$A471)</f>
        <v>4.9221633615445137</v>
      </c>
      <c r="H471" t="e">
        <f>AVERAGEIFS('Region 2'!$W$2:$W$498,'Region 2'!$A$2:$A$498,H$1,'Region 2'!$X$2:$X$498,$D471,'Region 2'!$S$2:$S$498,$A471)</f>
        <v>#DIV/0!</v>
      </c>
      <c r="I471" t="e">
        <f>AVERAGEIFS('Region 2'!$W$2:$W$498,'Region 2'!$A$2:$A$498,I$1,'Region 2'!$X$2:$X$498,$D471,'Region 2'!$S$2:$S$498,$A471)</f>
        <v>#DIV/0!</v>
      </c>
      <c r="J471" t="e">
        <f>AVERAGEIFS('Region 2'!$W$2:$W$498,'Region 2'!$A$2:$A$498,J$1,'Region 2'!$X$2:$X$498,$D471,'Region 2'!$S$2:$S$498,$A471)</f>
        <v>#DIV/0!</v>
      </c>
      <c r="K471" t="e">
        <f>AVERAGEIFS('Region 2'!$W$2:$W$498,'Region 2'!$A$2:$A$498,K$1,'Region 2'!$X$2:$X$498,$D471,'Region 2'!$S$2:$S$498,$A471)</f>
        <v>#DIV/0!</v>
      </c>
      <c r="L471" t="e">
        <f>AVERAGEIFS('Region 2'!$W$2:$W$498,'Region 2'!$A$2:$A$498,L$1,'Region 2'!$X$2:$X$498,$D471,'Region 2'!$S$2:$S$498,$A471)</f>
        <v>#DIV/0!</v>
      </c>
      <c r="M471" t="e">
        <f>AVERAGEIFS('Region 2'!$W$2:$W$498,'Region 2'!$A$2:$A$498,M$1,'Region 2'!$X$2:$X$498,$D471,'Region 2'!$S$2:$S$498,$A471)</f>
        <v>#DIV/0!</v>
      </c>
      <c r="N471" t="e">
        <f>AVERAGEIFS('Region 2'!$W$2:$W$498,'Region 2'!$A$2:$A$498,N$1,'Region 2'!$X$2:$X$498,$D471,'Region 2'!$S$2:$S$498,$A471)</f>
        <v>#DIV/0!</v>
      </c>
      <c r="Q471" t="str">
        <f t="shared" si="459"/>
        <v>Aluminium</v>
      </c>
      <c r="R471" t="str">
        <f t="shared" si="460"/>
        <v>Appartments</v>
      </c>
      <c r="S471">
        <f t="shared" si="461"/>
        <v>2</v>
      </c>
      <c r="T471" t="str">
        <f t="shared" si="441"/>
        <v>-</v>
      </c>
      <c r="U471" t="str">
        <f t="shared" si="442"/>
        <v>-</v>
      </c>
      <c r="V471">
        <f t="shared" si="443"/>
        <v>4.9221633615445137</v>
      </c>
      <c r="W471" t="str">
        <f t="shared" si="444"/>
        <v>-</v>
      </c>
      <c r="X471" t="str">
        <f t="shared" si="445"/>
        <v>-</v>
      </c>
      <c r="Y471" t="str">
        <f t="shared" si="446"/>
        <v>-</v>
      </c>
      <c r="Z471" t="str">
        <f t="shared" si="447"/>
        <v>-</v>
      </c>
      <c r="AA471" t="str">
        <f t="shared" si="448"/>
        <v>-</v>
      </c>
      <c r="AB471" t="str">
        <f t="shared" si="449"/>
        <v>-</v>
      </c>
      <c r="AC471" t="str">
        <f t="shared" si="450"/>
        <v>-</v>
      </c>
    </row>
    <row r="472" spans="1:29" x14ac:dyDescent="0.3">
      <c r="A472" t="s">
        <v>290</v>
      </c>
      <c r="B472" t="str">
        <f t="shared" ref="B472:D472" si="474">B368</f>
        <v>Appartments</v>
      </c>
      <c r="C472">
        <f t="shared" si="474"/>
        <v>3</v>
      </c>
      <c r="D472">
        <f t="shared" si="474"/>
        <v>3</v>
      </c>
      <c r="E472" t="e">
        <f ca="1">AVERAGEIFS('Region 3'!$W$2:$W$500,'Region 3'!$A$2:$A$500,E$1,'Region 3'!$X$2:$X$500,$D472,'Region 3'!$S$2:$S$500,$A472)</f>
        <v>#DIV/0!</v>
      </c>
      <c r="F472" t="e">
        <f ca="1">AVERAGEIFS('Region 3'!$W$2:$W$500,'Region 3'!$A$2:$A$500,F$1,'Region 3'!$X$2:$X$500,$D472,'Region 3'!$S$2:$S$500,$A472)</f>
        <v>#DIV/0!</v>
      </c>
      <c r="G472" t="e">
        <f ca="1">AVERAGEIFS('Region 3'!$W$2:$W$500,'Region 3'!$A$2:$A$500,G$1,'Region 3'!$X$2:$X$500,$D472,'Region 3'!$S$2:$S$500,$A472)</f>
        <v>#DIV/0!</v>
      </c>
      <c r="H472" t="e">
        <f ca="1">AVERAGEIFS('Region 3'!$W$2:$W$500,'Region 3'!$A$2:$A$500,H$1,'Region 3'!$X$2:$X$500,$D472,'Region 3'!$S$2:$S$500,$A472)</f>
        <v>#DIV/0!</v>
      </c>
      <c r="I472" t="e">
        <f ca="1">AVERAGEIFS('Region 3'!$W$2:$W$500,'Region 3'!$A$2:$A$500,I$1,'Region 3'!$X$2:$X$500,$D472,'Region 3'!$S$2:$S$500,$A472)</f>
        <v>#DIV/0!</v>
      </c>
      <c r="J472" t="e">
        <f ca="1">AVERAGEIFS('Region 3'!$W$2:$W$500,'Region 3'!$A$2:$A$500,J$1,'Region 3'!$X$2:$X$500,$D472,'Region 3'!$S$2:$S$500,$A472)</f>
        <v>#DIV/0!</v>
      </c>
      <c r="K472" t="e">
        <f ca="1">AVERAGEIFS('Region 3'!$W$2:$W$500,'Region 3'!$A$2:$A$500,K$1,'Region 3'!$X$2:$X$500,$D472,'Region 3'!$S$2:$S$500,$A472)</f>
        <v>#DIV/0!</v>
      </c>
      <c r="L472" t="e">
        <f ca="1">AVERAGEIFS('Region 3'!$W$2:$W$500,'Region 3'!$A$2:$A$500,L$1,'Region 3'!$X$2:$X$500,$D472,'Region 3'!$S$2:$S$500,$A472)</f>
        <v>#DIV/0!</v>
      </c>
      <c r="M472" t="e">
        <f ca="1">AVERAGEIFS('Region 3'!$W$2:$W$500,'Region 3'!$A$2:$A$500,M$1,'Region 3'!$X$2:$X$500,$D472,'Region 3'!$S$2:$S$500,$A472)</f>
        <v>#DIV/0!</v>
      </c>
      <c r="N472" t="e">
        <f ca="1">AVERAGEIFS('Region 3'!$W$2:$W$500,'Region 3'!$A$2:$A$500,N$1,'Region 3'!$X$2:$X$500,$D472,'Region 3'!$S$2:$S$500,$A472)</f>
        <v>#DIV/0!</v>
      </c>
      <c r="Q472" t="str">
        <f t="shared" si="459"/>
        <v>Aluminium</v>
      </c>
      <c r="R472" t="str">
        <f t="shared" si="460"/>
        <v>Appartments</v>
      </c>
      <c r="S472">
        <f t="shared" si="461"/>
        <v>3</v>
      </c>
      <c r="T472" t="str">
        <f t="shared" ca="1" si="441"/>
        <v>-</v>
      </c>
      <c r="U472" t="str">
        <f t="shared" ca="1" si="442"/>
        <v>-</v>
      </c>
      <c r="V472" t="str">
        <f t="shared" ca="1" si="443"/>
        <v>-</v>
      </c>
      <c r="W472" t="str">
        <f t="shared" ca="1" si="444"/>
        <v>-</v>
      </c>
      <c r="X472" t="str">
        <f t="shared" ca="1" si="445"/>
        <v>-</v>
      </c>
      <c r="Y472" t="str">
        <f t="shared" ca="1" si="446"/>
        <v>-</v>
      </c>
      <c r="Z472" t="str">
        <f t="shared" ca="1" si="447"/>
        <v>-</v>
      </c>
      <c r="AA472" t="str">
        <f t="shared" ca="1" si="448"/>
        <v>-</v>
      </c>
      <c r="AB472" t="str">
        <f t="shared" ca="1" si="449"/>
        <v>-</v>
      </c>
      <c r="AC472" t="str">
        <f t="shared" ca="1" si="450"/>
        <v>-</v>
      </c>
    </row>
    <row r="473" spans="1:29" x14ac:dyDescent="0.3">
      <c r="A473" t="s">
        <v>290</v>
      </c>
      <c r="B473" t="str">
        <f t="shared" ref="B473:D473" si="475">B369</f>
        <v>Appartments</v>
      </c>
      <c r="C473">
        <f t="shared" si="475"/>
        <v>4</v>
      </c>
      <c r="D473">
        <f t="shared" si="475"/>
        <v>3</v>
      </c>
      <c r="E473" t="e">
        <f>AVERAGEIFS('Region 4'!$W$2:$W$10,'Region 4'!$A$2:$A$10,E$1,'Region 4'!$X$2:$X$10,$D473,'Region 4'!$S$2:$S$10,$A473)</f>
        <v>#DIV/0!</v>
      </c>
      <c r="F473" t="e">
        <f>AVERAGEIFS('Region 4'!$W$2:$W$10,'Region 4'!$A$2:$A$10,F$1,'Region 4'!$X$2:$X$10,$D473,'Region 4'!$S$2:$S$10,$A473)</f>
        <v>#DIV/0!</v>
      </c>
      <c r="G473" t="e">
        <f>AVERAGEIFS('Region 4'!$W$2:$W$10,'Region 4'!$A$2:$A$10,G$1,'Region 4'!$X$2:$X$10,$D473,'Region 4'!$S$2:$S$10,$A473)</f>
        <v>#DIV/0!</v>
      </c>
      <c r="H473" t="e">
        <f>AVERAGEIFS('Region 4'!$W$2:$W$10,'Region 4'!$A$2:$A$10,H$1,'Region 4'!$X$2:$X$10,$D473,'Region 4'!$S$2:$S$10,$A473)</f>
        <v>#DIV/0!</v>
      </c>
      <c r="I473" t="e">
        <f>AVERAGEIFS('Region 4'!$W$2:$W$10,'Region 4'!$A$2:$A$10,I$1,'Region 4'!$X$2:$X$10,$D473,'Region 4'!$S$2:$S$10,$A473)</f>
        <v>#DIV/0!</v>
      </c>
      <c r="J473" t="e">
        <f>AVERAGEIFS('Region 4'!$W$2:$W$10,'Region 4'!$A$2:$A$10,J$1,'Region 4'!$X$2:$X$10,$D473,'Region 4'!$S$2:$S$10,$A473)</f>
        <v>#DIV/0!</v>
      </c>
      <c r="K473" t="e">
        <f>AVERAGEIFS('Region 4'!$W$2:$W$10,'Region 4'!$A$2:$A$10,K$1,'Region 4'!$X$2:$X$10,$D473,'Region 4'!$S$2:$S$10,$A473)</f>
        <v>#DIV/0!</v>
      </c>
      <c r="L473" t="e">
        <f>AVERAGEIFS('Region 4'!$W$2:$W$10,'Region 4'!$A$2:$A$10,L$1,'Region 4'!$X$2:$X$10,$D473,'Region 4'!$S$2:$S$10,$A473)</f>
        <v>#DIV/0!</v>
      </c>
      <c r="M473" t="e">
        <f>AVERAGEIFS('Region 4'!$W$2:$W$10,'Region 4'!$A$2:$A$10,M$1,'Region 4'!$X$2:$X$10,$D473,'Region 4'!$S$2:$S$10,$A473)</f>
        <v>#DIV/0!</v>
      </c>
      <c r="N473" t="e">
        <f>AVERAGEIFS('Region 4'!$W$2:$W$10,'Region 4'!$A$2:$A$10,N$1,'Region 4'!$X$2:$X$10,$D473,'Region 4'!$S$2:$S$10,$A473)</f>
        <v>#DIV/0!</v>
      </c>
      <c r="Q473" t="str">
        <f t="shared" si="459"/>
        <v>Aluminium</v>
      </c>
      <c r="R473" t="str">
        <f t="shared" si="460"/>
        <v>Appartments</v>
      </c>
      <c r="S473">
        <f t="shared" si="461"/>
        <v>4</v>
      </c>
      <c r="T473" t="str">
        <f t="shared" si="441"/>
        <v>-</v>
      </c>
      <c r="U473" t="str">
        <f t="shared" si="442"/>
        <v>-</v>
      </c>
      <c r="V473" t="str">
        <f t="shared" si="443"/>
        <v>-</v>
      </c>
      <c r="W473" t="str">
        <f t="shared" si="444"/>
        <v>-</v>
      </c>
      <c r="X473" t="str">
        <f t="shared" si="445"/>
        <v>-</v>
      </c>
      <c r="Y473" t="str">
        <f t="shared" si="446"/>
        <v>-</v>
      </c>
      <c r="Z473" t="str">
        <f t="shared" si="447"/>
        <v>-</v>
      </c>
      <c r="AA473" t="str">
        <f t="shared" si="448"/>
        <v>-</v>
      </c>
      <c r="AB473" t="str">
        <f t="shared" si="449"/>
        <v>-</v>
      </c>
      <c r="AC473" t="str">
        <f t="shared" si="450"/>
        <v>-</v>
      </c>
    </row>
    <row r="474" spans="1:29" x14ac:dyDescent="0.3">
      <c r="A474" t="s">
        <v>290</v>
      </c>
      <c r="B474" t="str">
        <f t="shared" ref="B474:D474" si="476">B370</f>
        <v>Appartments</v>
      </c>
      <c r="C474">
        <f t="shared" si="476"/>
        <v>5</v>
      </c>
      <c r="D474">
        <f t="shared" si="476"/>
        <v>3</v>
      </c>
      <c r="E474" t="e">
        <f>AVERAGEIFS('Region 5'!$W$2:$W$496,'Region 5'!$A$2:$A$496,E$1,'Region 5'!$X$2:$X$496,$D474,'Region 5'!$S$2:$S$496,$A474)</f>
        <v>#DIV/0!</v>
      </c>
      <c r="F474" t="e">
        <f>AVERAGEIFS('Region 5'!$W$2:$W$496,'Region 5'!$A$2:$A$496,F$1,'Region 5'!$X$2:$X$496,$D474,'Region 5'!$S$2:$S$496,$A474)</f>
        <v>#DIV/0!</v>
      </c>
      <c r="G474" t="e">
        <f>AVERAGEIFS('Region 5'!$W$2:$W$496,'Region 5'!$A$2:$A$496,G$1,'Region 5'!$X$2:$X$496,$D474,'Region 5'!$S$2:$S$496,$A474)</f>
        <v>#DIV/0!</v>
      </c>
      <c r="H474" t="e">
        <f>AVERAGEIFS('Region 5'!$W$2:$W$496,'Region 5'!$A$2:$A$496,H$1,'Region 5'!$X$2:$X$496,$D474,'Region 5'!$S$2:$S$496,$A474)</f>
        <v>#DIV/0!</v>
      </c>
      <c r="I474" t="e">
        <f>AVERAGEIFS('Region 5'!$W$2:$W$496,'Region 5'!$A$2:$A$496,I$1,'Region 5'!$X$2:$X$496,$D474,'Region 5'!$S$2:$S$496,$A474)</f>
        <v>#DIV/0!</v>
      </c>
      <c r="J474" t="e">
        <f>AVERAGEIFS('Region 5'!$W$2:$W$496,'Region 5'!$A$2:$A$496,J$1,'Region 5'!$X$2:$X$496,$D474,'Region 5'!$S$2:$S$496,$A474)</f>
        <v>#DIV/0!</v>
      </c>
      <c r="K474" t="e">
        <f>AVERAGEIFS('Region 5'!$W$2:$W$496,'Region 5'!$A$2:$A$496,K$1,'Region 5'!$X$2:$X$496,$D474,'Region 5'!$S$2:$S$496,$A474)</f>
        <v>#DIV/0!</v>
      </c>
      <c r="L474" t="e">
        <f>AVERAGEIFS('Region 5'!$W$2:$W$496,'Region 5'!$A$2:$A$496,L$1,'Region 5'!$X$2:$X$496,$D474,'Region 5'!$S$2:$S$496,$A474)</f>
        <v>#DIV/0!</v>
      </c>
      <c r="M474" t="e">
        <f>AVERAGEIFS('Region 5'!$W$2:$W$496,'Region 5'!$A$2:$A$496,M$1,'Region 5'!$X$2:$X$496,$D474,'Region 5'!$S$2:$S$496,$A474)</f>
        <v>#DIV/0!</v>
      </c>
      <c r="N474" t="e">
        <f>AVERAGEIFS('Region 5'!$W$2:$W$496,'Region 5'!$A$2:$A$496,N$1,'Region 5'!$X$2:$X$496,$D474,'Region 5'!$S$2:$S$496,$A474)</f>
        <v>#DIV/0!</v>
      </c>
      <c r="Q474" t="str">
        <f t="shared" si="459"/>
        <v>Aluminium</v>
      </c>
      <c r="R474" t="str">
        <f t="shared" si="460"/>
        <v>Appartments</v>
      </c>
      <c r="S474">
        <f t="shared" si="461"/>
        <v>5</v>
      </c>
      <c r="T474" t="str">
        <f t="shared" si="441"/>
        <v>-</v>
      </c>
      <c r="U474" t="str">
        <f t="shared" si="442"/>
        <v>-</v>
      </c>
      <c r="V474" t="str">
        <f t="shared" si="443"/>
        <v>-</v>
      </c>
      <c r="W474" t="str">
        <f t="shared" si="444"/>
        <v>-</v>
      </c>
      <c r="X474" t="str">
        <f t="shared" si="445"/>
        <v>-</v>
      </c>
      <c r="Y474" t="str">
        <f t="shared" si="446"/>
        <v>-</v>
      </c>
      <c r="Z474" t="str">
        <f t="shared" si="447"/>
        <v>-</v>
      </c>
      <c r="AA474" t="str">
        <f t="shared" si="448"/>
        <v>-</v>
      </c>
      <c r="AB474" t="str">
        <f t="shared" si="449"/>
        <v>-</v>
      </c>
      <c r="AC474" t="str">
        <f t="shared" si="450"/>
        <v>-</v>
      </c>
    </row>
    <row r="475" spans="1:29" x14ac:dyDescent="0.3">
      <c r="A475" t="s">
        <v>290</v>
      </c>
      <c r="B475" t="str">
        <f t="shared" ref="B475:D475" si="477">B371</f>
        <v>Appartments</v>
      </c>
      <c r="C475">
        <f t="shared" si="477"/>
        <v>6</v>
      </c>
      <c r="D475">
        <f t="shared" si="477"/>
        <v>3</v>
      </c>
      <c r="E475" t="e">
        <f>AVERAGEIFS('Region 6'!$W$2:$W$496,'Region 6'!$A$2:$A$496,E$1,'Region 6'!$X$2:$X$496,$D475,'Region 6'!$S$2:$S$496,$A475)</f>
        <v>#DIV/0!</v>
      </c>
      <c r="F475" t="e">
        <f>AVERAGEIFS('Region 6'!$W$2:$W$496,'Region 6'!$A$2:$A$496,F$1,'Region 6'!$X$2:$X$496,$D475,'Region 6'!$S$2:$S$496,$A475)</f>
        <v>#DIV/0!</v>
      </c>
      <c r="G475" t="e">
        <f>AVERAGEIFS('Region 6'!$W$2:$W$496,'Region 6'!$A$2:$A$496,G$1,'Region 6'!$X$2:$X$496,$D475,'Region 6'!$S$2:$S$496,$A475)</f>
        <v>#DIV/0!</v>
      </c>
      <c r="H475" t="e">
        <f>AVERAGEIFS('Region 6'!$W$2:$W$496,'Region 6'!$A$2:$A$496,H$1,'Region 6'!$X$2:$X$496,$D475,'Region 6'!$S$2:$S$496,$A475)</f>
        <v>#DIV/0!</v>
      </c>
      <c r="I475" t="e">
        <f>AVERAGEIFS('Region 6'!$W$2:$W$496,'Region 6'!$A$2:$A$496,I$1,'Region 6'!$X$2:$X$496,$D475,'Region 6'!$S$2:$S$496,$A475)</f>
        <v>#DIV/0!</v>
      </c>
      <c r="J475" t="e">
        <f>AVERAGEIFS('Region 6'!$W$2:$W$496,'Region 6'!$A$2:$A$496,J$1,'Region 6'!$X$2:$X$496,$D475,'Region 6'!$S$2:$S$496,$A475)</f>
        <v>#DIV/0!</v>
      </c>
      <c r="K475" t="e">
        <f>AVERAGEIFS('Region 6'!$W$2:$W$496,'Region 6'!$A$2:$A$496,K$1,'Region 6'!$X$2:$X$496,$D475,'Region 6'!$S$2:$S$496,$A475)</f>
        <v>#DIV/0!</v>
      </c>
      <c r="L475" t="e">
        <f>AVERAGEIFS('Region 6'!$W$2:$W$496,'Region 6'!$A$2:$A$496,L$1,'Region 6'!$X$2:$X$496,$D475,'Region 6'!$S$2:$S$496,$A475)</f>
        <v>#DIV/0!</v>
      </c>
      <c r="M475" t="e">
        <f>AVERAGEIFS('Region 6'!$W$2:$W$496,'Region 6'!$A$2:$A$496,M$1,'Region 6'!$X$2:$X$496,$D475,'Region 6'!$S$2:$S$496,$A475)</f>
        <v>#DIV/0!</v>
      </c>
      <c r="N475" t="e">
        <f>AVERAGEIFS('Region 6'!$W$2:$W$496,'Region 6'!$A$2:$A$496,N$1,'Region 6'!$X$2:$X$496,$D475,'Region 6'!$S$2:$S$496,$A475)</f>
        <v>#DIV/0!</v>
      </c>
      <c r="Q475" t="str">
        <f t="shared" si="459"/>
        <v>Aluminium</v>
      </c>
      <c r="R475" t="str">
        <f t="shared" si="460"/>
        <v>Appartments</v>
      </c>
      <c r="S475">
        <f t="shared" si="461"/>
        <v>6</v>
      </c>
      <c r="T475" t="str">
        <f t="shared" si="441"/>
        <v>-</v>
      </c>
      <c r="U475" t="str">
        <f t="shared" si="442"/>
        <v>-</v>
      </c>
      <c r="V475" t="str">
        <f t="shared" si="443"/>
        <v>-</v>
      </c>
      <c r="W475" t="str">
        <f t="shared" si="444"/>
        <v>-</v>
      </c>
      <c r="X475" t="str">
        <f t="shared" si="445"/>
        <v>-</v>
      </c>
      <c r="Y475" t="str">
        <f t="shared" si="446"/>
        <v>-</v>
      </c>
      <c r="Z475" t="str">
        <f t="shared" si="447"/>
        <v>-</v>
      </c>
      <c r="AA475" t="str">
        <f t="shared" si="448"/>
        <v>-</v>
      </c>
      <c r="AB475" t="str">
        <f t="shared" si="449"/>
        <v>-</v>
      </c>
      <c r="AC475" t="str">
        <f t="shared" si="450"/>
        <v>-</v>
      </c>
    </row>
    <row r="476" spans="1:29" x14ac:dyDescent="0.3">
      <c r="A476" t="s">
        <v>290</v>
      </c>
      <c r="B476" t="str">
        <f t="shared" ref="B476:D476" si="478">B372</f>
        <v>Appartments</v>
      </c>
      <c r="C476">
        <f t="shared" si="478"/>
        <v>7</v>
      </c>
      <c r="D476">
        <f t="shared" si="478"/>
        <v>3</v>
      </c>
      <c r="E476" t="e">
        <f ca="1">AVERAGEIFS('Region 7'!$W$2:$W$500,'Region 7'!$A$2:$A$500,E$1,'Region 7'!$X$2:$X$500,$D476,'Region 7'!$S$2:$S$500,$A476)</f>
        <v>#DIV/0!</v>
      </c>
      <c r="F476" t="e">
        <f ca="1">AVERAGEIFS('Region 7'!$W$2:$W$500,'Region 7'!$A$2:$A$500,F$1,'Region 7'!$X$2:$X$500,$D476,'Region 7'!$S$2:$S$500,$A476)</f>
        <v>#DIV/0!</v>
      </c>
      <c r="G476" t="e">
        <f ca="1">AVERAGEIFS('Region 7'!$W$2:$W$500,'Region 7'!$A$2:$A$500,G$1,'Region 7'!$X$2:$X$500,$D476,'Region 7'!$S$2:$S$500,$A476)</f>
        <v>#DIV/0!</v>
      </c>
      <c r="H476" t="e">
        <f ca="1">AVERAGEIFS('Region 7'!$W$2:$W$500,'Region 7'!$A$2:$A$500,H$1,'Region 7'!$X$2:$X$500,$D476,'Region 7'!$S$2:$S$500,$A476)</f>
        <v>#DIV/0!</v>
      </c>
      <c r="I476" t="e">
        <f ca="1">AVERAGEIFS('Region 7'!$W$2:$W$500,'Region 7'!$A$2:$A$500,I$1,'Region 7'!$X$2:$X$500,$D476,'Region 7'!$S$2:$S$500,$A476)</f>
        <v>#DIV/0!</v>
      </c>
      <c r="J476" t="e">
        <f ca="1">AVERAGEIFS('Region 7'!$W$2:$W$500,'Region 7'!$A$2:$A$500,J$1,'Region 7'!$X$2:$X$500,$D476,'Region 7'!$S$2:$S$500,$A476)</f>
        <v>#DIV/0!</v>
      </c>
      <c r="K476" t="e">
        <f ca="1">AVERAGEIFS('Region 7'!$W$2:$W$500,'Region 7'!$A$2:$A$500,K$1,'Region 7'!$X$2:$X$500,$D476,'Region 7'!$S$2:$S$500,$A476)</f>
        <v>#DIV/0!</v>
      </c>
      <c r="L476" t="e">
        <f ca="1">AVERAGEIFS('Region 7'!$W$2:$W$500,'Region 7'!$A$2:$A$500,L$1,'Region 7'!$X$2:$X$500,$D476,'Region 7'!$S$2:$S$500,$A476)</f>
        <v>#DIV/0!</v>
      </c>
      <c r="M476" t="e">
        <f ca="1">AVERAGEIFS('Region 7'!$W$2:$W$500,'Region 7'!$A$2:$A$500,M$1,'Region 7'!$X$2:$X$500,$D476,'Region 7'!$S$2:$S$500,$A476)</f>
        <v>#DIV/0!</v>
      </c>
      <c r="N476" t="e">
        <f ca="1">AVERAGEIFS('Region 7'!$W$2:$W$500,'Region 7'!$A$2:$A$500,N$1,'Region 7'!$X$2:$X$500,$D476,'Region 7'!$S$2:$S$500,$A476)</f>
        <v>#DIV/0!</v>
      </c>
      <c r="Q476" t="str">
        <f t="shared" si="459"/>
        <v>Aluminium</v>
      </c>
      <c r="R476" t="str">
        <f t="shared" si="460"/>
        <v>Appartments</v>
      </c>
      <c r="S476">
        <f t="shared" si="461"/>
        <v>7</v>
      </c>
      <c r="T476" t="str">
        <f t="shared" ca="1" si="441"/>
        <v>-</v>
      </c>
      <c r="U476" t="str">
        <f t="shared" ca="1" si="442"/>
        <v>-</v>
      </c>
      <c r="V476" t="str">
        <f t="shared" ca="1" si="443"/>
        <v>-</v>
      </c>
      <c r="W476" t="str">
        <f t="shared" ca="1" si="444"/>
        <v>-</v>
      </c>
      <c r="X476" t="str">
        <f t="shared" ca="1" si="445"/>
        <v>-</v>
      </c>
      <c r="Y476" t="str">
        <f t="shared" ca="1" si="446"/>
        <v>-</v>
      </c>
      <c r="Z476" t="str">
        <f t="shared" ca="1" si="447"/>
        <v>-</v>
      </c>
      <c r="AA476" t="str">
        <f t="shared" ca="1" si="448"/>
        <v>-</v>
      </c>
      <c r="AB476" t="str">
        <f t="shared" ca="1" si="449"/>
        <v>-</v>
      </c>
      <c r="AC476" t="str">
        <f t="shared" ca="1" si="450"/>
        <v>-</v>
      </c>
    </row>
    <row r="477" spans="1:29" x14ac:dyDescent="0.3">
      <c r="A477" t="s">
        <v>290</v>
      </c>
      <c r="B477" t="str">
        <f t="shared" ref="B477:D477" si="479">B373</f>
        <v>Appartments</v>
      </c>
      <c r="C477">
        <f t="shared" si="479"/>
        <v>8</v>
      </c>
      <c r="D477">
        <f t="shared" si="479"/>
        <v>3</v>
      </c>
      <c r="E477" t="e">
        <f>AVERAGEIFS('Region 8'!$W$2:$W$497,'Region 8'!$A$2:$A$497,E$1,'Region 8'!$X$2:$X$497,$D477,'Region 8'!$S$2:$S$497,$A477)</f>
        <v>#DIV/0!</v>
      </c>
      <c r="F477" t="e">
        <f>AVERAGEIFS('Region 8'!$W$2:$W$497,'Region 8'!$A$2:$A$497,F$1,'Region 8'!$X$2:$X$497,$D477,'Region 8'!$S$2:$S$497,$A477)</f>
        <v>#DIV/0!</v>
      </c>
      <c r="G477" t="e">
        <f>AVERAGEIFS('Region 8'!$W$2:$W$497,'Region 8'!$A$2:$A$497,G$1,'Region 8'!$X$2:$X$497,$D477,'Region 8'!$S$2:$S$497,$A477)</f>
        <v>#DIV/0!</v>
      </c>
      <c r="H477" t="e">
        <f>AVERAGEIFS('Region 8'!$W$2:$W$497,'Region 8'!$A$2:$A$497,H$1,'Region 8'!$X$2:$X$497,$D477,'Region 8'!$S$2:$S$497,$A477)</f>
        <v>#DIV/0!</v>
      </c>
      <c r="I477" t="e">
        <f>AVERAGEIFS('Region 8'!$W$2:$W$497,'Region 8'!$A$2:$A$497,I$1,'Region 8'!$X$2:$X$497,$D477,'Region 8'!$S$2:$S$497,$A477)</f>
        <v>#DIV/0!</v>
      </c>
      <c r="J477" t="e">
        <f>AVERAGEIFS('Region 8'!$W$2:$W$497,'Region 8'!$A$2:$A$497,J$1,'Region 8'!$X$2:$X$497,$D477,'Region 8'!$S$2:$S$497,$A477)</f>
        <v>#DIV/0!</v>
      </c>
      <c r="K477" t="e">
        <f>AVERAGEIFS('Region 8'!$W$2:$W$497,'Region 8'!$A$2:$A$497,K$1,'Region 8'!$X$2:$X$497,$D477,'Region 8'!$S$2:$S$497,$A477)</f>
        <v>#DIV/0!</v>
      </c>
      <c r="L477" t="e">
        <f>AVERAGEIFS('Region 8'!$W$2:$W$497,'Region 8'!$A$2:$A$497,L$1,'Region 8'!$X$2:$X$497,$D477,'Region 8'!$S$2:$S$497,$A477)</f>
        <v>#DIV/0!</v>
      </c>
      <c r="M477" t="e">
        <f>AVERAGEIFS('Region 8'!$W$2:$W$497,'Region 8'!$A$2:$A$497,M$1,'Region 8'!$X$2:$X$497,$D477,'Region 8'!$S$2:$S$497,$A477)</f>
        <v>#DIV/0!</v>
      </c>
      <c r="N477" t="e">
        <f>AVERAGEIFS('Region 8'!$W$2:$W$497,'Region 8'!$A$2:$A$497,N$1,'Region 8'!$X$2:$X$497,$D477,'Region 8'!$S$2:$S$497,$A477)</f>
        <v>#DIV/0!</v>
      </c>
      <c r="Q477" t="str">
        <f t="shared" si="459"/>
        <v>Aluminium</v>
      </c>
      <c r="R477" t="str">
        <f t="shared" si="460"/>
        <v>Appartments</v>
      </c>
      <c r="S477">
        <f t="shared" si="461"/>
        <v>8</v>
      </c>
      <c r="T477" t="str">
        <f t="shared" si="441"/>
        <v>-</v>
      </c>
      <c r="U477" t="str">
        <f t="shared" si="442"/>
        <v>-</v>
      </c>
      <c r="V477" t="str">
        <f t="shared" si="443"/>
        <v>-</v>
      </c>
      <c r="W477" t="str">
        <f t="shared" si="444"/>
        <v>-</v>
      </c>
      <c r="X477" t="str">
        <f t="shared" si="445"/>
        <v>-</v>
      </c>
      <c r="Y477" t="str">
        <f t="shared" si="446"/>
        <v>-</v>
      </c>
      <c r="Z477" t="str">
        <f t="shared" si="447"/>
        <v>-</v>
      </c>
      <c r="AA477" t="str">
        <f t="shared" si="448"/>
        <v>-</v>
      </c>
      <c r="AB477" t="str">
        <f t="shared" si="449"/>
        <v>-</v>
      </c>
      <c r="AC477" t="str">
        <f t="shared" si="450"/>
        <v>-</v>
      </c>
    </row>
    <row r="478" spans="1:29" x14ac:dyDescent="0.3">
      <c r="A478" t="s">
        <v>290</v>
      </c>
      <c r="B478" t="str">
        <f t="shared" ref="B478:D478" si="480">B374</f>
        <v>Appartments</v>
      </c>
      <c r="C478">
        <f t="shared" si="480"/>
        <v>9</v>
      </c>
      <c r="D478">
        <f t="shared" si="480"/>
        <v>3</v>
      </c>
      <c r="E478" t="e">
        <f ca="1">AVERAGEIFS('Region 9'!$W$2:$W$500,'Region 9'!$A$2:$A$500,E$1,'Region 9'!$X$2:$X$500,$D478,'Region 9'!$S$2:$S$500,$A478)</f>
        <v>#DIV/0!</v>
      </c>
      <c r="F478" t="e">
        <f ca="1">AVERAGEIFS('Region 9'!$W$2:$W$500,'Region 9'!$A$2:$A$500,F$1,'Region 9'!$X$2:$X$500,$D478,'Region 9'!$S$2:$S$500,$A478)</f>
        <v>#DIV/0!</v>
      </c>
      <c r="G478" t="e">
        <f ca="1">AVERAGEIFS('Region 9'!$W$2:$W$500,'Region 9'!$A$2:$A$500,G$1,'Region 9'!$X$2:$X$500,$D478,'Region 9'!$S$2:$S$500,$A478)</f>
        <v>#DIV/0!</v>
      </c>
      <c r="H478" t="e">
        <f ca="1">AVERAGEIFS('Region 9'!$W$2:$W$500,'Region 9'!$A$2:$A$500,H$1,'Region 9'!$X$2:$X$500,$D478,'Region 9'!$S$2:$S$500,$A478)</f>
        <v>#DIV/0!</v>
      </c>
      <c r="I478" t="e">
        <f ca="1">AVERAGEIFS('Region 9'!$W$2:$W$500,'Region 9'!$A$2:$A$500,I$1,'Region 9'!$X$2:$X$500,$D478,'Region 9'!$S$2:$S$500,$A478)</f>
        <v>#DIV/0!</v>
      </c>
      <c r="J478" t="e">
        <f ca="1">AVERAGEIFS('Region 9'!$W$2:$W$500,'Region 9'!$A$2:$A$500,J$1,'Region 9'!$X$2:$X$500,$D478,'Region 9'!$S$2:$S$500,$A478)</f>
        <v>#DIV/0!</v>
      </c>
      <c r="K478" t="e">
        <f ca="1">AVERAGEIFS('Region 9'!$W$2:$W$500,'Region 9'!$A$2:$A$500,K$1,'Region 9'!$X$2:$X$500,$D478,'Region 9'!$S$2:$S$500,$A478)</f>
        <v>#DIV/0!</v>
      </c>
      <c r="L478" t="e">
        <f ca="1">AVERAGEIFS('Region 9'!$W$2:$W$500,'Region 9'!$A$2:$A$500,L$1,'Region 9'!$X$2:$X$500,$D478,'Region 9'!$S$2:$S$500,$A478)</f>
        <v>#DIV/0!</v>
      </c>
      <c r="M478" t="e">
        <f ca="1">AVERAGEIFS('Region 9'!$W$2:$W$500,'Region 9'!$A$2:$A$500,M$1,'Region 9'!$X$2:$X$500,$D478,'Region 9'!$S$2:$S$500,$A478)</f>
        <v>#DIV/0!</v>
      </c>
      <c r="N478" t="e">
        <f ca="1">AVERAGEIFS('Region 9'!$W$2:$W$500,'Region 9'!$A$2:$A$500,N$1,'Region 9'!$X$2:$X$500,$D478,'Region 9'!$S$2:$S$500,$A478)</f>
        <v>#DIV/0!</v>
      </c>
      <c r="Q478" t="str">
        <f t="shared" si="459"/>
        <v>Aluminium</v>
      </c>
      <c r="R478" t="str">
        <f t="shared" si="460"/>
        <v>Appartments</v>
      </c>
      <c r="S478">
        <f t="shared" si="461"/>
        <v>9</v>
      </c>
      <c r="T478" t="str">
        <f t="shared" ca="1" si="441"/>
        <v>-</v>
      </c>
      <c r="U478" t="str">
        <f t="shared" ca="1" si="442"/>
        <v>-</v>
      </c>
      <c r="V478" t="str">
        <f t="shared" ca="1" si="443"/>
        <v>-</v>
      </c>
      <c r="W478" t="str">
        <f t="shared" ca="1" si="444"/>
        <v>-</v>
      </c>
      <c r="X478" t="str">
        <f t="shared" ca="1" si="445"/>
        <v>-</v>
      </c>
      <c r="Y478" t="str">
        <f t="shared" ca="1" si="446"/>
        <v>-</v>
      </c>
      <c r="Z478" t="str">
        <f t="shared" ca="1" si="447"/>
        <v>-</v>
      </c>
      <c r="AA478" t="str">
        <f t="shared" ca="1" si="448"/>
        <v>-</v>
      </c>
      <c r="AB478" t="str">
        <f t="shared" ca="1" si="449"/>
        <v>-</v>
      </c>
      <c r="AC478" t="str">
        <f t="shared" ca="1" si="450"/>
        <v>-</v>
      </c>
    </row>
    <row r="479" spans="1:29" x14ac:dyDescent="0.3">
      <c r="A479" t="s">
        <v>290</v>
      </c>
      <c r="B479" t="str">
        <f t="shared" ref="B479:D479" si="481">B375</f>
        <v>Appartments</v>
      </c>
      <c r="C479">
        <f t="shared" si="481"/>
        <v>10</v>
      </c>
      <c r="D479">
        <f t="shared" si="481"/>
        <v>3</v>
      </c>
      <c r="E479" t="e">
        <f>AVERAGEIFS('Region 10'!$W$2:$W$500,'Region 10'!$A$2:$A$500,E$1,'Region 10'!$X$2:$X$500,$D479,'Region 10'!$S$2:$S$500,$A479)</f>
        <v>#DIV/0!</v>
      </c>
      <c r="F479" t="e">
        <f>AVERAGEIFS('Region 10'!$W$2:$W$500,'Region 10'!$A$2:$A$500,F$1,'Region 10'!$X$2:$X$500,$D479,'Region 10'!$S$2:$S$500,$A479)</f>
        <v>#DIV/0!</v>
      </c>
      <c r="G479" t="e">
        <f>AVERAGEIFS('Region 10'!$W$2:$W$500,'Region 10'!$A$2:$A$500,G$1,'Region 10'!$X$2:$X$500,$D479,'Region 10'!$S$2:$S$500,$A479)</f>
        <v>#DIV/0!</v>
      </c>
      <c r="H479" t="e">
        <f>AVERAGEIFS('Region 10'!$W$2:$W$500,'Region 10'!$A$2:$A$500,H$1,'Region 10'!$X$2:$X$500,$D479,'Region 10'!$S$2:$S$500,$A479)</f>
        <v>#DIV/0!</v>
      </c>
      <c r="I479" t="e">
        <f>AVERAGEIFS('Region 10'!$W$2:$W$500,'Region 10'!$A$2:$A$500,I$1,'Region 10'!$X$2:$X$500,$D479,'Region 10'!$S$2:$S$500,$A479)</f>
        <v>#DIV/0!</v>
      </c>
      <c r="J479" t="e">
        <f>AVERAGEIFS('Region 10'!$W$2:$W$500,'Region 10'!$A$2:$A$500,J$1,'Region 10'!$X$2:$X$500,$D479,'Region 10'!$S$2:$S$500,$A479)</f>
        <v>#DIV/0!</v>
      </c>
      <c r="K479" t="e">
        <f>AVERAGEIFS('Region 10'!$W$2:$W$500,'Region 10'!$A$2:$A$500,K$1,'Region 10'!$X$2:$X$500,$D479,'Region 10'!$S$2:$S$500,$A479)</f>
        <v>#DIV/0!</v>
      </c>
      <c r="L479" t="e">
        <f>AVERAGEIFS('Region 10'!$W$2:$W$500,'Region 10'!$A$2:$A$500,L$1,'Region 10'!$X$2:$X$500,$D479,'Region 10'!$S$2:$S$500,$A479)</f>
        <v>#DIV/0!</v>
      </c>
      <c r="M479" t="e">
        <f>AVERAGEIFS('Region 10'!$W$2:$W$500,'Region 10'!$A$2:$A$500,M$1,'Region 10'!$X$2:$X$500,$D479,'Region 10'!$S$2:$S$500,$A479)</f>
        <v>#DIV/0!</v>
      </c>
      <c r="N479" t="e">
        <f>AVERAGEIFS('Region 10'!$W$2:$W$500,'Region 10'!$A$2:$A$500,N$1,'Region 10'!$X$2:$X$500,$D479,'Region 10'!$S$2:$S$500,$A479)</f>
        <v>#DIV/0!</v>
      </c>
      <c r="Q479" t="str">
        <f t="shared" si="459"/>
        <v>Aluminium</v>
      </c>
      <c r="R479" t="str">
        <f t="shared" si="460"/>
        <v>Appartments</v>
      </c>
      <c r="S479">
        <f t="shared" si="461"/>
        <v>10</v>
      </c>
      <c r="T479" t="str">
        <f t="shared" si="441"/>
        <v>-</v>
      </c>
      <c r="U479" t="str">
        <f t="shared" si="442"/>
        <v>-</v>
      </c>
      <c r="V479" t="str">
        <f t="shared" si="443"/>
        <v>-</v>
      </c>
      <c r="W479" t="str">
        <f t="shared" si="444"/>
        <v>-</v>
      </c>
      <c r="X479" t="str">
        <f t="shared" si="445"/>
        <v>-</v>
      </c>
      <c r="Y479" t="str">
        <f t="shared" si="446"/>
        <v>-</v>
      </c>
      <c r="Z479" t="str">
        <f t="shared" si="447"/>
        <v>-</v>
      </c>
      <c r="AA479" t="str">
        <f t="shared" si="448"/>
        <v>-</v>
      </c>
      <c r="AB479" t="str">
        <f t="shared" si="449"/>
        <v>-</v>
      </c>
      <c r="AC479" t="str">
        <f t="shared" si="450"/>
        <v>-</v>
      </c>
    </row>
    <row r="480" spans="1:29" x14ac:dyDescent="0.3">
      <c r="A480" t="s">
        <v>290</v>
      </c>
      <c r="B480" t="str">
        <f t="shared" ref="B480:D480" si="482">B376</f>
        <v>Appartments</v>
      </c>
      <c r="C480">
        <f t="shared" si="482"/>
        <v>11</v>
      </c>
      <c r="D480">
        <f t="shared" si="482"/>
        <v>3</v>
      </c>
      <c r="E480" t="e">
        <f>AVERAGEIFS('Region 11'!$W$2:$W$391,'Region 11'!$A$2:$A$391,E$1,'Region 11'!$X$2:$X$391,$D480,'Region 11'!$S$2:$S$391,$A480)</f>
        <v>#DIV/0!</v>
      </c>
      <c r="F480" t="e">
        <f>AVERAGEIFS('Region 11'!$W$2:$W$391,'Region 11'!$A$2:$A$391,F$1,'Region 11'!$X$2:$X$391,$D480,'Region 11'!$S$2:$S$391,$A480)</f>
        <v>#DIV/0!</v>
      </c>
      <c r="G480" t="e">
        <f>AVERAGEIFS('Region 11'!$W$2:$W$391,'Region 11'!$A$2:$A$391,G$1,'Region 11'!$X$2:$X$391,$D480,'Region 11'!$S$2:$S$391,$A480)</f>
        <v>#DIV/0!</v>
      </c>
      <c r="H480" t="e">
        <f>AVERAGEIFS('Region 11'!$W$2:$W$391,'Region 11'!$A$2:$A$391,H$1,'Region 11'!$X$2:$X$391,$D480,'Region 11'!$S$2:$S$391,$A480)</f>
        <v>#DIV/0!</v>
      </c>
      <c r="I480" t="e">
        <f>AVERAGEIFS('Region 11'!$W$2:$W$391,'Region 11'!$A$2:$A$391,I$1,'Region 11'!$X$2:$X$391,$D480,'Region 11'!$S$2:$S$391,$A480)</f>
        <v>#DIV/0!</v>
      </c>
      <c r="J480" t="e">
        <f>AVERAGEIFS('Region 11'!$W$2:$W$391,'Region 11'!$A$2:$A$391,J$1,'Region 11'!$X$2:$X$391,$D480,'Region 11'!$S$2:$S$391,$A480)</f>
        <v>#DIV/0!</v>
      </c>
      <c r="K480" t="e">
        <f>AVERAGEIFS('Region 11'!$W$2:$W$391,'Region 11'!$A$2:$A$391,K$1,'Region 11'!$X$2:$X$391,$D480,'Region 11'!$S$2:$S$391,$A480)</f>
        <v>#DIV/0!</v>
      </c>
      <c r="L480" t="e">
        <f>AVERAGEIFS('Region 11'!$W$2:$W$391,'Region 11'!$A$2:$A$391,L$1,'Region 11'!$X$2:$X$391,$D480,'Region 11'!$S$2:$S$391,$A480)</f>
        <v>#DIV/0!</v>
      </c>
      <c r="M480">
        <f>AVERAGEIFS('Region 11'!$W$2:$W$391,'Region 11'!$A$2:$A$391,M$1,'Region 11'!$X$2:$X$391,$D480,'Region 11'!$S$2:$S$391,$A480)</f>
        <v>0.46362440546153844</v>
      </c>
      <c r="N480" t="e">
        <f>AVERAGEIFS('Region 11'!$W$2:$W$391,'Region 11'!$A$2:$A$391,N$1,'Region 11'!$X$2:$X$391,$D480,'Region 11'!$S$2:$S$391,$A480)</f>
        <v>#DIV/0!</v>
      </c>
      <c r="Q480" t="str">
        <f t="shared" si="459"/>
        <v>Aluminium</v>
      </c>
      <c r="R480" t="str">
        <f t="shared" si="460"/>
        <v>Appartments</v>
      </c>
      <c r="S480">
        <f t="shared" si="461"/>
        <v>11</v>
      </c>
      <c r="T480" t="str">
        <f t="shared" si="441"/>
        <v>-</v>
      </c>
      <c r="U480" t="str">
        <f t="shared" si="442"/>
        <v>-</v>
      </c>
      <c r="V480" t="str">
        <f t="shared" si="443"/>
        <v>-</v>
      </c>
      <c r="W480" t="str">
        <f t="shared" si="444"/>
        <v>-</v>
      </c>
      <c r="X480" t="str">
        <f t="shared" si="445"/>
        <v>-</v>
      </c>
      <c r="Y480" t="str">
        <f t="shared" si="446"/>
        <v>-</v>
      </c>
      <c r="Z480" t="str">
        <f t="shared" si="447"/>
        <v>-</v>
      </c>
      <c r="AA480" t="str">
        <f t="shared" si="448"/>
        <v>-</v>
      </c>
      <c r="AB480">
        <f t="shared" si="449"/>
        <v>0.46362440546153844</v>
      </c>
      <c r="AC480" t="str">
        <f t="shared" si="450"/>
        <v>-</v>
      </c>
    </row>
    <row r="481" spans="1:29" x14ac:dyDescent="0.3">
      <c r="A481" t="s">
        <v>290</v>
      </c>
      <c r="B481" t="str">
        <f t="shared" ref="B481:D481" si="483">B377</f>
        <v>Appartments</v>
      </c>
      <c r="C481">
        <f t="shared" si="483"/>
        <v>12</v>
      </c>
      <c r="D481">
        <f t="shared" si="483"/>
        <v>3</v>
      </c>
      <c r="E481" t="e">
        <f>AVERAGEIFS('Region 12'!$W$2:$W$459,'Region 12'!$A$2:$A$459,E$1,'Region 12'!$X$2:$X$459,$D481,'Region 12'!$S$2:$S$459,$A481)</f>
        <v>#DIV/0!</v>
      </c>
      <c r="F481" t="e">
        <f>AVERAGEIFS('Region 12'!$W$2:$W$459,'Region 12'!$A$2:$A$459,F$1,'Region 12'!$X$2:$X$459,$D481,'Region 12'!$S$2:$S$459,$A481)</f>
        <v>#DIV/0!</v>
      </c>
      <c r="G481" t="e">
        <f>AVERAGEIFS('Region 12'!$W$2:$W$459,'Region 12'!$A$2:$A$459,G$1,'Region 12'!$X$2:$X$459,$D481,'Region 12'!$S$2:$S$459,$A481)</f>
        <v>#DIV/0!</v>
      </c>
      <c r="H481" t="e">
        <f>AVERAGEIFS('Region 12'!$W$2:$W$459,'Region 12'!$A$2:$A$459,H$1,'Region 12'!$X$2:$X$459,$D481,'Region 12'!$S$2:$S$459,$A481)</f>
        <v>#DIV/0!</v>
      </c>
      <c r="I481" t="e">
        <f>AVERAGEIFS('Region 12'!$W$2:$W$459,'Region 12'!$A$2:$A$459,I$1,'Region 12'!$X$2:$X$459,$D481,'Region 12'!$S$2:$S$459,$A481)</f>
        <v>#DIV/0!</v>
      </c>
      <c r="J481" t="e">
        <f>AVERAGEIFS('Region 12'!$W$2:$W$459,'Region 12'!$A$2:$A$459,J$1,'Region 12'!$X$2:$X$459,$D481,'Region 12'!$S$2:$S$459,$A481)</f>
        <v>#DIV/0!</v>
      </c>
      <c r="K481" t="e">
        <f>AVERAGEIFS('Region 12'!$W$2:$W$459,'Region 12'!$A$2:$A$459,K$1,'Region 12'!$X$2:$X$459,$D481,'Region 12'!$S$2:$S$459,$A481)</f>
        <v>#DIV/0!</v>
      </c>
      <c r="L481" t="e">
        <f>AVERAGEIFS('Region 12'!$W$2:$W$459,'Region 12'!$A$2:$A$459,L$1,'Region 12'!$X$2:$X$459,$D481,'Region 12'!$S$2:$S$459,$A481)</f>
        <v>#DIV/0!</v>
      </c>
      <c r="M481" t="e">
        <f>AVERAGEIFS('Region 12'!$W$2:$W$459,'Region 12'!$A$2:$A$459,M$1,'Region 12'!$X$2:$X$459,$D481,'Region 12'!$S$2:$S$459,$A481)</f>
        <v>#DIV/0!</v>
      </c>
      <c r="N481" t="e">
        <f>AVERAGEIFS('Region 12'!$W$2:$W$459,'Region 12'!$A$2:$A$459,N$1,'Region 12'!$X$2:$X$459,$D481,'Region 12'!$S$2:$S$459,$A481)</f>
        <v>#DIV/0!</v>
      </c>
      <c r="Q481" t="str">
        <f t="shared" si="459"/>
        <v>Aluminium</v>
      </c>
      <c r="R481" t="str">
        <f t="shared" si="460"/>
        <v>Appartments</v>
      </c>
      <c r="S481">
        <f t="shared" si="461"/>
        <v>12</v>
      </c>
      <c r="T481" t="str">
        <f t="shared" si="441"/>
        <v>-</v>
      </c>
      <c r="U481" t="str">
        <f t="shared" si="442"/>
        <v>-</v>
      </c>
      <c r="V481" t="str">
        <f t="shared" si="443"/>
        <v>-</v>
      </c>
      <c r="W481" t="str">
        <f t="shared" si="444"/>
        <v>-</v>
      </c>
      <c r="X481" t="str">
        <f t="shared" si="445"/>
        <v>-</v>
      </c>
      <c r="Y481" t="str">
        <f t="shared" si="446"/>
        <v>-</v>
      </c>
      <c r="Z481" t="str">
        <f t="shared" si="447"/>
        <v>-</v>
      </c>
      <c r="AA481" t="str">
        <f t="shared" si="448"/>
        <v>-</v>
      </c>
      <c r="AB481" t="str">
        <f t="shared" si="449"/>
        <v>-</v>
      </c>
      <c r="AC481" t="str">
        <f t="shared" si="450"/>
        <v>-</v>
      </c>
    </row>
    <row r="482" spans="1:29" x14ac:dyDescent="0.3">
      <c r="A482" t="s">
        <v>290</v>
      </c>
      <c r="B482" t="str">
        <f t="shared" ref="B482:D482" si="484">B378</f>
        <v>Appartments</v>
      </c>
      <c r="C482">
        <f t="shared" si="484"/>
        <v>13</v>
      </c>
      <c r="D482">
        <f t="shared" si="484"/>
        <v>3</v>
      </c>
      <c r="E482" t="e">
        <f>AVERAGEIFS('Region 13'!$W$2:$W$500,'Region 13'!$A$2:$A$500,E$1,'Region 13'!$X$2:$X$500,$D482,'Region 13'!$S$2:$S$500,$A482)</f>
        <v>#DIV/0!</v>
      </c>
      <c r="F482" t="e">
        <f>AVERAGEIFS('Region 13'!$W$2:$W$500,'Region 13'!$A$2:$A$500,F$1,'Region 13'!$X$2:$X$500,$D482,'Region 13'!$S$2:$S$500,$A482)</f>
        <v>#DIV/0!</v>
      </c>
      <c r="G482" t="e">
        <f>AVERAGEIFS('Region 13'!$W$2:$W$500,'Region 13'!$A$2:$A$500,G$1,'Region 13'!$X$2:$X$500,$D482,'Region 13'!$S$2:$S$500,$A482)</f>
        <v>#DIV/0!</v>
      </c>
      <c r="H482" t="e">
        <f>AVERAGEIFS('Region 13'!$W$2:$W$500,'Region 13'!$A$2:$A$500,H$1,'Region 13'!$X$2:$X$500,$D482,'Region 13'!$S$2:$S$500,$A482)</f>
        <v>#DIV/0!</v>
      </c>
      <c r="I482" t="e">
        <f>AVERAGEIFS('Region 13'!$W$2:$W$500,'Region 13'!$A$2:$A$500,I$1,'Region 13'!$X$2:$X$500,$D482,'Region 13'!$S$2:$S$500,$A482)</f>
        <v>#DIV/0!</v>
      </c>
      <c r="J482" t="e">
        <f>AVERAGEIFS('Region 13'!$W$2:$W$500,'Region 13'!$A$2:$A$500,J$1,'Region 13'!$X$2:$X$500,$D482,'Region 13'!$S$2:$S$500,$A482)</f>
        <v>#DIV/0!</v>
      </c>
      <c r="K482" t="e">
        <f>AVERAGEIFS('Region 13'!$W$2:$W$500,'Region 13'!$A$2:$A$500,K$1,'Region 13'!$X$2:$X$500,$D482,'Region 13'!$S$2:$S$500,$A482)</f>
        <v>#DIV/0!</v>
      </c>
      <c r="L482" t="e">
        <f>AVERAGEIFS('Region 13'!$W$2:$W$500,'Region 13'!$A$2:$A$500,L$1,'Region 13'!$X$2:$X$500,$D482,'Region 13'!$S$2:$S$500,$A482)</f>
        <v>#DIV/0!</v>
      </c>
      <c r="M482" t="e">
        <f>AVERAGEIFS('Region 13'!$W$2:$W$500,'Region 13'!$A$2:$A$500,M$1,'Region 13'!$X$2:$X$500,$D482,'Region 13'!$S$2:$S$500,$A482)</f>
        <v>#DIV/0!</v>
      </c>
      <c r="N482" t="e">
        <f>AVERAGEIFS('Region 13'!$W$2:$W$500,'Region 13'!$A$2:$A$500,N$1,'Region 13'!$X$2:$X$500,$D482,'Region 13'!$S$2:$S$500,$A482)</f>
        <v>#DIV/0!</v>
      </c>
      <c r="Q482" t="str">
        <f t="shared" si="459"/>
        <v>Aluminium</v>
      </c>
      <c r="R482" t="str">
        <f t="shared" si="460"/>
        <v>Appartments</v>
      </c>
      <c r="S482">
        <f t="shared" si="461"/>
        <v>13</v>
      </c>
      <c r="T482" t="str">
        <f t="shared" si="441"/>
        <v>-</v>
      </c>
      <c r="U482" t="str">
        <f t="shared" si="442"/>
        <v>-</v>
      </c>
      <c r="V482" t="str">
        <f t="shared" si="443"/>
        <v>-</v>
      </c>
      <c r="W482" t="str">
        <f t="shared" si="444"/>
        <v>-</v>
      </c>
      <c r="X482" t="str">
        <f t="shared" si="445"/>
        <v>-</v>
      </c>
      <c r="Y482" t="str">
        <f t="shared" si="446"/>
        <v>-</v>
      </c>
      <c r="Z482" t="str">
        <f t="shared" si="447"/>
        <v>-</v>
      </c>
      <c r="AA482" t="str">
        <f t="shared" si="448"/>
        <v>-</v>
      </c>
      <c r="AB482" t="str">
        <f t="shared" si="449"/>
        <v>-</v>
      </c>
      <c r="AC482" t="str">
        <f t="shared" si="450"/>
        <v>-</v>
      </c>
    </row>
    <row r="483" spans="1:29" x14ac:dyDescent="0.3">
      <c r="A483" t="s">
        <v>290</v>
      </c>
      <c r="B483" t="str">
        <f t="shared" ref="B483:D483" si="485">B379</f>
        <v>Appartments</v>
      </c>
      <c r="C483">
        <f t="shared" si="485"/>
        <v>14</v>
      </c>
      <c r="D483">
        <f t="shared" si="485"/>
        <v>3</v>
      </c>
      <c r="E483" t="e">
        <f ca="1">AVERAGEIFS('Region 14'!$W$2:$W$500,'Region 14'!$A$2:$A$500,E$1,'Region 14'!$X$2:$X$500,$D483,'Region 14'!$S$2:$S$500,$A483)</f>
        <v>#DIV/0!</v>
      </c>
      <c r="F483" t="e">
        <f ca="1">AVERAGEIFS('Region 14'!$W$2:$W$500,'Region 14'!$A$2:$A$500,F$1,'Region 14'!$X$2:$X$500,$D483,'Region 14'!$S$2:$S$500,$A483)</f>
        <v>#DIV/0!</v>
      </c>
      <c r="G483" t="e">
        <f ca="1">AVERAGEIFS('Region 14'!$W$2:$W$500,'Region 14'!$A$2:$A$500,G$1,'Region 14'!$X$2:$X$500,$D483,'Region 14'!$S$2:$S$500,$A483)</f>
        <v>#DIV/0!</v>
      </c>
      <c r="H483" t="e">
        <f ca="1">AVERAGEIFS('Region 14'!$W$2:$W$500,'Region 14'!$A$2:$A$500,H$1,'Region 14'!$X$2:$X$500,$D483,'Region 14'!$S$2:$S$500,$A483)</f>
        <v>#DIV/0!</v>
      </c>
      <c r="I483" t="e">
        <f ca="1">AVERAGEIFS('Region 14'!$W$2:$W$500,'Region 14'!$A$2:$A$500,I$1,'Region 14'!$X$2:$X$500,$D483,'Region 14'!$S$2:$S$500,$A483)</f>
        <v>#DIV/0!</v>
      </c>
      <c r="J483" t="e">
        <f ca="1">AVERAGEIFS('Region 14'!$W$2:$W$500,'Region 14'!$A$2:$A$500,J$1,'Region 14'!$X$2:$X$500,$D483,'Region 14'!$S$2:$S$500,$A483)</f>
        <v>#DIV/0!</v>
      </c>
      <c r="K483" t="e">
        <f ca="1">AVERAGEIFS('Region 14'!$W$2:$W$500,'Region 14'!$A$2:$A$500,K$1,'Region 14'!$X$2:$X$500,$D483,'Region 14'!$S$2:$S$500,$A483)</f>
        <v>#DIV/0!</v>
      </c>
      <c r="L483" t="e">
        <f ca="1">AVERAGEIFS('Region 14'!$W$2:$W$500,'Region 14'!$A$2:$A$500,L$1,'Region 14'!$X$2:$X$500,$D483,'Region 14'!$S$2:$S$500,$A483)</f>
        <v>#DIV/0!</v>
      </c>
      <c r="M483" t="e">
        <f ca="1">AVERAGEIFS('Region 14'!$W$2:$W$500,'Region 14'!$A$2:$A$500,M$1,'Region 14'!$X$2:$X$500,$D483,'Region 14'!$S$2:$S$500,$A483)</f>
        <v>#DIV/0!</v>
      </c>
      <c r="N483" t="e">
        <f ca="1">AVERAGEIFS('Region 14'!$W$2:$W$500,'Region 14'!$A$2:$A$500,N$1,'Region 14'!$X$2:$X$500,$D483,'Region 14'!$S$2:$S$500,$A483)</f>
        <v>#DIV/0!</v>
      </c>
      <c r="Q483" t="str">
        <f t="shared" si="459"/>
        <v>Aluminium</v>
      </c>
      <c r="R483" t="str">
        <f t="shared" si="460"/>
        <v>Appartments</v>
      </c>
      <c r="S483">
        <f t="shared" si="461"/>
        <v>14</v>
      </c>
      <c r="T483" t="str">
        <f t="shared" ca="1" si="441"/>
        <v>-</v>
      </c>
      <c r="U483" t="str">
        <f t="shared" ca="1" si="442"/>
        <v>-</v>
      </c>
      <c r="V483" t="str">
        <f t="shared" ca="1" si="443"/>
        <v>-</v>
      </c>
      <c r="W483" t="str">
        <f t="shared" ca="1" si="444"/>
        <v>-</v>
      </c>
      <c r="X483" t="str">
        <f t="shared" ca="1" si="445"/>
        <v>-</v>
      </c>
      <c r="Y483" t="str">
        <f t="shared" ca="1" si="446"/>
        <v>-</v>
      </c>
      <c r="Z483" t="str">
        <f t="shared" ca="1" si="447"/>
        <v>-</v>
      </c>
      <c r="AA483" t="str">
        <f t="shared" ca="1" si="448"/>
        <v>-</v>
      </c>
      <c r="AB483" t="str">
        <f t="shared" ca="1" si="449"/>
        <v>-</v>
      </c>
      <c r="AC483" t="str">
        <f t="shared" ca="1" si="450"/>
        <v>-</v>
      </c>
    </row>
    <row r="484" spans="1:29" x14ac:dyDescent="0.3">
      <c r="A484" t="s">
        <v>290</v>
      </c>
      <c r="B484" t="str">
        <f t="shared" ref="B484:D484" si="486">B380</f>
        <v>Appartments</v>
      </c>
      <c r="C484">
        <f t="shared" si="486"/>
        <v>15</v>
      </c>
      <c r="D484">
        <f t="shared" si="486"/>
        <v>3</v>
      </c>
      <c r="E484" t="e">
        <f ca="1">AVERAGEIFS('Region 15'!$W$2:$W$500,'Region 15'!$A$2:$A$500,E$1,'Region 15'!$X$2:$X$500,$D484,'Region 15'!$S$2:$S$500,$A484)</f>
        <v>#DIV/0!</v>
      </c>
      <c r="F484" t="e">
        <f ca="1">AVERAGEIFS('Region 15'!$W$2:$W$500,'Region 15'!$A$2:$A$500,F$1,'Region 15'!$X$2:$X$500,$D484,'Region 15'!$S$2:$S$500,$A484)</f>
        <v>#DIV/0!</v>
      </c>
      <c r="G484" t="e">
        <f ca="1">AVERAGEIFS('Region 15'!$W$2:$W$500,'Region 15'!$A$2:$A$500,G$1,'Region 15'!$X$2:$X$500,$D484,'Region 15'!$S$2:$S$500,$A484)</f>
        <v>#DIV/0!</v>
      </c>
      <c r="H484" t="e">
        <f ca="1">AVERAGEIFS('Region 15'!$W$2:$W$500,'Region 15'!$A$2:$A$500,H$1,'Region 15'!$X$2:$X$500,$D484,'Region 15'!$S$2:$S$500,$A484)</f>
        <v>#DIV/0!</v>
      </c>
      <c r="I484" t="e">
        <f ca="1">AVERAGEIFS('Region 15'!$W$2:$W$500,'Region 15'!$A$2:$A$500,I$1,'Region 15'!$X$2:$X$500,$D484,'Region 15'!$S$2:$S$500,$A484)</f>
        <v>#DIV/0!</v>
      </c>
      <c r="J484" t="e">
        <f ca="1">AVERAGEIFS('Region 15'!$W$2:$W$500,'Region 15'!$A$2:$A$500,J$1,'Region 15'!$X$2:$X$500,$D484,'Region 15'!$S$2:$S$500,$A484)</f>
        <v>#DIV/0!</v>
      </c>
      <c r="K484" t="e">
        <f ca="1">AVERAGEIFS('Region 15'!$W$2:$W$500,'Region 15'!$A$2:$A$500,K$1,'Region 15'!$X$2:$X$500,$D484,'Region 15'!$S$2:$S$500,$A484)</f>
        <v>#DIV/0!</v>
      </c>
      <c r="L484" t="e">
        <f ca="1">AVERAGEIFS('Region 15'!$W$2:$W$500,'Region 15'!$A$2:$A$500,L$1,'Region 15'!$X$2:$X$500,$D484,'Region 15'!$S$2:$S$500,$A484)</f>
        <v>#DIV/0!</v>
      </c>
      <c r="M484" t="e">
        <f ca="1">AVERAGEIFS('Region 15'!$W$2:$W$500,'Region 15'!$A$2:$A$500,M$1,'Region 15'!$X$2:$X$500,$D484,'Region 15'!$S$2:$S$500,$A484)</f>
        <v>#DIV/0!</v>
      </c>
      <c r="N484" t="e">
        <f ca="1">AVERAGEIFS('Region 15'!$W$2:$W$500,'Region 15'!$A$2:$A$500,N$1,'Region 15'!$X$2:$X$500,$D484,'Region 15'!$S$2:$S$500,$A484)</f>
        <v>#DIV/0!</v>
      </c>
      <c r="Q484" t="str">
        <f t="shared" si="459"/>
        <v>Aluminium</v>
      </c>
      <c r="R484" t="str">
        <f t="shared" si="460"/>
        <v>Appartments</v>
      </c>
      <c r="S484">
        <f t="shared" si="461"/>
        <v>15</v>
      </c>
      <c r="T484" t="str">
        <f t="shared" ca="1" si="441"/>
        <v>-</v>
      </c>
      <c r="U484" t="str">
        <f t="shared" ca="1" si="442"/>
        <v>-</v>
      </c>
      <c r="V484" t="str">
        <f t="shared" ca="1" si="443"/>
        <v>-</v>
      </c>
      <c r="W484" t="str">
        <f t="shared" ca="1" si="444"/>
        <v>-</v>
      </c>
      <c r="X484" t="str">
        <f t="shared" ca="1" si="445"/>
        <v>-</v>
      </c>
      <c r="Y484" t="str">
        <f t="shared" ca="1" si="446"/>
        <v>-</v>
      </c>
      <c r="Z484" t="str">
        <f t="shared" ca="1" si="447"/>
        <v>-</v>
      </c>
      <c r="AA484" t="str">
        <f t="shared" ca="1" si="448"/>
        <v>-</v>
      </c>
      <c r="AB484" t="str">
        <f t="shared" ca="1" si="449"/>
        <v>-</v>
      </c>
      <c r="AC484" t="str">
        <f t="shared" ca="1" si="450"/>
        <v>-</v>
      </c>
    </row>
    <row r="485" spans="1:29" x14ac:dyDescent="0.3">
      <c r="A485" t="s">
        <v>290</v>
      </c>
      <c r="B485" t="str">
        <f t="shared" ref="B485:D485" si="487">B381</f>
        <v>Appartments</v>
      </c>
      <c r="C485">
        <f t="shared" si="487"/>
        <v>16</v>
      </c>
      <c r="D485">
        <f t="shared" si="487"/>
        <v>3</v>
      </c>
      <c r="E485" t="e">
        <f ca="1">AVERAGEIFS('Region 16'!$W$2:$W$500,'Region 16'!$A$2:$A$500,E$1,'Region 16'!$X$2:$X$500,$D485,'Region 16'!$S$2:$S$500,$A485)</f>
        <v>#DIV/0!</v>
      </c>
      <c r="F485" t="e">
        <f ca="1">AVERAGEIFS('Region 16'!$W$2:$W$500,'Region 16'!$A$2:$A$500,F$1,'Region 16'!$X$2:$X$500,$D485,'Region 16'!$S$2:$S$500,$A485)</f>
        <v>#DIV/0!</v>
      </c>
      <c r="G485" t="e">
        <f ca="1">AVERAGEIFS('Region 16'!$W$2:$W$500,'Region 16'!$A$2:$A$500,G$1,'Region 16'!$X$2:$X$500,$D485,'Region 16'!$S$2:$S$500,$A485)</f>
        <v>#DIV/0!</v>
      </c>
      <c r="H485" t="e">
        <f ca="1">AVERAGEIFS('Region 16'!$W$2:$W$500,'Region 16'!$A$2:$A$500,H$1,'Region 16'!$X$2:$X$500,$D485,'Region 16'!$S$2:$S$500,$A485)</f>
        <v>#DIV/0!</v>
      </c>
      <c r="I485" t="e">
        <f ca="1">AVERAGEIFS('Region 16'!$W$2:$W$500,'Region 16'!$A$2:$A$500,I$1,'Region 16'!$X$2:$X$500,$D485,'Region 16'!$S$2:$S$500,$A485)</f>
        <v>#DIV/0!</v>
      </c>
      <c r="J485" t="e">
        <f ca="1">AVERAGEIFS('Region 16'!$W$2:$W$500,'Region 16'!$A$2:$A$500,J$1,'Region 16'!$X$2:$X$500,$D485,'Region 16'!$S$2:$S$500,$A485)</f>
        <v>#DIV/0!</v>
      </c>
      <c r="K485" t="e">
        <f ca="1">AVERAGEIFS('Region 16'!$W$2:$W$500,'Region 16'!$A$2:$A$500,K$1,'Region 16'!$X$2:$X$500,$D485,'Region 16'!$S$2:$S$500,$A485)</f>
        <v>#DIV/0!</v>
      </c>
      <c r="L485" t="e">
        <f ca="1">AVERAGEIFS('Region 16'!$W$2:$W$500,'Region 16'!$A$2:$A$500,L$1,'Region 16'!$X$2:$X$500,$D485,'Region 16'!$S$2:$S$500,$A485)</f>
        <v>#DIV/0!</v>
      </c>
      <c r="M485" t="e">
        <f ca="1">AVERAGEIFS('Region 16'!$W$2:$W$500,'Region 16'!$A$2:$A$500,M$1,'Region 16'!$X$2:$X$500,$D485,'Region 16'!$S$2:$S$500,$A485)</f>
        <v>#DIV/0!</v>
      </c>
      <c r="N485" t="e">
        <f ca="1">AVERAGEIFS('Region 16'!$W$2:$W$500,'Region 16'!$A$2:$A$500,N$1,'Region 16'!$X$2:$X$500,$D485,'Region 16'!$S$2:$S$500,$A485)</f>
        <v>#DIV/0!</v>
      </c>
      <c r="Q485" t="str">
        <f t="shared" si="459"/>
        <v>Aluminium</v>
      </c>
      <c r="R485" t="str">
        <f t="shared" si="460"/>
        <v>Appartments</v>
      </c>
      <c r="S485">
        <f t="shared" si="461"/>
        <v>16</v>
      </c>
      <c r="T485" t="str">
        <f t="shared" ca="1" si="441"/>
        <v>-</v>
      </c>
      <c r="U485" t="str">
        <f t="shared" ca="1" si="442"/>
        <v>-</v>
      </c>
      <c r="V485" t="str">
        <f t="shared" ca="1" si="443"/>
        <v>-</v>
      </c>
      <c r="W485" t="str">
        <f t="shared" ca="1" si="444"/>
        <v>-</v>
      </c>
      <c r="X485" t="str">
        <f t="shared" ca="1" si="445"/>
        <v>-</v>
      </c>
      <c r="Y485" t="str">
        <f t="shared" ca="1" si="446"/>
        <v>-</v>
      </c>
      <c r="Z485" t="str">
        <f t="shared" ca="1" si="447"/>
        <v>-</v>
      </c>
      <c r="AA485" t="str">
        <f t="shared" ca="1" si="448"/>
        <v>-</v>
      </c>
      <c r="AB485" t="str">
        <f t="shared" ca="1" si="449"/>
        <v>-</v>
      </c>
      <c r="AC485" t="str">
        <f t="shared" ca="1" si="450"/>
        <v>-</v>
      </c>
    </row>
    <row r="486" spans="1:29" x14ac:dyDescent="0.3">
      <c r="A486" t="s">
        <v>290</v>
      </c>
      <c r="B486" t="str">
        <f t="shared" ref="B486:D486" si="488">B382</f>
        <v>Appartments</v>
      </c>
      <c r="C486">
        <f t="shared" si="488"/>
        <v>17</v>
      </c>
      <c r="D486">
        <f t="shared" si="488"/>
        <v>3</v>
      </c>
      <c r="E486" t="e">
        <f>AVERAGEIFS('Region 17'!$W$2:$W$498,'Region 17'!$A$2:$A$498,E$1,'Region 17'!$X$2:$X$498,$D486,'Region 17'!$S$2:$S$498,$A486)</f>
        <v>#DIV/0!</v>
      </c>
      <c r="F486" t="e">
        <f>AVERAGEIFS('Region 17'!$W$2:$W$498,'Region 17'!$A$2:$A$498,F$1,'Region 17'!$X$2:$X$498,$D486,'Region 17'!$S$2:$S$498,$A486)</f>
        <v>#DIV/0!</v>
      </c>
      <c r="G486" t="e">
        <f>AVERAGEIFS('Region 17'!$W$2:$W$498,'Region 17'!$A$2:$A$498,G$1,'Region 17'!$X$2:$X$498,$D486,'Region 17'!$S$2:$S$498,$A486)</f>
        <v>#DIV/0!</v>
      </c>
      <c r="H486" t="e">
        <f>AVERAGEIFS('Region 17'!$W$2:$W$498,'Region 17'!$A$2:$A$498,H$1,'Region 17'!$X$2:$X$498,$D486,'Region 17'!$S$2:$S$498,$A486)</f>
        <v>#DIV/0!</v>
      </c>
      <c r="I486" t="e">
        <f>AVERAGEIFS('Region 17'!$W$2:$W$498,'Region 17'!$A$2:$A$498,I$1,'Region 17'!$X$2:$X$498,$D486,'Region 17'!$S$2:$S$498,$A486)</f>
        <v>#DIV/0!</v>
      </c>
      <c r="J486" t="e">
        <f>AVERAGEIFS('Region 17'!$W$2:$W$498,'Region 17'!$A$2:$A$498,J$1,'Region 17'!$X$2:$X$498,$D486,'Region 17'!$S$2:$S$498,$A486)</f>
        <v>#DIV/0!</v>
      </c>
      <c r="K486" t="e">
        <f>AVERAGEIFS('Region 17'!$W$2:$W$498,'Region 17'!$A$2:$A$498,K$1,'Region 17'!$X$2:$X$498,$D486,'Region 17'!$S$2:$S$498,$A486)</f>
        <v>#DIV/0!</v>
      </c>
      <c r="L486" t="e">
        <f>AVERAGEIFS('Region 17'!$W$2:$W$498,'Region 17'!$A$2:$A$498,L$1,'Region 17'!$X$2:$X$498,$D486,'Region 17'!$S$2:$S$498,$A486)</f>
        <v>#DIV/0!</v>
      </c>
      <c r="M486" t="e">
        <f>AVERAGEIFS('Region 17'!$W$2:$W$498,'Region 17'!$A$2:$A$498,M$1,'Region 17'!$X$2:$X$498,$D486,'Region 17'!$S$2:$S$498,$A486)</f>
        <v>#DIV/0!</v>
      </c>
      <c r="N486" t="e">
        <f>AVERAGEIFS('Region 17'!$W$2:$W$498,'Region 17'!$A$2:$A$498,N$1,'Region 17'!$X$2:$X$498,$D486,'Region 17'!$S$2:$S$498,$A486)</f>
        <v>#DIV/0!</v>
      </c>
      <c r="Q486" t="str">
        <f t="shared" si="459"/>
        <v>Aluminium</v>
      </c>
      <c r="R486" t="str">
        <f t="shared" si="460"/>
        <v>Appartments</v>
      </c>
      <c r="S486">
        <f t="shared" si="461"/>
        <v>17</v>
      </c>
      <c r="T486" t="str">
        <f t="shared" si="441"/>
        <v>-</v>
      </c>
      <c r="U486" t="str">
        <f t="shared" si="442"/>
        <v>-</v>
      </c>
      <c r="V486" t="str">
        <f t="shared" si="443"/>
        <v>-</v>
      </c>
      <c r="W486" t="str">
        <f t="shared" si="444"/>
        <v>-</v>
      </c>
      <c r="X486" t="str">
        <f t="shared" si="445"/>
        <v>-</v>
      </c>
      <c r="Y486" t="str">
        <f t="shared" si="446"/>
        <v>-</v>
      </c>
      <c r="Z486" t="str">
        <f t="shared" si="447"/>
        <v>-</v>
      </c>
      <c r="AA486" t="str">
        <f t="shared" si="448"/>
        <v>-</v>
      </c>
      <c r="AB486" t="str">
        <f t="shared" si="449"/>
        <v>-</v>
      </c>
      <c r="AC486" t="str">
        <f t="shared" si="450"/>
        <v>-</v>
      </c>
    </row>
    <row r="487" spans="1:29" x14ac:dyDescent="0.3">
      <c r="A487" t="s">
        <v>290</v>
      </c>
      <c r="B487" t="str">
        <f t="shared" ref="B487:D487" si="489">B383</f>
        <v>Appartments</v>
      </c>
      <c r="C487">
        <f t="shared" si="489"/>
        <v>18</v>
      </c>
      <c r="D487">
        <f t="shared" si="489"/>
        <v>3</v>
      </c>
      <c r="E487" t="e">
        <f>AVERAGEIFS('Region 18'!$W$2:$W$468,'Region 18'!$A$2:$A$468,E$1,'Region 18'!$X$2:$X$468,$D487,'Region 18'!$S$2:$S$468,$A487)</f>
        <v>#DIV/0!</v>
      </c>
      <c r="F487" t="e">
        <f>AVERAGEIFS('Region 18'!$W$2:$W$468,'Region 18'!$A$2:$A$468,F$1,'Region 18'!$X$2:$X$468,$D487,'Region 18'!$S$2:$S$468,$A487)</f>
        <v>#DIV/0!</v>
      </c>
      <c r="G487" t="e">
        <f>AVERAGEIFS('Region 18'!$W$2:$W$468,'Region 18'!$A$2:$A$468,G$1,'Region 18'!$X$2:$X$468,$D487,'Region 18'!$S$2:$S$468,$A487)</f>
        <v>#DIV/0!</v>
      </c>
      <c r="H487" t="e">
        <f>AVERAGEIFS('Region 18'!$W$2:$W$468,'Region 18'!$A$2:$A$468,H$1,'Region 18'!$X$2:$X$468,$D487,'Region 18'!$S$2:$S$468,$A487)</f>
        <v>#DIV/0!</v>
      </c>
      <c r="I487" t="e">
        <f>AVERAGEIFS('Region 18'!$W$2:$W$468,'Region 18'!$A$2:$A$468,I$1,'Region 18'!$X$2:$X$468,$D487,'Region 18'!$S$2:$S$468,$A487)</f>
        <v>#DIV/0!</v>
      </c>
      <c r="J487" t="e">
        <f>AVERAGEIFS('Region 18'!$W$2:$W$468,'Region 18'!$A$2:$A$468,J$1,'Region 18'!$X$2:$X$468,$D487,'Region 18'!$S$2:$S$468,$A487)</f>
        <v>#DIV/0!</v>
      </c>
      <c r="K487" t="e">
        <f>AVERAGEIFS('Region 18'!$W$2:$W$468,'Region 18'!$A$2:$A$468,K$1,'Region 18'!$X$2:$X$468,$D487,'Region 18'!$S$2:$S$468,$A487)</f>
        <v>#DIV/0!</v>
      </c>
      <c r="L487" t="e">
        <f>AVERAGEIFS('Region 18'!$W$2:$W$468,'Region 18'!$A$2:$A$468,L$1,'Region 18'!$X$2:$X$468,$D487,'Region 18'!$S$2:$S$468,$A487)</f>
        <v>#DIV/0!</v>
      </c>
      <c r="M487" t="e">
        <f>AVERAGEIFS('Region 18'!$W$2:$W$468,'Region 18'!$A$2:$A$468,M$1,'Region 18'!$X$2:$X$468,$D487,'Region 18'!$S$2:$S$468,$A487)</f>
        <v>#DIV/0!</v>
      </c>
      <c r="N487" t="e">
        <f>AVERAGEIFS('Region 18'!$W$2:$W$468,'Region 18'!$A$2:$A$468,N$1,'Region 18'!$X$2:$X$468,$D487,'Region 18'!$S$2:$S$468,$A487)</f>
        <v>#DIV/0!</v>
      </c>
      <c r="Q487" t="str">
        <f t="shared" si="459"/>
        <v>Aluminium</v>
      </c>
      <c r="R487" t="str">
        <f t="shared" si="460"/>
        <v>Appartments</v>
      </c>
      <c r="S487">
        <f t="shared" si="461"/>
        <v>18</v>
      </c>
      <c r="T487" t="str">
        <f t="shared" si="441"/>
        <v>-</v>
      </c>
      <c r="U487" t="str">
        <f t="shared" si="442"/>
        <v>-</v>
      </c>
      <c r="V487" t="str">
        <f t="shared" si="443"/>
        <v>-</v>
      </c>
      <c r="W487" t="str">
        <f t="shared" si="444"/>
        <v>-</v>
      </c>
      <c r="X487" t="str">
        <f t="shared" si="445"/>
        <v>-</v>
      </c>
      <c r="Y487" t="str">
        <f t="shared" si="446"/>
        <v>-</v>
      </c>
      <c r="Z487" t="str">
        <f t="shared" si="447"/>
        <v>-</v>
      </c>
      <c r="AA487" t="str">
        <f t="shared" si="448"/>
        <v>-</v>
      </c>
      <c r="AB487" t="str">
        <f t="shared" si="449"/>
        <v>-</v>
      </c>
      <c r="AC487" t="str">
        <f t="shared" si="450"/>
        <v>-</v>
      </c>
    </row>
    <row r="488" spans="1:29" x14ac:dyDescent="0.3">
      <c r="A488" t="s">
        <v>290</v>
      </c>
      <c r="B488" t="str">
        <f t="shared" ref="B488:D488" si="490">B384</f>
        <v>Appartments</v>
      </c>
      <c r="C488">
        <f t="shared" si="490"/>
        <v>19</v>
      </c>
      <c r="D488">
        <f t="shared" si="490"/>
        <v>3</v>
      </c>
      <c r="E488" t="e">
        <f>AVERAGEIFS('Region 19'!$W$2:$W$494,'Region 19'!$A$2:$A$494,E$1,'Region 19'!$X$2:$X$494,$D488,'Region 19'!$S$2:$S$494,$A488)</f>
        <v>#DIV/0!</v>
      </c>
      <c r="F488" t="e">
        <f>AVERAGEIFS('Region 19'!$W$2:$W$494,'Region 19'!$A$2:$A$494,F$1,'Region 19'!$X$2:$X$494,$D488,'Region 19'!$S$2:$S$494,$A488)</f>
        <v>#DIV/0!</v>
      </c>
      <c r="G488" t="e">
        <f>AVERAGEIFS('Region 19'!$W$2:$W$494,'Region 19'!$A$2:$A$494,G$1,'Region 19'!$X$2:$X$494,$D488,'Region 19'!$S$2:$S$494,$A488)</f>
        <v>#DIV/0!</v>
      </c>
      <c r="H488" t="e">
        <f>AVERAGEIFS('Region 19'!$W$2:$W$494,'Region 19'!$A$2:$A$494,H$1,'Region 19'!$X$2:$X$494,$D488,'Region 19'!$S$2:$S$494,$A488)</f>
        <v>#DIV/0!</v>
      </c>
      <c r="I488" t="e">
        <f>AVERAGEIFS('Region 19'!$W$2:$W$494,'Region 19'!$A$2:$A$494,I$1,'Region 19'!$X$2:$X$494,$D488,'Region 19'!$S$2:$S$494,$A488)</f>
        <v>#DIV/0!</v>
      </c>
      <c r="J488" t="e">
        <f>AVERAGEIFS('Region 19'!$W$2:$W$494,'Region 19'!$A$2:$A$494,J$1,'Region 19'!$X$2:$X$494,$D488,'Region 19'!$S$2:$S$494,$A488)</f>
        <v>#DIV/0!</v>
      </c>
      <c r="K488" t="e">
        <f>AVERAGEIFS('Region 19'!$W$2:$W$494,'Region 19'!$A$2:$A$494,K$1,'Region 19'!$X$2:$X$494,$D488,'Region 19'!$S$2:$S$494,$A488)</f>
        <v>#DIV/0!</v>
      </c>
      <c r="L488" t="e">
        <f>AVERAGEIFS('Region 19'!$W$2:$W$494,'Region 19'!$A$2:$A$494,L$1,'Region 19'!$X$2:$X$494,$D488,'Region 19'!$S$2:$S$494,$A488)</f>
        <v>#DIV/0!</v>
      </c>
      <c r="M488" t="e">
        <f>AVERAGEIFS('Region 19'!$W$2:$W$494,'Region 19'!$A$2:$A$494,M$1,'Region 19'!$X$2:$X$494,$D488,'Region 19'!$S$2:$S$494,$A488)</f>
        <v>#DIV/0!</v>
      </c>
      <c r="N488" t="e">
        <f>AVERAGEIFS('Region 19'!$W$2:$W$494,'Region 19'!$A$2:$A$494,N$1,'Region 19'!$X$2:$X$494,$D488,'Region 19'!$S$2:$S$494,$A488)</f>
        <v>#DIV/0!</v>
      </c>
      <c r="Q488" t="str">
        <f t="shared" si="459"/>
        <v>Aluminium</v>
      </c>
      <c r="R488" t="str">
        <f t="shared" si="460"/>
        <v>Appartments</v>
      </c>
      <c r="S488">
        <f t="shared" si="461"/>
        <v>19</v>
      </c>
      <c r="T488" t="str">
        <f t="shared" si="441"/>
        <v>-</v>
      </c>
      <c r="U488" t="str">
        <f t="shared" si="442"/>
        <v>-</v>
      </c>
      <c r="V488" t="str">
        <f t="shared" si="443"/>
        <v>-</v>
      </c>
      <c r="W488" t="str">
        <f t="shared" si="444"/>
        <v>-</v>
      </c>
      <c r="X488" t="str">
        <f t="shared" si="445"/>
        <v>-</v>
      </c>
      <c r="Y488" t="str">
        <f t="shared" si="446"/>
        <v>-</v>
      </c>
      <c r="Z488" t="str">
        <f t="shared" si="447"/>
        <v>-</v>
      </c>
      <c r="AA488" t="str">
        <f t="shared" si="448"/>
        <v>-</v>
      </c>
      <c r="AB488" t="str">
        <f t="shared" si="449"/>
        <v>-</v>
      </c>
      <c r="AC488" t="str">
        <f t="shared" si="450"/>
        <v>-</v>
      </c>
    </row>
    <row r="489" spans="1:29" x14ac:dyDescent="0.3">
      <c r="A489" t="s">
        <v>290</v>
      </c>
      <c r="B489" t="str">
        <f t="shared" ref="B489:D489" si="491">B385</f>
        <v>Appartments</v>
      </c>
      <c r="C489">
        <f t="shared" si="491"/>
        <v>20</v>
      </c>
      <c r="D489">
        <f t="shared" si="491"/>
        <v>3</v>
      </c>
      <c r="E489" t="e">
        <f>AVERAGEIFS('Region 20'!$W$2:$W$269,'Region 20'!$A$2:$A$269,E$1,'Region 20'!$X$2:$X$269,$D489,'Region 20'!$S$2:$S$269,$A489)</f>
        <v>#DIV/0!</v>
      </c>
      <c r="F489" t="e">
        <f>AVERAGEIFS('Region 20'!$W$2:$W$269,'Region 20'!$A$2:$A$269,F$1,'Region 20'!$X$2:$X$269,$D489,'Region 20'!$S$2:$S$269,$A489)</f>
        <v>#DIV/0!</v>
      </c>
      <c r="G489" t="e">
        <f>AVERAGEIFS('Region 20'!$W$2:$W$269,'Region 20'!$A$2:$A$269,G$1,'Region 20'!$X$2:$X$269,$D489,'Region 20'!$S$2:$S$269,$A489)</f>
        <v>#DIV/0!</v>
      </c>
      <c r="H489" t="e">
        <f>AVERAGEIFS('Region 20'!$W$2:$W$269,'Region 20'!$A$2:$A$269,H$1,'Region 20'!$X$2:$X$269,$D489,'Region 20'!$S$2:$S$269,$A489)</f>
        <v>#DIV/0!</v>
      </c>
      <c r="I489" t="e">
        <f>AVERAGEIFS('Region 20'!$W$2:$W$269,'Region 20'!$A$2:$A$269,I$1,'Region 20'!$X$2:$X$269,$D489,'Region 20'!$S$2:$S$269,$A489)</f>
        <v>#DIV/0!</v>
      </c>
      <c r="J489" t="e">
        <f>AVERAGEIFS('Region 20'!$W$2:$W$269,'Region 20'!$A$2:$A$269,J$1,'Region 20'!$X$2:$X$269,$D489,'Region 20'!$S$2:$S$269,$A489)</f>
        <v>#DIV/0!</v>
      </c>
      <c r="K489" t="e">
        <f>AVERAGEIFS('Region 20'!$W$2:$W$269,'Region 20'!$A$2:$A$269,K$1,'Region 20'!$X$2:$X$269,$D489,'Region 20'!$S$2:$S$269,$A489)</f>
        <v>#DIV/0!</v>
      </c>
      <c r="L489" t="e">
        <f>AVERAGEIFS('Region 20'!$W$2:$W$269,'Region 20'!$A$2:$A$269,L$1,'Region 20'!$X$2:$X$269,$D489,'Region 20'!$S$2:$S$269,$A489)</f>
        <v>#DIV/0!</v>
      </c>
      <c r="M489" t="e">
        <f>AVERAGEIFS('Region 20'!$W$2:$W$269,'Region 20'!$A$2:$A$269,M$1,'Region 20'!$X$2:$X$269,$D489,'Region 20'!$S$2:$S$269,$A489)</f>
        <v>#DIV/0!</v>
      </c>
      <c r="N489" t="e">
        <f>AVERAGEIFS('Region 20'!$W$2:$W$269,'Region 20'!$A$2:$A$269,N$1,'Region 20'!$X$2:$X$269,$D489,'Region 20'!$S$2:$S$269,$A489)</f>
        <v>#DIV/0!</v>
      </c>
      <c r="Q489" t="str">
        <f t="shared" si="459"/>
        <v>Aluminium</v>
      </c>
      <c r="R489" t="str">
        <f t="shared" si="460"/>
        <v>Appartments</v>
      </c>
      <c r="S489">
        <f t="shared" si="461"/>
        <v>20</v>
      </c>
      <c r="T489" t="str">
        <f t="shared" si="441"/>
        <v>-</v>
      </c>
      <c r="U489" t="str">
        <f t="shared" si="442"/>
        <v>-</v>
      </c>
      <c r="V489" t="str">
        <f t="shared" si="443"/>
        <v>-</v>
      </c>
      <c r="W489" t="str">
        <f t="shared" si="444"/>
        <v>-</v>
      </c>
      <c r="X489" t="str">
        <f t="shared" si="445"/>
        <v>-</v>
      </c>
      <c r="Y489" t="str">
        <f t="shared" si="446"/>
        <v>-</v>
      </c>
      <c r="Z489" t="str">
        <f t="shared" si="447"/>
        <v>-</v>
      </c>
      <c r="AA489" t="str">
        <f t="shared" si="448"/>
        <v>-</v>
      </c>
      <c r="AB489" t="str">
        <f t="shared" si="449"/>
        <v>-</v>
      </c>
      <c r="AC489" t="str">
        <f t="shared" si="450"/>
        <v>-</v>
      </c>
    </row>
    <row r="490" spans="1:29" x14ac:dyDescent="0.3">
      <c r="A490" t="s">
        <v>290</v>
      </c>
      <c r="B490" t="str">
        <f t="shared" ref="B490:D490" si="492">B386</f>
        <v>Appartments</v>
      </c>
      <c r="C490">
        <f t="shared" si="492"/>
        <v>21</v>
      </c>
      <c r="D490">
        <f t="shared" si="492"/>
        <v>3</v>
      </c>
      <c r="E490">
        <f>AVERAGEIFS('Region 21'!$W$2:$W$497,'Region 21'!$A$2:$A$497,E$1,'Region 21'!$X$2:$X$497,$D490,'Region 21'!$S$2:$S$497,$A490)</f>
        <v>0.44000000000000006</v>
      </c>
      <c r="F490" t="e">
        <f>AVERAGEIFS('Region 21'!$W$2:$W$497,'Region 21'!$A$2:$A$497,F$1,'Region 21'!$X$2:$X$497,$D490,'Region 21'!$S$2:$S$497,$A490)</f>
        <v>#DIV/0!</v>
      </c>
      <c r="G490" t="e">
        <f>AVERAGEIFS('Region 21'!$W$2:$W$497,'Region 21'!$A$2:$A$497,G$1,'Region 21'!$X$2:$X$497,$D490,'Region 21'!$S$2:$S$497,$A490)</f>
        <v>#DIV/0!</v>
      </c>
      <c r="H490" t="e">
        <f>AVERAGEIFS('Region 21'!$W$2:$W$497,'Region 21'!$A$2:$A$497,H$1,'Region 21'!$X$2:$X$497,$D490,'Region 21'!$S$2:$S$497,$A490)</f>
        <v>#DIV/0!</v>
      </c>
      <c r="I490" t="e">
        <f>AVERAGEIFS('Region 21'!$W$2:$W$497,'Region 21'!$A$2:$A$497,I$1,'Region 21'!$X$2:$X$497,$D490,'Region 21'!$S$2:$S$497,$A490)</f>
        <v>#DIV/0!</v>
      </c>
      <c r="J490" t="e">
        <f>AVERAGEIFS('Region 21'!$W$2:$W$497,'Region 21'!$A$2:$A$497,J$1,'Region 21'!$X$2:$X$497,$D490,'Region 21'!$S$2:$S$497,$A490)</f>
        <v>#DIV/0!</v>
      </c>
      <c r="K490" t="e">
        <f>AVERAGEIFS('Region 21'!$W$2:$W$497,'Region 21'!$A$2:$A$497,K$1,'Region 21'!$X$2:$X$497,$D490,'Region 21'!$S$2:$S$497,$A490)</f>
        <v>#DIV/0!</v>
      </c>
      <c r="L490" t="e">
        <f>AVERAGEIFS('Region 21'!$W$2:$W$497,'Region 21'!$A$2:$A$497,L$1,'Region 21'!$X$2:$X$497,$D490,'Region 21'!$S$2:$S$497,$A490)</f>
        <v>#DIV/0!</v>
      </c>
      <c r="M490" t="e">
        <f>AVERAGEIFS('Region 21'!$W$2:$W$497,'Region 21'!$A$2:$A$497,M$1,'Region 21'!$X$2:$X$497,$D490,'Region 21'!$S$2:$S$497,$A490)</f>
        <v>#DIV/0!</v>
      </c>
      <c r="N490" t="e">
        <f>AVERAGEIFS('Region 21'!$W$2:$W$497,'Region 21'!$A$2:$A$497,N$1,'Region 21'!$X$2:$X$497,$D490,'Region 21'!$S$2:$S$497,$A490)</f>
        <v>#DIV/0!</v>
      </c>
      <c r="Q490" t="str">
        <f t="shared" si="459"/>
        <v>Aluminium</v>
      </c>
      <c r="R490" t="str">
        <f t="shared" si="460"/>
        <v>Appartments</v>
      </c>
      <c r="S490">
        <f t="shared" si="461"/>
        <v>21</v>
      </c>
      <c r="T490">
        <f t="shared" si="441"/>
        <v>0.44000000000000006</v>
      </c>
      <c r="U490" t="str">
        <f t="shared" si="442"/>
        <v>-</v>
      </c>
      <c r="V490" t="str">
        <f t="shared" si="443"/>
        <v>-</v>
      </c>
      <c r="W490" t="str">
        <f t="shared" si="444"/>
        <v>-</v>
      </c>
      <c r="X490" t="str">
        <f t="shared" si="445"/>
        <v>-</v>
      </c>
      <c r="Y490" t="str">
        <f t="shared" si="446"/>
        <v>-</v>
      </c>
      <c r="Z490" t="str">
        <f t="shared" si="447"/>
        <v>-</v>
      </c>
      <c r="AA490" t="str">
        <f t="shared" si="448"/>
        <v>-</v>
      </c>
      <c r="AB490" t="str">
        <f t="shared" si="449"/>
        <v>-</v>
      </c>
      <c r="AC490" t="str">
        <f t="shared" si="450"/>
        <v>-</v>
      </c>
    </row>
    <row r="491" spans="1:29" x14ac:dyDescent="0.3">
      <c r="A491" t="s">
        <v>290</v>
      </c>
      <c r="B491" t="str">
        <f t="shared" ref="B491:D491" si="493">B387</f>
        <v>Appartments</v>
      </c>
      <c r="C491">
        <f t="shared" si="493"/>
        <v>22</v>
      </c>
      <c r="D491">
        <f t="shared" si="493"/>
        <v>3</v>
      </c>
      <c r="E491" t="e">
        <f>AVERAGEIFS('Region 22'!$W$2:$W$510,'Region 22'!$A$2:$A$510,E$1,'Region 22'!$X$2:$X$510,$D491,'Region 22'!$S$2:$S$510,$A491)</f>
        <v>#DIV/0!</v>
      </c>
      <c r="F491" t="e">
        <f>AVERAGEIFS('Region 22'!$W$2:$W$510,'Region 22'!$A$2:$A$510,F$1,'Region 22'!$X$2:$X$510,$D491,'Region 22'!$S$2:$S$510,$A491)</f>
        <v>#DIV/0!</v>
      </c>
      <c r="G491" t="e">
        <f>AVERAGEIFS('Region 22'!$W$2:$W$510,'Region 22'!$A$2:$A$510,G$1,'Region 22'!$X$2:$X$510,$D491,'Region 22'!$S$2:$S$510,$A491)</f>
        <v>#DIV/0!</v>
      </c>
      <c r="H491" t="e">
        <f>AVERAGEIFS('Region 22'!$W$2:$W$510,'Region 22'!$A$2:$A$510,H$1,'Region 22'!$X$2:$X$510,$D491,'Region 22'!$S$2:$S$510,$A491)</f>
        <v>#DIV/0!</v>
      </c>
      <c r="I491" t="e">
        <f>AVERAGEIFS('Region 22'!$W$2:$W$510,'Region 22'!$A$2:$A$510,I$1,'Region 22'!$X$2:$X$510,$D491,'Region 22'!$S$2:$S$510,$A491)</f>
        <v>#DIV/0!</v>
      </c>
      <c r="J491" t="e">
        <f>AVERAGEIFS('Region 22'!$W$2:$W$510,'Region 22'!$A$2:$A$510,J$1,'Region 22'!$X$2:$X$510,$D491,'Region 22'!$S$2:$S$510,$A491)</f>
        <v>#DIV/0!</v>
      </c>
      <c r="K491" t="e">
        <f>AVERAGEIFS('Region 22'!$W$2:$W$510,'Region 22'!$A$2:$A$510,K$1,'Region 22'!$X$2:$X$510,$D491,'Region 22'!$S$2:$S$510,$A491)</f>
        <v>#DIV/0!</v>
      </c>
      <c r="L491" t="e">
        <f>AVERAGEIFS('Region 22'!$W$2:$W$510,'Region 22'!$A$2:$A$510,L$1,'Region 22'!$X$2:$X$510,$D491,'Region 22'!$S$2:$S$510,$A491)</f>
        <v>#DIV/0!</v>
      </c>
      <c r="M491" t="e">
        <f>AVERAGEIFS('Region 22'!$W$2:$W$510,'Region 22'!$A$2:$A$510,M$1,'Region 22'!$X$2:$X$510,$D491,'Region 22'!$S$2:$S$510,$A491)</f>
        <v>#DIV/0!</v>
      </c>
      <c r="N491" t="e">
        <f>AVERAGEIFS('Region 22'!$W$2:$W$510,'Region 22'!$A$2:$A$510,N$1,'Region 22'!$X$2:$X$510,$D491,'Region 22'!$S$2:$S$510,$A491)</f>
        <v>#DIV/0!</v>
      </c>
      <c r="Q491" t="str">
        <f t="shared" si="459"/>
        <v>Aluminium</v>
      </c>
      <c r="R491" t="str">
        <f t="shared" si="460"/>
        <v>Appartments</v>
      </c>
      <c r="S491">
        <f t="shared" si="461"/>
        <v>22</v>
      </c>
      <c r="T491" t="str">
        <f t="shared" si="441"/>
        <v>-</v>
      </c>
      <c r="U491" t="str">
        <f t="shared" si="442"/>
        <v>-</v>
      </c>
      <c r="V491" t="str">
        <f t="shared" si="443"/>
        <v>-</v>
      </c>
      <c r="W491" t="str">
        <f t="shared" si="444"/>
        <v>-</v>
      </c>
      <c r="X491" t="str">
        <f t="shared" si="445"/>
        <v>-</v>
      </c>
      <c r="Y491" t="str">
        <f t="shared" si="446"/>
        <v>-</v>
      </c>
      <c r="Z491" t="str">
        <f t="shared" si="447"/>
        <v>-</v>
      </c>
      <c r="AA491" t="str">
        <f t="shared" si="448"/>
        <v>-</v>
      </c>
      <c r="AB491" t="str">
        <f t="shared" si="449"/>
        <v>-</v>
      </c>
      <c r="AC491" t="str">
        <f t="shared" si="450"/>
        <v>-</v>
      </c>
    </row>
    <row r="492" spans="1:29" x14ac:dyDescent="0.3">
      <c r="A492" t="s">
        <v>290</v>
      </c>
      <c r="B492" t="str">
        <f t="shared" ref="B492:D492" si="494">B388</f>
        <v>Appartments</v>
      </c>
      <c r="C492">
        <f t="shared" si="494"/>
        <v>23</v>
      </c>
      <c r="D492">
        <f t="shared" si="494"/>
        <v>3</v>
      </c>
      <c r="E492" t="e">
        <f>AVERAGEIFS('Region 23'!$W$2:$W$468,'Region 23'!$A$2:$A$468,E$1,'Region 23'!$X$2:$X$468,$D492,'Region 23'!$S$2:$S$468,$A492)</f>
        <v>#DIV/0!</v>
      </c>
      <c r="F492" t="e">
        <f>AVERAGEIFS('Region 23'!$W$2:$W$468,'Region 23'!$A$2:$A$468,F$1,'Region 23'!$X$2:$X$468,$D492,'Region 23'!$S$2:$S$468,$A492)</f>
        <v>#DIV/0!</v>
      </c>
      <c r="G492" t="e">
        <f>AVERAGEIFS('Region 23'!$W$2:$W$468,'Region 23'!$A$2:$A$468,G$1,'Region 23'!$X$2:$X$468,$D492,'Region 23'!$S$2:$S$468,$A492)</f>
        <v>#DIV/0!</v>
      </c>
      <c r="H492" t="e">
        <f>AVERAGEIFS('Region 23'!$W$2:$W$468,'Region 23'!$A$2:$A$468,H$1,'Region 23'!$X$2:$X$468,$D492,'Region 23'!$S$2:$S$468,$A492)</f>
        <v>#DIV/0!</v>
      </c>
      <c r="I492" t="e">
        <f>AVERAGEIFS('Region 23'!$W$2:$W$468,'Region 23'!$A$2:$A$468,I$1,'Region 23'!$X$2:$X$468,$D492,'Region 23'!$S$2:$S$468,$A492)</f>
        <v>#DIV/0!</v>
      </c>
      <c r="J492" t="e">
        <f>AVERAGEIFS('Region 23'!$W$2:$W$468,'Region 23'!$A$2:$A$468,J$1,'Region 23'!$X$2:$X$468,$D492,'Region 23'!$S$2:$S$468,$A492)</f>
        <v>#DIV/0!</v>
      </c>
      <c r="K492" t="e">
        <f>AVERAGEIFS('Region 23'!$W$2:$W$468,'Region 23'!$A$2:$A$468,K$1,'Region 23'!$X$2:$X$468,$D492,'Region 23'!$S$2:$S$468,$A492)</f>
        <v>#DIV/0!</v>
      </c>
      <c r="L492" t="e">
        <f>AVERAGEIFS('Region 23'!$W$2:$W$468,'Region 23'!$A$2:$A$468,L$1,'Region 23'!$X$2:$X$468,$D492,'Region 23'!$S$2:$S$468,$A492)</f>
        <v>#DIV/0!</v>
      </c>
      <c r="M492" t="e">
        <f>AVERAGEIFS('Region 23'!$W$2:$W$468,'Region 23'!$A$2:$A$468,M$1,'Region 23'!$X$2:$X$468,$D492,'Region 23'!$S$2:$S$468,$A492)</f>
        <v>#DIV/0!</v>
      </c>
      <c r="N492" t="e">
        <f>AVERAGEIFS('Region 23'!$W$2:$W$468,'Region 23'!$A$2:$A$468,N$1,'Region 23'!$X$2:$X$468,$D492,'Region 23'!$S$2:$S$468,$A492)</f>
        <v>#DIV/0!</v>
      </c>
      <c r="Q492" t="str">
        <f t="shared" si="459"/>
        <v>Aluminium</v>
      </c>
      <c r="R492" t="str">
        <f t="shared" si="460"/>
        <v>Appartments</v>
      </c>
      <c r="S492">
        <f t="shared" si="461"/>
        <v>23</v>
      </c>
      <c r="T492" t="str">
        <f t="shared" si="441"/>
        <v>-</v>
      </c>
      <c r="U492" t="str">
        <f t="shared" si="442"/>
        <v>-</v>
      </c>
      <c r="V492" t="str">
        <f t="shared" si="443"/>
        <v>-</v>
      </c>
      <c r="W492" t="str">
        <f t="shared" si="444"/>
        <v>-</v>
      </c>
      <c r="X492" t="str">
        <f t="shared" si="445"/>
        <v>-</v>
      </c>
      <c r="Y492" t="str">
        <f t="shared" si="446"/>
        <v>-</v>
      </c>
      <c r="Z492" t="str">
        <f t="shared" si="447"/>
        <v>-</v>
      </c>
      <c r="AA492" t="str">
        <f t="shared" si="448"/>
        <v>-</v>
      </c>
      <c r="AB492" t="str">
        <f t="shared" si="449"/>
        <v>-</v>
      </c>
      <c r="AC492" t="str">
        <f t="shared" si="450"/>
        <v>-</v>
      </c>
    </row>
    <row r="493" spans="1:29" x14ac:dyDescent="0.3">
      <c r="A493" t="s">
        <v>290</v>
      </c>
      <c r="B493" t="str">
        <f t="shared" ref="B493:D493" si="495">B389</f>
        <v>Appartments</v>
      </c>
      <c r="C493">
        <f t="shared" si="495"/>
        <v>24</v>
      </c>
      <c r="D493">
        <f t="shared" si="495"/>
        <v>3</v>
      </c>
      <c r="E493" t="e">
        <f>AVERAGEIFS('Region 24'!$W$2:$W$454,'Region 24'!$A$2:$A$454,E$1,'Region 24'!$X$2:$X$454,$D493,'Region 24'!$S$2:$S$454,$A493)</f>
        <v>#DIV/0!</v>
      </c>
      <c r="F493" t="e">
        <f>AVERAGEIFS('Region 24'!$W$2:$W$454,'Region 24'!$A$2:$A$454,F$1,'Region 24'!$X$2:$X$454,$D493,'Region 24'!$S$2:$S$454,$A493)</f>
        <v>#DIV/0!</v>
      </c>
      <c r="G493" t="e">
        <f>AVERAGEIFS('Region 24'!$W$2:$W$454,'Region 24'!$A$2:$A$454,G$1,'Region 24'!$X$2:$X$454,$D493,'Region 24'!$S$2:$S$454,$A493)</f>
        <v>#DIV/0!</v>
      </c>
      <c r="H493" t="e">
        <f>AVERAGEIFS('Region 24'!$W$2:$W$454,'Region 24'!$A$2:$A$454,H$1,'Region 24'!$X$2:$X$454,$D493,'Region 24'!$S$2:$S$454,$A493)</f>
        <v>#DIV/0!</v>
      </c>
      <c r="I493" t="e">
        <f>AVERAGEIFS('Region 24'!$W$2:$W$454,'Region 24'!$A$2:$A$454,I$1,'Region 24'!$X$2:$X$454,$D493,'Region 24'!$S$2:$S$454,$A493)</f>
        <v>#DIV/0!</v>
      </c>
      <c r="J493" t="e">
        <f>AVERAGEIFS('Region 24'!$W$2:$W$454,'Region 24'!$A$2:$A$454,J$1,'Region 24'!$X$2:$X$454,$D493,'Region 24'!$S$2:$S$454,$A493)</f>
        <v>#DIV/0!</v>
      </c>
      <c r="K493" t="e">
        <f>AVERAGEIFS('Region 24'!$W$2:$W$454,'Region 24'!$A$2:$A$454,K$1,'Region 24'!$X$2:$X$454,$D493,'Region 24'!$S$2:$S$454,$A493)</f>
        <v>#DIV/0!</v>
      </c>
      <c r="L493" t="e">
        <f>AVERAGEIFS('Region 24'!$W$2:$W$454,'Region 24'!$A$2:$A$454,L$1,'Region 24'!$X$2:$X$454,$D493,'Region 24'!$S$2:$S$454,$A493)</f>
        <v>#DIV/0!</v>
      </c>
      <c r="M493" t="e">
        <f>AVERAGEIFS('Region 24'!$W$2:$W$454,'Region 24'!$A$2:$A$454,M$1,'Region 24'!$X$2:$X$454,$D493,'Region 24'!$S$2:$S$454,$A493)</f>
        <v>#DIV/0!</v>
      </c>
      <c r="N493" t="e">
        <f>AVERAGEIFS('Region 24'!$W$2:$W$454,'Region 24'!$A$2:$A$454,N$1,'Region 24'!$X$2:$X$454,$D493,'Region 24'!$S$2:$S$454,$A493)</f>
        <v>#DIV/0!</v>
      </c>
      <c r="Q493" t="str">
        <f t="shared" si="459"/>
        <v>Aluminium</v>
      </c>
      <c r="R493" t="str">
        <f t="shared" si="460"/>
        <v>Appartments</v>
      </c>
      <c r="S493">
        <f t="shared" si="461"/>
        <v>24</v>
      </c>
      <c r="T493" t="str">
        <f t="shared" si="441"/>
        <v>-</v>
      </c>
      <c r="U493" t="str">
        <f t="shared" si="442"/>
        <v>-</v>
      </c>
      <c r="V493" t="str">
        <f t="shared" si="443"/>
        <v>-</v>
      </c>
      <c r="W493" t="str">
        <f t="shared" si="444"/>
        <v>-</v>
      </c>
      <c r="X493" t="str">
        <f t="shared" si="445"/>
        <v>-</v>
      </c>
      <c r="Y493" t="str">
        <f t="shared" si="446"/>
        <v>-</v>
      </c>
      <c r="Z493" t="str">
        <f t="shared" si="447"/>
        <v>-</v>
      </c>
      <c r="AA493" t="str">
        <f t="shared" si="448"/>
        <v>-</v>
      </c>
      <c r="AB493" t="str">
        <f t="shared" si="449"/>
        <v>-</v>
      </c>
      <c r="AC493" t="str">
        <f t="shared" si="450"/>
        <v>-</v>
      </c>
    </row>
    <row r="494" spans="1:29" x14ac:dyDescent="0.3">
      <c r="A494" t="s">
        <v>290</v>
      </c>
      <c r="B494" t="str">
        <f t="shared" ref="B494:D494" si="496">B390</f>
        <v>Appartments</v>
      </c>
      <c r="C494">
        <f t="shared" si="496"/>
        <v>25</v>
      </c>
      <c r="D494">
        <f t="shared" si="496"/>
        <v>3</v>
      </c>
      <c r="E494" t="e">
        <f>AVERAGEIFS('Region 25'!$W$2:$W$499,'Region 25'!$A$2:$A$499,E$1,'Region 25'!$X$2:$X$499,$D494,'Region 25'!$S$2:$S$499,$A494)</f>
        <v>#DIV/0!</v>
      </c>
      <c r="F494" t="e">
        <f>AVERAGEIFS('Region 25'!$W$2:$W$499,'Region 25'!$A$2:$A$499,F$1,'Region 25'!$X$2:$X$499,$D494,'Region 25'!$S$2:$S$499,$A494)</f>
        <v>#DIV/0!</v>
      </c>
      <c r="G494" t="e">
        <f>AVERAGEIFS('Region 25'!$W$2:$W$499,'Region 25'!$A$2:$A$499,G$1,'Region 25'!$X$2:$X$499,$D494,'Region 25'!$S$2:$S$499,$A494)</f>
        <v>#DIV/0!</v>
      </c>
      <c r="H494" t="e">
        <f>AVERAGEIFS('Region 25'!$W$2:$W$499,'Region 25'!$A$2:$A$499,H$1,'Region 25'!$X$2:$X$499,$D494,'Region 25'!$S$2:$S$499,$A494)</f>
        <v>#DIV/0!</v>
      </c>
      <c r="I494" t="e">
        <f>AVERAGEIFS('Region 25'!$W$2:$W$499,'Region 25'!$A$2:$A$499,I$1,'Region 25'!$X$2:$X$499,$D494,'Region 25'!$S$2:$S$499,$A494)</f>
        <v>#DIV/0!</v>
      </c>
      <c r="J494" t="e">
        <f>AVERAGEIFS('Region 25'!$W$2:$W$499,'Region 25'!$A$2:$A$499,J$1,'Region 25'!$X$2:$X$499,$D494,'Region 25'!$S$2:$S$499,$A494)</f>
        <v>#DIV/0!</v>
      </c>
      <c r="K494" t="e">
        <f>AVERAGEIFS('Region 25'!$W$2:$W$499,'Region 25'!$A$2:$A$499,K$1,'Region 25'!$X$2:$X$499,$D494,'Region 25'!$S$2:$S$499,$A494)</f>
        <v>#DIV/0!</v>
      </c>
      <c r="L494" t="e">
        <f>AVERAGEIFS('Region 25'!$W$2:$W$499,'Region 25'!$A$2:$A$499,L$1,'Region 25'!$X$2:$X$499,$D494,'Region 25'!$S$2:$S$499,$A494)</f>
        <v>#DIV/0!</v>
      </c>
      <c r="M494" t="e">
        <f>AVERAGEIFS('Region 25'!$W$2:$W$499,'Region 25'!$A$2:$A$499,M$1,'Region 25'!$X$2:$X$499,$D494,'Region 25'!$S$2:$S$499,$A494)</f>
        <v>#DIV/0!</v>
      </c>
      <c r="N494" t="e">
        <f>AVERAGEIFS('Region 25'!$W$2:$W$499,'Region 25'!$A$2:$A$499,N$1,'Region 25'!$X$2:$X$499,$D494,'Region 25'!$S$2:$S$499,$A494)</f>
        <v>#DIV/0!</v>
      </c>
      <c r="Q494" t="str">
        <f t="shared" si="459"/>
        <v>Aluminium</v>
      </c>
      <c r="R494" t="str">
        <f t="shared" si="460"/>
        <v>Appartments</v>
      </c>
      <c r="S494">
        <f t="shared" si="461"/>
        <v>25</v>
      </c>
      <c r="T494" t="str">
        <f t="shared" si="441"/>
        <v>-</v>
      </c>
      <c r="U494" t="str">
        <f t="shared" si="442"/>
        <v>-</v>
      </c>
      <c r="V494" t="str">
        <f t="shared" si="443"/>
        <v>-</v>
      </c>
      <c r="W494" t="str">
        <f t="shared" si="444"/>
        <v>-</v>
      </c>
      <c r="X494" t="str">
        <f t="shared" si="445"/>
        <v>-</v>
      </c>
      <c r="Y494" t="str">
        <f t="shared" si="446"/>
        <v>-</v>
      </c>
      <c r="Z494" t="str">
        <f t="shared" si="447"/>
        <v>-</v>
      </c>
      <c r="AA494" t="str">
        <f t="shared" si="448"/>
        <v>-</v>
      </c>
      <c r="AB494" t="str">
        <f t="shared" si="449"/>
        <v>-</v>
      </c>
      <c r="AC494" t="str">
        <f t="shared" si="450"/>
        <v>-</v>
      </c>
    </row>
    <row r="495" spans="1:29" x14ac:dyDescent="0.3">
      <c r="A495" t="s">
        <v>290</v>
      </c>
      <c r="B495" t="str">
        <f t="shared" ref="B495:D495" si="497">B391</f>
        <v>Appartments</v>
      </c>
      <c r="C495">
        <f t="shared" si="497"/>
        <v>26</v>
      </c>
      <c r="D495">
        <f t="shared" si="497"/>
        <v>3</v>
      </c>
      <c r="E495" t="e">
        <f ca="1">AVERAGEIFS('Region 26'!$W$2:$W$500,'Region 26'!$A$2:$A$500,E$1,'Region 26'!$X$2:$X$500,$D495,'Region 26'!$S$2:$S$500,$A495)</f>
        <v>#DIV/0!</v>
      </c>
      <c r="F495" t="e">
        <f ca="1">AVERAGEIFS('Region 26'!$W$2:$W$500,'Region 26'!$A$2:$A$500,F$1,'Region 26'!$X$2:$X$500,$D495,'Region 26'!$S$2:$S$500,$A495)</f>
        <v>#DIV/0!</v>
      </c>
      <c r="G495" t="e">
        <f ca="1">AVERAGEIFS('Region 26'!$W$2:$W$500,'Region 26'!$A$2:$A$500,G$1,'Region 26'!$X$2:$X$500,$D495,'Region 26'!$S$2:$S$500,$A495)</f>
        <v>#DIV/0!</v>
      </c>
      <c r="H495" t="e">
        <f ca="1">AVERAGEIFS('Region 26'!$W$2:$W$500,'Region 26'!$A$2:$A$500,H$1,'Region 26'!$X$2:$X$500,$D495,'Region 26'!$S$2:$S$500,$A495)</f>
        <v>#DIV/0!</v>
      </c>
      <c r="I495" t="e">
        <f ca="1">AVERAGEIFS('Region 26'!$W$2:$W$500,'Region 26'!$A$2:$A$500,I$1,'Region 26'!$X$2:$X$500,$D495,'Region 26'!$S$2:$S$500,$A495)</f>
        <v>#DIV/0!</v>
      </c>
      <c r="J495" t="e">
        <f ca="1">AVERAGEIFS('Region 26'!$W$2:$W$500,'Region 26'!$A$2:$A$500,J$1,'Region 26'!$X$2:$X$500,$D495,'Region 26'!$S$2:$S$500,$A495)</f>
        <v>#DIV/0!</v>
      </c>
      <c r="K495" t="e">
        <f ca="1">AVERAGEIFS('Region 26'!$W$2:$W$500,'Region 26'!$A$2:$A$500,K$1,'Region 26'!$X$2:$X$500,$D495,'Region 26'!$S$2:$S$500,$A495)</f>
        <v>#DIV/0!</v>
      </c>
      <c r="L495" t="e">
        <f ca="1">AVERAGEIFS('Region 26'!$W$2:$W$500,'Region 26'!$A$2:$A$500,L$1,'Region 26'!$X$2:$X$500,$D495,'Region 26'!$S$2:$S$500,$A495)</f>
        <v>#DIV/0!</v>
      </c>
      <c r="M495" t="e">
        <f ca="1">AVERAGEIFS('Region 26'!$W$2:$W$500,'Region 26'!$A$2:$A$500,M$1,'Region 26'!$X$2:$X$500,$D495,'Region 26'!$S$2:$S$500,$A495)</f>
        <v>#DIV/0!</v>
      </c>
      <c r="N495" t="e">
        <f ca="1">AVERAGEIFS('Region 26'!$W$2:$W$500,'Region 26'!$A$2:$A$500,N$1,'Region 26'!$X$2:$X$500,$D495,'Region 26'!$S$2:$S$500,$A495)</f>
        <v>#DIV/0!</v>
      </c>
      <c r="Q495" t="str">
        <f t="shared" si="459"/>
        <v>Aluminium</v>
      </c>
      <c r="R495" t="str">
        <f t="shared" si="460"/>
        <v>Appartments</v>
      </c>
      <c r="S495">
        <f t="shared" si="461"/>
        <v>26</v>
      </c>
      <c r="T495" t="str">
        <f t="shared" ca="1" si="441"/>
        <v>-</v>
      </c>
      <c r="U495" t="str">
        <f t="shared" ca="1" si="442"/>
        <v>-</v>
      </c>
      <c r="V495" t="str">
        <f t="shared" ca="1" si="443"/>
        <v>-</v>
      </c>
      <c r="W495" t="str">
        <f t="shared" ca="1" si="444"/>
        <v>-</v>
      </c>
      <c r="X495" t="str">
        <f t="shared" ca="1" si="445"/>
        <v>-</v>
      </c>
      <c r="Y495" t="str">
        <f t="shared" ca="1" si="446"/>
        <v>-</v>
      </c>
      <c r="Z495" t="str">
        <f t="shared" ca="1" si="447"/>
        <v>-</v>
      </c>
      <c r="AA495" t="str">
        <f t="shared" ca="1" si="448"/>
        <v>-</v>
      </c>
      <c r="AB495" t="str">
        <f t="shared" ca="1" si="449"/>
        <v>-</v>
      </c>
      <c r="AC495" t="str">
        <f t="shared" ca="1" si="450"/>
        <v>-</v>
      </c>
    </row>
    <row r="496" spans="1:29" x14ac:dyDescent="0.3">
      <c r="A496" t="s">
        <v>290</v>
      </c>
      <c r="B496" t="str">
        <f t="shared" ref="B496:D496" si="498">B392</f>
        <v>High-rise</v>
      </c>
      <c r="C496">
        <f t="shared" si="498"/>
        <v>1</v>
      </c>
      <c r="D496">
        <f t="shared" si="498"/>
        <v>4</v>
      </c>
      <c r="E496" t="e">
        <f>AVERAGEIFS('Region 1'!$W$2:$W$498,'Region 1'!$A$2:$A$498,E$1,'Region 1'!$X$2:$X$498,$D496,'Region 1'!$S$2:$S$498,$A496)</f>
        <v>#DIV/0!</v>
      </c>
      <c r="F496" t="e">
        <f>AVERAGEIFS('Region 1'!$W$2:$W$498,'Region 1'!$A$2:$A$498,F$1,'Region 1'!$X$2:$X$498,$D496,'Region 1'!$S$2:$S$498,$A496)</f>
        <v>#DIV/0!</v>
      </c>
      <c r="G496" t="e">
        <f>AVERAGEIFS('Region 1'!$W$2:$W$498,'Region 1'!$A$2:$A$498,G$1,'Region 1'!$X$2:$X$498,$D496,'Region 1'!$S$2:$S$498,$A496)</f>
        <v>#DIV/0!</v>
      </c>
      <c r="H496" t="e">
        <f>AVERAGEIFS('Region 1'!$W$2:$W$498,'Region 1'!$A$2:$A$498,H$1,'Region 1'!$X$2:$X$498,$D496,'Region 1'!$S$2:$S$498,$A496)</f>
        <v>#DIV/0!</v>
      </c>
      <c r="I496" t="e">
        <f>AVERAGEIFS('Region 1'!$W$2:$W$498,'Region 1'!$A$2:$A$498,I$1,'Region 1'!$X$2:$X$498,$D496,'Region 1'!$S$2:$S$498,$A496)</f>
        <v>#DIV/0!</v>
      </c>
      <c r="J496" t="e">
        <f>AVERAGEIFS('Region 1'!$W$2:$W$498,'Region 1'!$A$2:$A$498,J$1,'Region 1'!$X$2:$X$498,$D496,'Region 1'!$S$2:$S$498,$A496)</f>
        <v>#DIV/0!</v>
      </c>
      <c r="K496" t="e">
        <f>AVERAGEIFS('Region 1'!$W$2:$W$498,'Region 1'!$A$2:$A$498,K$1,'Region 1'!$X$2:$X$498,$D496,'Region 1'!$S$2:$S$498,$A496)</f>
        <v>#DIV/0!</v>
      </c>
      <c r="L496" t="e">
        <f>AVERAGEIFS('Region 1'!$W$2:$W$498,'Region 1'!$A$2:$A$498,L$1,'Region 1'!$X$2:$X$498,$D496,'Region 1'!$S$2:$S$498,$A496)</f>
        <v>#DIV/0!</v>
      </c>
      <c r="M496" t="e">
        <f>AVERAGEIFS('Region 1'!$W$2:$W$498,'Region 1'!$A$2:$A$498,M$1,'Region 1'!$X$2:$X$498,$D496,'Region 1'!$S$2:$S$498,$A496)</f>
        <v>#DIV/0!</v>
      </c>
      <c r="N496" t="e">
        <f>AVERAGEIFS('Region 1'!$W$2:$W$498,'Region 1'!$A$2:$A$498,N$1,'Region 1'!$X$2:$X$498,$D496,'Region 1'!$S$2:$S$498,$A496)</f>
        <v>#DIV/0!</v>
      </c>
      <c r="Q496" t="str">
        <f t="shared" si="459"/>
        <v>Aluminium</v>
      </c>
      <c r="R496" t="str">
        <f t="shared" si="460"/>
        <v>High-rise</v>
      </c>
      <c r="S496">
        <f t="shared" si="461"/>
        <v>1</v>
      </c>
      <c r="T496" t="str">
        <f t="shared" si="441"/>
        <v>-</v>
      </c>
      <c r="U496" t="str">
        <f t="shared" si="442"/>
        <v>-</v>
      </c>
      <c r="V496" t="str">
        <f t="shared" si="443"/>
        <v>-</v>
      </c>
      <c r="W496" t="str">
        <f t="shared" si="444"/>
        <v>-</v>
      </c>
      <c r="X496" t="str">
        <f t="shared" si="445"/>
        <v>-</v>
      </c>
      <c r="Y496" t="str">
        <f t="shared" si="446"/>
        <v>-</v>
      </c>
      <c r="Z496" t="str">
        <f t="shared" si="447"/>
        <v>-</v>
      </c>
      <c r="AA496" t="str">
        <f t="shared" si="448"/>
        <v>-</v>
      </c>
      <c r="AB496" t="str">
        <f t="shared" si="449"/>
        <v>-</v>
      </c>
      <c r="AC496" t="str">
        <f t="shared" si="450"/>
        <v>-</v>
      </c>
    </row>
    <row r="497" spans="1:29" x14ac:dyDescent="0.3">
      <c r="A497" t="s">
        <v>290</v>
      </c>
      <c r="B497" t="str">
        <f t="shared" ref="B497:D497" si="499">B393</f>
        <v>High-rise</v>
      </c>
      <c r="C497">
        <f t="shared" si="499"/>
        <v>2</v>
      </c>
      <c r="D497">
        <f t="shared" si="499"/>
        <v>4</v>
      </c>
      <c r="E497" t="e">
        <f>AVERAGEIFS('Region 2'!$W$2:$W$498,'Region 2'!$A$2:$A$498,E$1,'Region 2'!$X$2:$X$498,$D497,'Region 2'!$S$2:$S$498,$A497)</f>
        <v>#DIV/0!</v>
      </c>
      <c r="F497" t="e">
        <f>AVERAGEIFS('Region 2'!$W$2:$W$498,'Region 2'!$A$2:$A$498,F$1,'Region 2'!$X$2:$X$498,$D497,'Region 2'!$S$2:$S$498,$A497)</f>
        <v>#DIV/0!</v>
      </c>
      <c r="G497">
        <f>AVERAGEIFS('Region 2'!$W$2:$W$498,'Region 2'!$A$2:$A$498,G$1,'Region 2'!$X$2:$X$498,$D497,'Region 2'!$S$2:$S$498,$A497)</f>
        <v>3.0473839500458659</v>
      </c>
      <c r="H497" t="e">
        <f>AVERAGEIFS('Region 2'!$W$2:$W$498,'Region 2'!$A$2:$A$498,H$1,'Region 2'!$X$2:$X$498,$D497,'Region 2'!$S$2:$S$498,$A497)</f>
        <v>#DIV/0!</v>
      </c>
      <c r="I497" t="e">
        <f>AVERAGEIFS('Region 2'!$W$2:$W$498,'Region 2'!$A$2:$A$498,I$1,'Region 2'!$X$2:$X$498,$D497,'Region 2'!$S$2:$S$498,$A497)</f>
        <v>#DIV/0!</v>
      </c>
      <c r="J497" t="e">
        <f>AVERAGEIFS('Region 2'!$W$2:$W$498,'Region 2'!$A$2:$A$498,J$1,'Region 2'!$X$2:$X$498,$D497,'Region 2'!$S$2:$S$498,$A497)</f>
        <v>#DIV/0!</v>
      </c>
      <c r="K497" t="e">
        <f>AVERAGEIFS('Region 2'!$W$2:$W$498,'Region 2'!$A$2:$A$498,K$1,'Region 2'!$X$2:$X$498,$D497,'Region 2'!$S$2:$S$498,$A497)</f>
        <v>#DIV/0!</v>
      </c>
      <c r="L497" t="e">
        <f>AVERAGEIFS('Region 2'!$W$2:$W$498,'Region 2'!$A$2:$A$498,L$1,'Region 2'!$X$2:$X$498,$D497,'Region 2'!$S$2:$S$498,$A497)</f>
        <v>#DIV/0!</v>
      </c>
      <c r="M497" t="e">
        <f>AVERAGEIFS('Region 2'!$W$2:$W$498,'Region 2'!$A$2:$A$498,M$1,'Region 2'!$X$2:$X$498,$D497,'Region 2'!$S$2:$S$498,$A497)</f>
        <v>#DIV/0!</v>
      </c>
      <c r="N497" t="e">
        <f>AVERAGEIFS('Region 2'!$W$2:$W$498,'Region 2'!$A$2:$A$498,N$1,'Region 2'!$X$2:$X$498,$D497,'Region 2'!$S$2:$S$498,$A497)</f>
        <v>#DIV/0!</v>
      </c>
      <c r="Q497" t="str">
        <f t="shared" si="459"/>
        <v>Aluminium</v>
      </c>
      <c r="R497" t="str">
        <f t="shared" si="460"/>
        <v>High-rise</v>
      </c>
      <c r="S497">
        <f t="shared" si="461"/>
        <v>2</v>
      </c>
      <c r="T497" t="str">
        <f t="shared" si="441"/>
        <v>-</v>
      </c>
      <c r="U497" t="str">
        <f t="shared" si="442"/>
        <v>-</v>
      </c>
      <c r="V497">
        <f t="shared" si="443"/>
        <v>3.0473839500458659</v>
      </c>
      <c r="W497" t="str">
        <f t="shared" si="444"/>
        <v>-</v>
      </c>
      <c r="X497" t="str">
        <f t="shared" si="445"/>
        <v>-</v>
      </c>
      <c r="Y497" t="str">
        <f t="shared" si="446"/>
        <v>-</v>
      </c>
      <c r="Z497" t="str">
        <f t="shared" si="447"/>
        <v>-</v>
      </c>
      <c r="AA497" t="str">
        <f t="shared" si="448"/>
        <v>-</v>
      </c>
      <c r="AB497" t="str">
        <f t="shared" si="449"/>
        <v>-</v>
      </c>
      <c r="AC497" t="str">
        <f t="shared" si="450"/>
        <v>-</v>
      </c>
    </row>
    <row r="498" spans="1:29" x14ac:dyDescent="0.3">
      <c r="A498" t="s">
        <v>290</v>
      </c>
      <c r="B498" t="str">
        <f t="shared" ref="B498:D498" si="500">B394</f>
        <v>High-rise</v>
      </c>
      <c r="C498">
        <f t="shared" si="500"/>
        <v>3</v>
      </c>
      <c r="D498">
        <f t="shared" si="500"/>
        <v>4</v>
      </c>
      <c r="E498" t="e">
        <f ca="1">AVERAGEIFS('Region 3'!$W$2:$W$500,'Region 3'!$A$2:$A$500,E$1,'Region 3'!$X$2:$X$500,$D498,'Region 3'!$S$2:$S$500,$A498)</f>
        <v>#DIV/0!</v>
      </c>
      <c r="F498" t="e">
        <f ca="1">AVERAGEIFS('Region 3'!$W$2:$W$500,'Region 3'!$A$2:$A$500,F$1,'Region 3'!$X$2:$X$500,$D498,'Region 3'!$S$2:$S$500,$A498)</f>
        <v>#DIV/0!</v>
      </c>
      <c r="G498" t="e">
        <f ca="1">AVERAGEIFS('Region 3'!$W$2:$W$500,'Region 3'!$A$2:$A$500,G$1,'Region 3'!$X$2:$X$500,$D498,'Region 3'!$S$2:$S$500,$A498)</f>
        <v>#DIV/0!</v>
      </c>
      <c r="H498" t="e">
        <f ca="1">AVERAGEIFS('Region 3'!$W$2:$W$500,'Region 3'!$A$2:$A$500,H$1,'Region 3'!$X$2:$X$500,$D498,'Region 3'!$S$2:$S$500,$A498)</f>
        <v>#DIV/0!</v>
      </c>
      <c r="I498" t="e">
        <f ca="1">AVERAGEIFS('Region 3'!$W$2:$W$500,'Region 3'!$A$2:$A$500,I$1,'Region 3'!$X$2:$X$500,$D498,'Region 3'!$S$2:$S$500,$A498)</f>
        <v>#DIV/0!</v>
      </c>
      <c r="J498" t="e">
        <f ca="1">AVERAGEIFS('Region 3'!$W$2:$W$500,'Region 3'!$A$2:$A$500,J$1,'Region 3'!$X$2:$X$500,$D498,'Region 3'!$S$2:$S$500,$A498)</f>
        <v>#DIV/0!</v>
      </c>
      <c r="K498" t="e">
        <f ca="1">AVERAGEIFS('Region 3'!$W$2:$W$500,'Region 3'!$A$2:$A$500,K$1,'Region 3'!$X$2:$X$500,$D498,'Region 3'!$S$2:$S$500,$A498)</f>
        <v>#DIV/0!</v>
      </c>
      <c r="L498" t="e">
        <f ca="1">AVERAGEIFS('Region 3'!$W$2:$W$500,'Region 3'!$A$2:$A$500,L$1,'Region 3'!$X$2:$X$500,$D498,'Region 3'!$S$2:$S$500,$A498)</f>
        <v>#DIV/0!</v>
      </c>
      <c r="M498" t="e">
        <f ca="1">AVERAGEIFS('Region 3'!$W$2:$W$500,'Region 3'!$A$2:$A$500,M$1,'Region 3'!$X$2:$X$500,$D498,'Region 3'!$S$2:$S$500,$A498)</f>
        <v>#DIV/0!</v>
      </c>
      <c r="N498" t="e">
        <f ca="1">AVERAGEIFS('Region 3'!$W$2:$W$500,'Region 3'!$A$2:$A$500,N$1,'Region 3'!$X$2:$X$500,$D498,'Region 3'!$S$2:$S$500,$A498)</f>
        <v>#DIV/0!</v>
      </c>
      <c r="Q498" t="str">
        <f t="shared" si="459"/>
        <v>Aluminium</v>
      </c>
      <c r="R498" t="str">
        <f t="shared" si="460"/>
        <v>High-rise</v>
      </c>
      <c r="S498">
        <f t="shared" si="461"/>
        <v>3</v>
      </c>
      <c r="T498" t="str">
        <f t="shared" ca="1" si="441"/>
        <v>-</v>
      </c>
      <c r="U498" t="str">
        <f t="shared" ca="1" si="442"/>
        <v>-</v>
      </c>
      <c r="V498" t="str">
        <f t="shared" ca="1" si="443"/>
        <v>-</v>
      </c>
      <c r="W498" t="str">
        <f t="shared" ca="1" si="444"/>
        <v>-</v>
      </c>
      <c r="X498" t="str">
        <f t="shared" ca="1" si="445"/>
        <v>-</v>
      </c>
      <c r="Y498" t="str">
        <f t="shared" ca="1" si="446"/>
        <v>-</v>
      </c>
      <c r="Z498" t="str">
        <f t="shared" ca="1" si="447"/>
        <v>-</v>
      </c>
      <c r="AA498" t="str">
        <f t="shared" ca="1" si="448"/>
        <v>-</v>
      </c>
      <c r="AB498" t="str">
        <f t="shared" ca="1" si="449"/>
        <v>-</v>
      </c>
      <c r="AC498" t="str">
        <f t="shared" ca="1" si="450"/>
        <v>-</v>
      </c>
    </row>
    <row r="499" spans="1:29" x14ac:dyDescent="0.3">
      <c r="A499" t="s">
        <v>290</v>
      </c>
      <c r="B499" t="str">
        <f t="shared" ref="B499:D499" si="501">B395</f>
        <v>High-rise</v>
      </c>
      <c r="C499">
        <f t="shared" si="501"/>
        <v>4</v>
      </c>
      <c r="D499">
        <f t="shared" si="501"/>
        <v>4</v>
      </c>
      <c r="E499" t="e">
        <f>AVERAGEIFS('Region 4'!$W$2:$W$10,'Region 4'!$A$2:$A$10,E$1,'Region 4'!$X$2:$X$10,$D499,'Region 4'!$S$2:$S$10,$A499)</f>
        <v>#DIV/0!</v>
      </c>
      <c r="F499" t="e">
        <f>AVERAGEIFS('Region 4'!$W$2:$W$10,'Region 4'!$A$2:$A$10,F$1,'Region 4'!$X$2:$X$10,$D499,'Region 4'!$S$2:$S$10,$A499)</f>
        <v>#DIV/0!</v>
      </c>
      <c r="G499" t="e">
        <f>AVERAGEIFS('Region 4'!$W$2:$W$10,'Region 4'!$A$2:$A$10,G$1,'Region 4'!$X$2:$X$10,$D499,'Region 4'!$S$2:$S$10,$A499)</f>
        <v>#DIV/0!</v>
      </c>
      <c r="H499" t="e">
        <f>AVERAGEIFS('Region 4'!$W$2:$W$10,'Region 4'!$A$2:$A$10,H$1,'Region 4'!$X$2:$X$10,$D499,'Region 4'!$S$2:$S$10,$A499)</f>
        <v>#DIV/0!</v>
      </c>
      <c r="I499" t="e">
        <f>AVERAGEIFS('Region 4'!$W$2:$W$10,'Region 4'!$A$2:$A$10,I$1,'Region 4'!$X$2:$X$10,$D499,'Region 4'!$S$2:$S$10,$A499)</f>
        <v>#DIV/0!</v>
      </c>
      <c r="J499" t="e">
        <f>AVERAGEIFS('Region 4'!$W$2:$W$10,'Region 4'!$A$2:$A$10,J$1,'Region 4'!$X$2:$X$10,$D499,'Region 4'!$S$2:$S$10,$A499)</f>
        <v>#DIV/0!</v>
      </c>
      <c r="K499" t="e">
        <f>AVERAGEIFS('Region 4'!$W$2:$W$10,'Region 4'!$A$2:$A$10,K$1,'Region 4'!$X$2:$X$10,$D499,'Region 4'!$S$2:$S$10,$A499)</f>
        <v>#DIV/0!</v>
      </c>
      <c r="L499" t="e">
        <f>AVERAGEIFS('Region 4'!$W$2:$W$10,'Region 4'!$A$2:$A$10,L$1,'Region 4'!$X$2:$X$10,$D499,'Region 4'!$S$2:$S$10,$A499)</f>
        <v>#DIV/0!</v>
      </c>
      <c r="M499" t="e">
        <f>AVERAGEIFS('Region 4'!$W$2:$W$10,'Region 4'!$A$2:$A$10,M$1,'Region 4'!$X$2:$X$10,$D499,'Region 4'!$S$2:$S$10,$A499)</f>
        <v>#DIV/0!</v>
      </c>
      <c r="N499" t="e">
        <f>AVERAGEIFS('Region 4'!$W$2:$W$10,'Region 4'!$A$2:$A$10,N$1,'Region 4'!$X$2:$X$10,$D499,'Region 4'!$S$2:$S$10,$A499)</f>
        <v>#DIV/0!</v>
      </c>
      <c r="Q499" t="str">
        <f t="shared" si="459"/>
        <v>Aluminium</v>
      </c>
      <c r="R499" t="str">
        <f t="shared" si="460"/>
        <v>High-rise</v>
      </c>
      <c r="S499">
        <f t="shared" si="461"/>
        <v>4</v>
      </c>
      <c r="T499" t="str">
        <f t="shared" si="441"/>
        <v>-</v>
      </c>
      <c r="U499" t="str">
        <f t="shared" si="442"/>
        <v>-</v>
      </c>
      <c r="V499" t="str">
        <f t="shared" si="443"/>
        <v>-</v>
      </c>
      <c r="W499" t="str">
        <f t="shared" si="444"/>
        <v>-</v>
      </c>
      <c r="X499" t="str">
        <f t="shared" si="445"/>
        <v>-</v>
      </c>
      <c r="Y499" t="str">
        <f t="shared" si="446"/>
        <v>-</v>
      </c>
      <c r="Z499" t="str">
        <f t="shared" si="447"/>
        <v>-</v>
      </c>
      <c r="AA499" t="str">
        <f t="shared" si="448"/>
        <v>-</v>
      </c>
      <c r="AB499" t="str">
        <f t="shared" si="449"/>
        <v>-</v>
      </c>
      <c r="AC499" t="str">
        <f t="shared" si="450"/>
        <v>-</v>
      </c>
    </row>
    <row r="500" spans="1:29" x14ac:dyDescent="0.3">
      <c r="A500" t="s">
        <v>290</v>
      </c>
      <c r="B500" t="str">
        <f t="shared" ref="B500:D500" si="502">B396</f>
        <v>High-rise</v>
      </c>
      <c r="C500">
        <f t="shared" si="502"/>
        <v>5</v>
      </c>
      <c r="D500">
        <f t="shared" si="502"/>
        <v>4</v>
      </c>
      <c r="E500" t="e">
        <f>AVERAGEIFS('Region 5'!$W$2:$W$496,'Region 5'!$A$2:$A$496,E$1,'Region 5'!$X$2:$X$496,$D500,'Region 5'!$S$2:$S$496,$A500)</f>
        <v>#DIV/0!</v>
      </c>
      <c r="F500" t="e">
        <f>AVERAGEIFS('Region 5'!$W$2:$W$496,'Region 5'!$A$2:$A$496,F$1,'Region 5'!$X$2:$X$496,$D500,'Region 5'!$S$2:$S$496,$A500)</f>
        <v>#DIV/0!</v>
      </c>
      <c r="G500" t="e">
        <f>AVERAGEIFS('Region 5'!$W$2:$W$496,'Region 5'!$A$2:$A$496,G$1,'Region 5'!$X$2:$X$496,$D500,'Region 5'!$S$2:$S$496,$A500)</f>
        <v>#DIV/0!</v>
      </c>
      <c r="H500" t="e">
        <f>AVERAGEIFS('Region 5'!$W$2:$W$496,'Region 5'!$A$2:$A$496,H$1,'Region 5'!$X$2:$X$496,$D500,'Region 5'!$S$2:$S$496,$A500)</f>
        <v>#DIV/0!</v>
      </c>
      <c r="I500" t="e">
        <f>AVERAGEIFS('Region 5'!$W$2:$W$496,'Region 5'!$A$2:$A$496,I$1,'Region 5'!$X$2:$X$496,$D500,'Region 5'!$S$2:$S$496,$A500)</f>
        <v>#DIV/0!</v>
      </c>
      <c r="J500" t="e">
        <f>AVERAGEIFS('Region 5'!$W$2:$W$496,'Region 5'!$A$2:$A$496,J$1,'Region 5'!$X$2:$X$496,$D500,'Region 5'!$S$2:$S$496,$A500)</f>
        <v>#DIV/0!</v>
      </c>
      <c r="K500" t="e">
        <f>AVERAGEIFS('Region 5'!$W$2:$W$496,'Region 5'!$A$2:$A$496,K$1,'Region 5'!$X$2:$X$496,$D500,'Region 5'!$S$2:$S$496,$A500)</f>
        <v>#DIV/0!</v>
      </c>
      <c r="L500" t="e">
        <f>AVERAGEIFS('Region 5'!$W$2:$W$496,'Region 5'!$A$2:$A$496,L$1,'Region 5'!$X$2:$X$496,$D500,'Region 5'!$S$2:$S$496,$A500)</f>
        <v>#DIV/0!</v>
      </c>
      <c r="M500" t="e">
        <f>AVERAGEIFS('Region 5'!$W$2:$W$496,'Region 5'!$A$2:$A$496,M$1,'Region 5'!$X$2:$X$496,$D500,'Region 5'!$S$2:$S$496,$A500)</f>
        <v>#DIV/0!</v>
      </c>
      <c r="N500" t="e">
        <f>AVERAGEIFS('Region 5'!$W$2:$W$496,'Region 5'!$A$2:$A$496,N$1,'Region 5'!$X$2:$X$496,$D500,'Region 5'!$S$2:$S$496,$A500)</f>
        <v>#DIV/0!</v>
      </c>
      <c r="Q500" t="str">
        <f t="shared" si="459"/>
        <v>Aluminium</v>
      </c>
      <c r="R500" t="str">
        <f t="shared" si="460"/>
        <v>High-rise</v>
      </c>
      <c r="S500">
        <f t="shared" si="461"/>
        <v>5</v>
      </c>
      <c r="T500" t="str">
        <f t="shared" si="441"/>
        <v>-</v>
      </c>
      <c r="U500" t="str">
        <f t="shared" si="442"/>
        <v>-</v>
      </c>
      <c r="V500" t="str">
        <f t="shared" si="443"/>
        <v>-</v>
      </c>
      <c r="W500" t="str">
        <f t="shared" si="444"/>
        <v>-</v>
      </c>
      <c r="X500" t="str">
        <f t="shared" si="445"/>
        <v>-</v>
      </c>
      <c r="Y500" t="str">
        <f t="shared" si="446"/>
        <v>-</v>
      </c>
      <c r="Z500" t="str">
        <f t="shared" si="447"/>
        <v>-</v>
      </c>
      <c r="AA500" t="str">
        <f t="shared" si="448"/>
        <v>-</v>
      </c>
      <c r="AB500" t="str">
        <f t="shared" si="449"/>
        <v>-</v>
      </c>
      <c r="AC500" t="str">
        <f t="shared" si="450"/>
        <v>-</v>
      </c>
    </row>
    <row r="501" spans="1:29" x14ac:dyDescent="0.3">
      <c r="A501" t="s">
        <v>290</v>
      </c>
      <c r="B501" t="str">
        <f t="shared" ref="B501:D501" si="503">B397</f>
        <v>High-rise</v>
      </c>
      <c r="C501">
        <f t="shared" si="503"/>
        <v>6</v>
      </c>
      <c r="D501">
        <f t="shared" si="503"/>
        <v>4</v>
      </c>
      <c r="E501" t="e">
        <f>AVERAGEIFS('Region 6'!$W$2:$W$496,'Region 6'!$A$2:$A$496,E$1,'Region 6'!$X$2:$X$496,$D501,'Region 6'!$S$2:$S$496,$A501)</f>
        <v>#DIV/0!</v>
      </c>
      <c r="F501" t="e">
        <f>AVERAGEIFS('Region 6'!$W$2:$W$496,'Region 6'!$A$2:$A$496,F$1,'Region 6'!$X$2:$X$496,$D501,'Region 6'!$S$2:$S$496,$A501)</f>
        <v>#DIV/0!</v>
      </c>
      <c r="G501" t="e">
        <f>AVERAGEIFS('Region 6'!$W$2:$W$496,'Region 6'!$A$2:$A$496,G$1,'Region 6'!$X$2:$X$496,$D501,'Region 6'!$S$2:$S$496,$A501)</f>
        <v>#DIV/0!</v>
      </c>
      <c r="H501" t="e">
        <f>AVERAGEIFS('Region 6'!$W$2:$W$496,'Region 6'!$A$2:$A$496,H$1,'Region 6'!$X$2:$X$496,$D501,'Region 6'!$S$2:$S$496,$A501)</f>
        <v>#DIV/0!</v>
      </c>
      <c r="I501" t="e">
        <f>AVERAGEIFS('Region 6'!$W$2:$W$496,'Region 6'!$A$2:$A$496,I$1,'Region 6'!$X$2:$X$496,$D501,'Region 6'!$S$2:$S$496,$A501)</f>
        <v>#DIV/0!</v>
      </c>
      <c r="J501" t="e">
        <f>AVERAGEIFS('Region 6'!$W$2:$W$496,'Region 6'!$A$2:$A$496,J$1,'Region 6'!$X$2:$X$496,$D501,'Region 6'!$S$2:$S$496,$A501)</f>
        <v>#DIV/0!</v>
      </c>
      <c r="K501" t="e">
        <f>AVERAGEIFS('Region 6'!$W$2:$W$496,'Region 6'!$A$2:$A$496,K$1,'Region 6'!$X$2:$X$496,$D501,'Region 6'!$S$2:$S$496,$A501)</f>
        <v>#DIV/0!</v>
      </c>
      <c r="L501" t="e">
        <f>AVERAGEIFS('Region 6'!$W$2:$W$496,'Region 6'!$A$2:$A$496,L$1,'Region 6'!$X$2:$X$496,$D501,'Region 6'!$S$2:$S$496,$A501)</f>
        <v>#DIV/0!</v>
      </c>
      <c r="M501" t="e">
        <f>AVERAGEIFS('Region 6'!$W$2:$W$496,'Region 6'!$A$2:$A$496,M$1,'Region 6'!$X$2:$X$496,$D501,'Region 6'!$S$2:$S$496,$A501)</f>
        <v>#DIV/0!</v>
      </c>
      <c r="N501" t="e">
        <f>AVERAGEIFS('Region 6'!$W$2:$W$496,'Region 6'!$A$2:$A$496,N$1,'Region 6'!$X$2:$X$496,$D501,'Region 6'!$S$2:$S$496,$A501)</f>
        <v>#DIV/0!</v>
      </c>
      <c r="Q501" t="str">
        <f t="shared" si="459"/>
        <v>Aluminium</v>
      </c>
      <c r="R501" t="str">
        <f t="shared" si="460"/>
        <v>High-rise</v>
      </c>
      <c r="S501">
        <f t="shared" si="461"/>
        <v>6</v>
      </c>
      <c r="T501" t="str">
        <f t="shared" si="441"/>
        <v>-</v>
      </c>
      <c r="U501" t="str">
        <f t="shared" si="442"/>
        <v>-</v>
      </c>
      <c r="V501" t="str">
        <f t="shared" si="443"/>
        <v>-</v>
      </c>
      <c r="W501" t="str">
        <f t="shared" si="444"/>
        <v>-</v>
      </c>
      <c r="X501" t="str">
        <f t="shared" si="445"/>
        <v>-</v>
      </c>
      <c r="Y501" t="str">
        <f t="shared" si="446"/>
        <v>-</v>
      </c>
      <c r="Z501" t="str">
        <f t="shared" si="447"/>
        <v>-</v>
      </c>
      <c r="AA501" t="str">
        <f t="shared" si="448"/>
        <v>-</v>
      </c>
      <c r="AB501" t="str">
        <f t="shared" si="449"/>
        <v>-</v>
      </c>
      <c r="AC501" t="str">
        <f t="shared" si="450"/>
        <v>-</v>
      </c>
    </row>
    <row r="502" spans="1:29" x14ac:dyDescent="0.3">
      <c r="A502" t="s">
        <v>290</v>
      </c>
      <c r="B502" t="str">
        <f t="shared" ref="B502:D502" si="504">B398</f>
        <v>High-rise</v>
      </c>
      <c r="C502">
        <f t="shared" si="504"/>
        <v>7</v>
      </c>
      <c r="D502">
        <f t="shared" si="504"/>
        <v>4</v>
      </c>
      <c r="E502" t="e">
        <f ca="1">AVERAGEIFS('Region 7'!$W$2:$W$500,'Region 7'!$A$2:$A$500,E$1,'Region 7'!$X$2:$X$500,$D502,'Region 7'!$S$2:$S$500,$A502)</f>
        <v>#DIV/0!</v>
      </c>
      <c r="F502" t="e">
        <f ca="1">AVERAGEIFS('Region 7'!$W$2:$W$500,'Region 7'!$A$2:$A$500,F$1,'Region 7'!$X$2:$X$500,$D502,'Region 7'!$S$2:$S$500,$A502)</f>
        <v>#DIV/0!</v>
      </c>
      <c r="G502" t="e">
        <f ca="1">AVERAGEIFS('Region 7'!$W$2:$W$500,'Region 7'!$A$2:$A$500,G$1,'Region 7'!$X$2:$X$500,$D502,'Region 7'!$S$2:$S$500,$A502)</f>
        <v>#DIV/0!</v>
      </c>
      <c r="H502" t="e">
        <f ca="1">AVERAGEIFS('Region 7'!$W$2:$W$500,'Region 7'!$A$2:$A$500,H$1,'Region 7'!$X$2:$X$500,$D502,'Region 7'!$S$2:$S$500,$A502)</f>
        <v>#DIV/0!</v>
      </c>
      <c r="I502" t="e">
        <f ca="1">AVERAGEIFS('Region 7'!$W$2:$W$500,'Region 7'!$A$2:$A$500,I$1,'Region 7'!$X$2:$X$500,$D502,'Region 7'!$S$2:$S$500,$A502)</f>
        <v>#DIV/0!</v>
      </c>
      <c r="J502" t="e">
        <f ca="1">AVERAGEIFS('Region 7'!$W$2:$W$500,'Region 7'!$A$2:$A$500,J$1,'Region 7'!$X$2:$X$500,$D502,'Region 7'!$S$2:$S$500,$A502)</f>
        <v>#DIV/0!</v>
      </c>
      <c r="K502" t="e">
        <f ca="1">AVERAGEIFS('Region 7'!$W$2:$W$500,'Region 7'!$A$2:$A$500,K$1,'Region 7'!$X$2:$X$500,$D502,'Region 7'!$S$2:$S$500,$A502)</f>
        <v>#DIV/0!</v>
      </c>
      <c r="L502" t="e">
        <f ca="1">AVERAGEIFS('Region 7'!$W$2:$W$500,'Region 7'!$A$2:$A$500,L$1,'Region 7'!$X$2:$X$500,$D502,'Region 7'!$S$2:$S$500,$A502)</f>
        <v>#DIV/0!</v>
      </c>
      <c r="M502" t="e">
        <f ca="1">AVERAGEIFS('Region 7'!$W$2:$W$500,'Region 7'!$A$2:$A$500,M$1,'Region 7'!$X$2:$X$500,$D502,'Region 7'!$S$2:$S$500,$A502)</f>
        <v>#DIV/0!</v>
      </c>
      <c r="N502" t="e">
        <f ca="1">AVERAGEIFS('Region 7'!$W$2:$W$500,'Region 7'!$A$2:$A$500,N$1,'Region 7'!$X$2:$X$500,$D502,'Region 7'!$S$2:$S$500,$A502)</f>
        <v>#DIV/0!</v>
      </c>
      <c r="Q502" t="str">
        <f t="shared" si="459"/>
        <v>Aluminium</v>
      </c>
      <c r="R502" t="str">
        <f t="shared" si="460"/>
        <v>High-rise</v>
      </c>
      <c r="S502">
        <f t="shared" si="461"/>
        <v>7</v>
      </c>
      <c r="T502" t="str">
        <f t="shared" ca="1" si="441"/>
        <v>-</v>
      </c>
      <c r="U502" t="str">
        <f t="shared" ca="1" si="442"/>
        <v>-</v>
      </c>
      <c r="V502" t="str">
        <f t="shared" ca="1" si="443"/>
        <v>-</v>
      </c>
      <c r="W502" t="str">
        <f t="shared" ca="1" si="444"/>
        <v>-</v>
      </c>
      <c r="X502" t="str">
        <f t="shared" ca="1" si="445"/>
        <v>-</v>
      </c>
      <c r="Y502" t="str">
        <f t="shared" ca="1" si="446"/>
        <v>-</v>
      </c>
      <c r="Z502" t="str">
        <f t="shared" ca="1" si="447"/>
        <v>-</v>
      </c>
      <c r="AA502" t="str">
        <f t="shared" ca="1" si="448"/>
        <v>-</v>
      </c>
      <c r="AB502" t="str">
        <f t="shared" ca="1" si="449"/>
        <v>-</v>
      </c>
      <c r="AC502" t="str">
        <f t="shared" ca="1" si="450"/>
        <v>-</v>
      </c>
    </row>
    <row r="503" spans="1:29" x14ac:dyDescent="0.3">
      <c r="A503" t="s">
        <v>290</v>
      </c>
      <c r="B503" t="str">
        <f t="shared" ref="B503:D503" si="505">B399</f>
        <v>High-rise</v>
      </c>
      <c r="C503">
        <f t="shared" si="505"/>
        <v>8</v>
      </c>
      <c r="D503">
        <f t="shared" si="505"/>
        <v>4</v>
      </c>
      <c r="E503" t="e">
        <f>AVERAGEIFS('Region 8'!$W$2:$W$497,'Region 8'!$A$2:$A$497,E$1,'Region 8'!$X$2:$X$497,$D503,'Region 8'!$S$2:$S$497,$A503)</f>
        <v>#DIV/0!</v>
      </c>
      <c r="F503" t="e">
        <f>AVERAGEIFS('Region 8'!$W$2:$W$497,'Region 8'!$A$2:$A$497,F$1,'Region 8'!$X$2:$X$497,$D503,'Region 8'!$S$2:$S$497,$A503)</f>
        <v>#DIV/0!</v>
      </c>
      <c r="G503" t="e">
        <f>AVERAGEIFS('Region 8'!$W$2:$W$497,'Region 8'!$A$2:$A$497,G$1,'Region 8'!$X$2:$X$497,$D503,'Region 8'!$S$2:$S$497,$A503)</f>
        <v>#DIV/0!</v>
      </c>
      <c r="H503" t="e">
        <f>AVERAGEIFS('Region 8'!$W$2:$W$497,'Region 8'!$A$2:$A$497,H$1,'Region 8'!$X$2:$X$497,$D503,'Region 8'!$S$2:$S$497,$A503)</f>
        <v>#DIV/0!</v>
      </c>
      <c r="I503" t="e">
        <f>AVERAGEIFS('Region 8'!$W$2:$W$497,'Region 8'!$A$2:$A$497,I$1,'Region 8'!$X$2:$X$497,$D503,'Region 8'!$S$2:$S$497,$A503)</f>
        <v>#DIV/0!</v>
      </c>
      <c r="J503" t="e">
        <f>AVERAGEIFS('Region 8'!$W$2:$W$497,'Region 8'!$A$2:$A$497,J$1,'Region 8'!$X$2:$X$497,$D503,'Region 8'!$S$2:$S$497,$A503)</f>
        <v>#DIV/0!</v>
      </c>
      <c r="K503" t="e">
        <f>AVERAGEIFS('Region 8'!$W$2:$W$497,'Region 8'!$A$2:$A$497,K$1,'Region 8'!$X$2:$X$497,$D503,'Region 8'!$S$2:$S$497,$A503)</f>
        <v>#DIV/0!</v>
      </c>
      <c r="L503" t="e">
        <f>AVERAGEIFS('Region 8'!$W$2:$W$497,'Region 8'!$A$2:$A$497,L$1,'Region 8'!$X$2:$X$497,$D503,'Region 8'!$S$2:$S$497,$A503)</f>
        <v>#DIV/0!</v>
      </c>
      <c r="M503" t="e">
        <f>AVERAGEIFS('Region 8'!$W$2:$W$497,'Region 8'!$A$2:$A$497,M$1,'Region 8'!$X$2:$X$497,$D503,'Region 8'!$S$2:$S$497,$A503)</f>
        <v>#DIV/0!</v>
      </c>
      <c r="N503" t="e">
        <f>AVERAGEIFS('Region 8'!$W$2:$W$497,'Region 8'!$A$2:$A$497,N$1,'Region 8'!$X$2:$X$497,$D503,'Region 8'!$S$2:$S$497,$A503)</f>
        <v>#DIV/0!</v>
      </c>
      <c r="Q503" t="str">
        <f t="shared" si="459"/>
        <v>Aluminium</v>
      </c>
      <c r="R503" t="str">
        <f t="shared" si="460"/>
        <v>High-rise</v>
      </c>
      <c r="S503">
        <f t="shared" si="461"/>
        <v>8</v>
      </c>
      <c r="T503" t="str">
        <f t="shared" si="441"/>
        <v>-</v>
      </c>
      <c r="U503" t="str">
        <f t="shared" si="442"/>
        <v>-</v>
      </c>
      <c r="V503" t="str">
        <f t="shared" si="443"/>
        <v>-</v>
      </c>
      <c r="W503" t="str">
        <f t="shared" si="444"/>
        <v>-</v>
      </c>
      <c r="X503" t="str">
        <f t="shared" si="445"/>
        <v>-</v>
      </c>
      <c r="Y503" t="str">
        <f t="shared" si="446"/>
        <v>-</v>
      </c>
      <c r="Z503" t="str">
        <f t="shared" si="447"/>
        <v>-</v>
      </c>
      <c r="AA503" t="str">
        <f t="shared" si="448"/>
        <v>-</v>
      </c>
      <c r="AB503" t="str">
        <f t="shared" si="449"/>
        <v>-</v>
      </c>
      <c r="AC503" t="str">
        <f t="shared" si="450"/>
        <v>-</v>
      </c>
    </row>
    <row r="504" spans="1:29" x14ac:dyDescent="0.3">
      <c r="A504" t="s">
        <v>290</v>
      </c>
      <c r="B504" t="str">
        <f t="shared" ref="B504:D504" si="506">B400</f>
        <v>High-rise</v>
      </c>
      <c r="C504">
        <f t="shared" si="506"/>
        <v>9</v>
      </c>
      <c r="D504">
        <f t="shared" si="506"/>
        <v>4</v>
      </c>
      <c r="E504" t="e">
        <f ca="1">AVERAGEIFS('Region 9'!$W$2:$W$500,'Region 9'!$A$2:$A$500,E$1,'Region 9'!$X$2:$X$500,$D504,'Region 9'!$S$2:$S$500,$A504)</f>
        <v>#DIV/0!</v>
      </c>
      <c r="F504" t="e">
        <f ca="1">AVERAGEIFS('Region 9'!$W$2:$W$500,'Region 9'!$A$2:$A$500,F$1,'Region 9'!$X$2:$X$500,$D504,'Region 9'!$S$2:$S$500,$A504)</f>
        <v>#DIV/0!</v>
      </c>
      <c r="G504" t="e">
        <f ca="1">AVERAGEIFS('Region 9'!$W$2:$W$500,'Region 9'!$A$2:$A$500,G$1,'Region 9'!$X$2:$X$500,$D504,'Region 9'!$S$2:$S$500,$A504)</f>
        <v>#DIV/0!</v>
      </c>
      <c r="H504" t="e">
        <f ca="1">AVERAGEIFS('Region 9'!$W$2:$W$500,'Region 9'!$A$2:$A$500,H$1,'Region 9'!$X$2:$X$500,$D504,'Region 9'!$S$2:$S$500,$A504)</f>
        <v>#DIV/0!</v>
      </c>
      <c r="I504" t="e">
        <f ca="1">AVERAGEIFS('Region 9'!$W$2:$W$500,'Region 9'!$A$2:$A$500,I$1,'Region 9'!$X$2:$X$500,$D504,'Region 9'!$S$2:$S$500,$A504)</f>
        <v>#DIV/0!</v>
      </c>
      <c r="J504" t="e">
        <f ca="1">AVERAGEIFS('Region 9'!$W$2:$W$500,'Region 9'!$A$2:$A$500,J$1,'Region 9'!$X$2:$X$500,$D504,'Region 9'!$S$2:$S$500,$A504)</f>
        <v>#DIV/0!</v>
      </c>
      <c r="K504" t="e">
        <f ca="1">AVERAGEIFS('Region 9'!$W$2:$W$500,'Region 9'!$A$2:$A$500,K$1,'Region 9'!$X$2:$X$500,$D504,'Region 9'!$S$2:$S$500,$A504)</f>
        <v>#DIV/0!</v>
      </c>
      <c r="L504" t="e">
        <f ca="1">AVERAGEIFS('Region 9'!$W$2:$W$500,'Region 9'!$A$2:$A$500,L$1,'Region 9'!$X$2:$X$500,$D504,'Region 9'!$S$2:$S$500,$A504)</f>
        <v>#DIV/0!</v>
      </c>
      <c r="M504" t="e">
        <f ca="1">AVERAGEIFS('Region 9'!$W$2:$W$500,'Region 9'!$A$2:$A$500,M$1,'Region 9'!$X$2:$X$500,$D504,'Region 9'!$S$2:$S$500,$A504)</f>
        <v>#DIV/0!</v>
      </c>
      <c r="N504" t="e">
        <f ca="1">AVERAGEIFS('Region 9'!$W$2:$W$500,'Region 9'!$A$2:$A$500,N$1,'Region 9'!$X$2:$X$500,$D504,'Region 9'!$S$2:$S$500,$A504)</f>
        <v>#DIV/0!</v>
      </c>
      <c r="Q504" t="str">
        <f t="shared" si="459"/>
        <v>Aluminium</v>
      </c>
      <c r="R504" t="str">
        <f t="shared" si="460"/>
        <v>High-rise</v>
      </c>
      <c r="S504">
        <f t="shared" si="461"/>
        <v>9</v>
      </c>
      <c r="T504" t="str">
        <f t="shared" ca="1" si="441"/>
        <v>-</v>
      </c>
      <c r="U504" t="str">
        <f t="shared" ca="1" si="442"/>
        <v>-</v>
      </c>
      <c r="V504" t="str">
        <f t="shared" ca="1" si="443"/>
        <v>-</v>
      </c>
      <c r="W504" t="str">
        <f t="shared" ca="1" si="444"/>
        <v>-</v>
      </c>
      <c r="X504" t="str">
        <f t="shared" ca="1" si="445"/>
        <v>-</v>
      </c>
      <c r="Y504" t="str">
        <f t="shared" ca="1" si="446"/>
        <v>-</v>
      </c>
      <c r="Z504" t="str">
        <f t="shared" ca="1" si="447"/>
        <v>-</v>
      </c>
      <c r="AA504" t="str">
        <f t="shared" ca="1" si="448"/>
        <v>-</v>
      </c>
      <c r="AB504" t="str">
        <f t="shared" ca="1" si="449"/>
        <v>-</v>
      </c>
      <c r="AC504" t="str">
        <f t="shared" ca="1" si="450"/>
        <v>-</v>
      </c>
    </row>
    <row r="505" spans="1:29" x14ac:dyDescent="0.3">
      <c r="A505" t="s">
        <v>290</v>
      </c>
      <c r="B505" t="str">
        <f t="shared" ref="B505:D505" si="507">B401</f>
        <v>High-rise</v>
      </c>
      <c r="C505">
        <f t="shared" si="507"/>
        <v>10</v>
      </c>
      <c r="D505">
        <f t="shared" si="507"/>
        <v>4</v>
      </c>
      <c r="E505" t="e">
        <f>AVERAGEIFS('Region 10'!$W$2:$W$500,'Region 10'!$A$2:$A$500,E$1,'Region 10'!$X$2:$X$500,$D505,'Region 10'!$S$2:$S$500,$A505)</f>
        <v>#DIV/0!</v>
      </c>
      <c r="F505" t="e">
        <f>AVERAGEIFS('Region 10'!$W$2:$W$500,'Region 10'!$A$2:$A$500,F$1,'Region 10'!$X$2:$X$500,$D505,'Region 10'!$S$2:$S$500,$A505)</f>
        <v>#DIV/0!</v>
      </c>
      <c r="G505" t="e">
        <f>AVERAGEIFS('Region 10'!$W$2:$W$500,'Region 10'!$A$2:$A$500,G$1,'Region 10'!$X$2:$X$500,$D505,'Region 10'!$S$2:$S$500,$A505)</f>
        <v>#DIV/0!</v>
      </c>
      <c r="H505" t="e">
        <f>AVERAGEIFS('Region 10'!$W$2:$W$500,'Region 10'!$A$2:$A$500,H$1,'Region 10'!$X$2:$X$500,$D505,'Region 10'!$S$2:$S$500,$A505)</f>
        <v>#DIV/0!</v>
      </c>
      <c r="I505" t="e">
        <f>AVERAGEIFS('Region 10'!$W$2:$W$500,'Region 10'!$A$2:$A$500,I$1,'Region 10'!$X$2:$X$500,$D505,'Region 10'!$S$2:$S$500,$A505)</f>
        <v>#DIV/0!</v>
      </c>
      <c r="J505" t="e">
        <f>AVERAGEIFS('Region 10'!$W$2:$W$500,'Region 10'!$A$2:$A$500,J$1,'Region 10'!$X$2:$X$500,$D505,'Region 10'!$S$2:$S$500,$A505)</f>
        <v>#DIV/0!</v>
      </c>
      <c r="K505" t="e">
        <f>AVERAGEIFS('Region 10'!$W$2:$W$500,'Region 10'!$A$2:$A$500,K$1,'Region 10'!$X$2:$X$500,$D505,'Region 10'!$S$2:$S$500,$A505)</f>
        <v>#DIV/0!</v>
      </c>
      <c r="L505" t="e">
        <f>AVERAGEIFS('Region 10'!$W$2:$W$500,'Region 10'!$A$2:$A$500,L$1,'Region 10'!$X$2:$X$500,$D505,'Region 10'!$S$2:$S$500,$A505)</f>
        <v>#DIV/0!</v>
      </c>
      <c r="M505" t="e">
        <f>AVERAGEIFS('Region 10'!$W$2:$W$500,'Region 10'!$A$2:$A$500,M$1,'Region 10'!$X$2:$X$500,$D505,'Region 10'!$S$2:$S$500,$A505)</f>
        <v>#DIV/0!</v>
      </c>
      <c r="N505" t="e">
        <f>AVERAGEIFS('Region 10'!$W$2:$W$500,'Region 10'!$A$2:$A$500,N$1,'Region 10'!$X$2:$X$500,$D505,'Region 10'!$S$2:$S$500,$A505)</f>
        <v>#DIV/0!</v>
      </c>
      <c r="Q505" t="str">
        <f t="shared" si="459"/>
        <v>Aluminium</v>
      </c>
      <c r="R505" t="str">
        <f t="shared" si="460"/>
        <v>High-rise</v>
      </c>
      <c r="S505">
        <f t="shared" si="461"/>
        <v>10</v>
      </c>
      <c r="T505" t="str">
        <f t="shared" si="441"/>
        <v>-</v>
      </c>
      <c r="U505" t="str">
        <f t="shared" si="442"/>
        <v>-</v>
      </c>
      <c r="V505" t="str">
        <f t="shared" si="443"/>
        <v>-</v>
      </c>
      <c r="W505" t="str">
        <f t="shared" si="444"/>
        <v>-</v>
      </c>
      <c r="X505" t="str">
        <f t="shared" si="445"/>
        <v>-</v>
      </c>
      <c r="Y505" t="str">
        <f t="shared" si="446"/>
        <v>-</v>
      </c>
      <c r="Z505" t="str">
        <f t="shared" si="447"/>
        <v>-</v>
      </c>
      <c r="AA505" t="str">
        <f t="shared" si="448"/>
        <v>-</v>
      </c>
      <c r="AB505" t="str">
        <f t="shared" si="449"/>
        <v>-</v>
      </c>
      <c r="AC505" t="str">
        <f t="shared" si="450"/>
        <v>-</v>
      </c>
    </row>
    <row r="506" spans="1:29" x14ac:dyDescent="0.3">
      <c r="A506" t="s">
        <v>290</v>
      </c>
      <c r="B506" t="str">
        <f t="shared" ref="B506:D506" si="508">B402</f>
        <v>High-rise</v>
      </c>
      <c r="C506">
        <f t="shared" si="508"/>
        <v>11</v>
      </c>
      <c r="D506">
        <f t="shared" si="508"/>
        <v>4</v>
      </c>
      <c r="E506" t="e">
        <f>AVERAGEIFS('Region 11'!$W$2:$W$391,'Region 11'!$A$2:$A$391,E$1,'Region 11'!$X$2:$X$391,$D506,'Region 11'!$S$2:$S$391,$A506)</f>
        <v>#DIV/0!</v>
      </c>
      <c r="F506" t="e">
        <f>AVERAGEIFS('Region 11'!$W$2:$W$391,'Region 11'!$A$2:$A$391,F$1,'Region 11'!$X$2:$X$391,$D506,'Region 11'!$S$2:$S$391,$A506)</f>
        <v>#DIV/0!</v>
      </c>
      <c r="G506" t="e">
        <f>AVERAGEIFS('Region 11'!$W$2:$W$391,'Region 11'!$A$2:$A$391,G$1,'Region 11'!$X$2:$X$391,$D506,'Region 11'!$S$2:$S$391,$A506)</f>
        <v>#DIV/0!</v>
      </c>
      <c r="H506" t="e">
        <f>AVERAGEIFS('Region 11'!$W$2:$W$391,'Region 11'!$A$2:$A$391,H$1,'Region 11'!$X$2:$X$391,$D506,'Region 11'!$S$2:$S$391,$A506)</f>
        <v>#DIV/0!</v>
      </c>
      <c r="I506" t="e">
        <f>AVERAGEIFS('Region 11'!$W$2:$W$391,'Region 11'!$A$2:$A$391,I$1,'Region 11'!$X$2:$X$391,$D506,'Region 11'!$S$2:$S$391,$A506)</f>
        <v>#DIV/0!</v>
      </c>
      <c r="J506" t="e">
        <f>AVERAGEIFS('Region 11'!$W$2:$W$391,'Region 11'!$A$2:$A$391,J$1,'Region 11'!$X$2:$X$391,$D506,'Region 11'!$S$2:$S$391,$A506)</f>
        <v>#DIV/0!</v>
      </c>
      <c r="K506" t="e">
        <f>AVERAGEIFS('Region 11'!$W$2:$W$391,'Region 11'!$A$2:$A$391,K$1,'Region 11'!$X$2:$X$391,$D506,'Region 11'!$S$2:$S$391,$A506)</f>
        <v>#DIV/0!</v>
      </c>
      <c r="L506" t="e">
        <f>AVERAGEIFS('Region 11'!$W$2:$W$391,'Region 11'!$A$2:$A$391,L$1,'Region 11'!$X$2:$X$391,$D506,'Region 11'!$S$2:$S$391,$A506)</f>
        <v>#DIV/0!</v>
      </c>
      <c r="M506" t="e">
        <f>AVERAGEIFS('Region 11'!$W$2:$W$391,'Region 11'!$A$2:$A$391,M$1,'Region 11'!$X$2:$X$391,$D506,'Region 11'!$S$2:$S$391,$A506)</f>
        <v>#DIV/0!</v>
      </c>
      <c r="N506" t="e">
        <f>AVERAGEIFS('Region 11'!$W$2:$W$391,'Region 11'!$A$2:$A$391,N$1,'Region 11'!$X$2:$X$391,$D506,'Region 11'!$S$2:$S$391,$A506)</f>
        <v>#DIV/0!</v>
      </c>
      <c r="Q506" t="str">
        <f t="shared" si="459"/>
        <v>Aluminium</v>
      </c>
      <c r="R506" t="str">
        <f t="shared" si="460"/>
        <v>High-rise</v>
      </c>
      <c r="S506">
        <f t="shared" si="461"/>
        <v>11</v>
      </c>
      <c r="T506" t="str">
        <f t="shared" si="441"/>
        <v>-</v>
      </c>
      <c r="U506" t="str">
        <f t="shared" si="442"/>
        <v>-</v>
      </c>
      <c r="V506" t="str">
        <f t="shared" si="443"/>
        <v>-</v>
      </c>
      <c r="W506" t="str">
        <f t="shared" si="444"/>
        <v>-</v>
      </c>
      <c r="X506" t="str">
        <f t="shared" si="445"/>
        <v>-</v>
      </c>
      <c r="Y506" t="str">
        <f t="shared" si="446"/>
        <v>-</v>
      </c>
      <c r="Z506" t="str">
        <f t="shared" si="447"/>
        <v>-</v>
      </c>
      <c r="AA506" t="str">
        <f t="shared" si="448"/>
        <v>-</v>
      </c>
      <c r="AB506" t="str">
        <f t="shared" si="449"/>
        <v>-</v>
      </c>
      <c r="AC506" t="str">
        <f t="shared" si="450"/>
        <v>-</v>
      </c>
    </row>
    <row r="507" spans="1:29" x14ac:dyDescent="0.3">
      <c r="A507" t="s">
        <v>290</v>
      </c>
      <c r="B507" t="str">
        <f t="shared" ref="B507:D507" si="509">B403</f>
        <v>High-rise</v>
      </c>
      <c r="C507">
        <f t="shared" si="509"/>
        <v>12</v>
      </c>
      <c r="D507">
        <f t="shared" si="509"/>
        <v>4</v>
      </c>
      <c r="E507" t="e">
        <f>AVERAGEIFS('Region 12'!$W$2:$W$459,'Region 12'!$A$2:$A$459,E$1,'Region 12'!$X$2:$X$459,$D507,'Region 12'!$S$2:$S$459,$A507)</f>
        <v>#DIV/0!</v>
      </c>
      <c r="F507" t="e">
        <f>AVERAGEIFS('Region 12'!$W$2:$W$459,'Region 12'!$A$2:$A$459,F$1,'Region 12'!$X$2:$X$459,$D507,'Region 12'!$S$2:$S$459,$A507)</f>
        <v>#DIV/0!</v>
      </c>
      <c r="G507" t="e">
        <f>AVERAGEIFS('Region 12'!$W$2:$W$459,'Region 12'!$A$2:$A$459,G$1,'Region 12'!$X$2:$X$459,$D507,'Region 12'!$S$2:$S$459,$A507)</f>
        <v>#DIV/0!</v>
      </c>
      <c r="H507" t="e">
        <f>AVERAGEIFS('Region 12'!$W$2:$W$459,'Region 12'!$A$2:$A$459,H$1,'Region 12'!$X$2:$X$459,$D507,'Region 12'!$S$2:$S$459,$A507)</f>
        <v>#DIV/0!</v>
      </c>
      <c r="I507" t="e">
        <f>AVERAGEIFS('Region 12'!$W$2:$W$459,'Region 12'!$A$2:$A$459,I$1,'Region 12'!$X$2:$X$459,$D507,'Region 12'!$S$2:$S$459,$A507)</f>
        <v>#DIV/0!</v>
      </c>
      <c r="J507" t="e">
        <f>AVERAGEIFS('Region 12'!$W$2:$W$459,'Region 12'!$A$2:$A$459,J$1,'Region 12'!$X$2:$X$459,$D507,'Region 12'!$S$2:$S$459,$A507)</f>
        <v>#DIV/0!</v>
      </c>
      <c r="K507" t="e">
        <f>AVERAGEIFS('Region 12'!$W$2:$W$459,'Region 12'!$A$2:$A$459,K$1,'Region 12'!$X$2:$X$459,$D507,'Region 12'!$S$2:$S$459,$A507)</f>
        <v>#DIV/0!</v>
      </c>
      <c r="L507" t="e">
        <f>AVERAGEIFS('Region 12'!$W$2:$W$459,'Region 12'!$A$2:$A$459,L$1,'Region 12'!$X$2:$X$459,$D507,'Region 12'!$S$2:$S$459,$A507)</f>
        <v>#DIV/0!</v>
      </c>
      <c r="M507" t="e">
        <f>AVERAGEIFS('Region 12'!$W$2:$W$459,'Region 12'!$A$2:$A$459,M$1,'Region 12'!$X$2:$X$459,$D507,'Region 12'!$S$2:$S$459,$A507)</f>
        <v>#DIV/0!</v>
      </c>
      <c r="N507" t="e">
        <f>AVERAGEIFS('Region 12'!$W$2:$W$459,'Region 12'!$A$2:$A$459,N$1,'Region 12'!$X$2:$X$459,$D507,'Region 12'!$S$2:$S$459,$A507)</f>
        <v>#DIV/0!</v>
      </c>
      <c r="Q507" t="str">
        <f t="shared" si="459"/>
        <v>Aluminium</v>
      </c>
      <c r="R507" t="str">
        <f t="shared" si="460"/>
        <v>High-rise</v>
      </c>
      <c r="S507">
        <f t="shared" si="461"/>
        <v>12</v>
      </c>
      <c r="T507" t="str">
        <f t="shared" si="441"/>
        <v>-</v>
      </c>
      <c r="U507" t="str">
        <f t="shared" si="442"/>
        <v>-</v>
      </c>
      <c r="V507" t="str">
        <f t="shared" si="443"/>
        <v>-</v>
      </c>
      <c r="W507" t="str">
        <f t="shared" si="444"/>
        <v>-</v>
      </c>
      <c r="X507" t="str">
        <f t="shared" si="445"/>
        <v>-</v>
      </c>
      <c r="Y507" t="str">
        <f t="shared" si="446"/>
        <v>-</v>
      </c>
      <c r="Z507" t="str">
        <f t="shared" si="447"/>
        <v>-</v>
      </c>
      <c r="AA507" t="str">
        <f t="shared" si="448"/>
        <v>-</v>
      </c>
      <c r="AB507" t="str">
        <f t="shared" si="449"/>
        <v>-</v>
      </c>
      <c r="AC507" t="str">
        <f t="shared" si="450"/>
        <v>-</v>
      </c>
    </row>
    <row r="508" spans="1:29" x14ac:dyDescent="0.3">
      <c r="A508" t="s">
        <v>290</v>
      </c>
      <c r="B508" t="str">
        <f t="shared" ref="B508:D508" si="510">B404</f>
        <v>High-rise</v>
      </c>
      <c r="C508">
        <f t="shared" si="510"/>
        <v>13</v>
      </c>
      <c r="D508">
        <f t="shared" si="510"/>
        <v>4</v>
      </c>
      <c r="E508" t="e">
        <f>AVERAGEIFS('Region 13'!$W$2:$W$500,'Region 13'!$A$2:$A$500,E$1,'Region 13'!$X$2:$X$500,$D508,'Region 13'!$S$2:$S$500,$A508)</f>
        <v>#DIV/0!</v>
      </c>
      <c r="F508" t="e">
        <f>AVERAGEIFS('Region 13'!$W$2:$W$500,'Region 13'!$A$2:$A$500,F$1,'Region 13'!$X$2:$X$500,$D508,'Region 13'!$S$2:$S$500,$A508)</f>
        <v>#DIV/0!</v>
      </c>
      <c r="G508" t="e">
        <f>AVERAGEIFS('Region 13'!$W$2:$W$500,'Region 13'!$A$2:$A$500,G$1,'Region 13'!$X$2:$X$500,$D508,'Region 13'!$S$2:$S$500,$A508)</f>
        <v>#DIV/0!</v>
      </c>
      <c r="H508" t="e">
        <f>AVERAGEIFS('Region 13'!$W$2:$W$500,'Region 13'!$A$2:$A$500,H$1,'Region 13'!$X$2:$X$500,$D508,'Region 13'!$S$2:$S$500,$A508)</f>
        <v>#DIV/0!</v>
      </c>
      <c r="I508" t="e">
        <f>AVERAGEIFS('Region 13'!$W$2:$W$500,'Region 13'!$A$2:$A$500,I$1,'Region 13'!$X$2:$X$500,$D508,'Region 13'!$S$2:$S$500,$A508)</f>
        <v>#DIV/0!</v>
      </c>
      <c r="J508" t="e">
        <f>AVERAGEIFS('Region 13'!$W$2:$W$500,'Region 13'!$A$2:$A$500,J$1,'Region 13'!$X$2:$X$500,$D508,'Region 13'!$S$2:$S$500,$A508)</f>
        <v>#DIV/0!</v>
      </c>
      <c r="K508" t="e">
        <f>AVERAGEIFS('Region 13'!$W$2:$W$500,'Region 13'!$A$2:$A$500,K$1,'Region 13'!$X$2:$X$500,$D508,'Region 13'!$S$2:$S$500,$A508)</f>
        <v>#DIV/0!</v>
      </c>
      <c r="L508" t="e">
        <f>AVERAGEIFS('Region 13'!$W$2:$W$500,'Region 13'!$A$2:$A$500,L$1,'Region 13'!$X$2:$X$500,$D508,'Region 13'!$S$2:$S$500,$A508)</f>
        <v>#DIV/0!</v>
      </c>
      <c r="M508" t="e">
        <f>AVERAGEIFS('Region 13'!$W$2:$W$500,'Region 13'!$A$2:$A$500,M$1,'Region 13'!$X$2:$X$500,$D508,'Region 13'!$S$2:$S$500,$A508)</f>
        <v>#DIV/0!</v>
      </c>
      <c r="N508" t="e">
        <f>AVERAGEIFS('Region 13'!$W$2:$W$500,'Region 13'!$A$2:$A$500,N$1,'Region 13'!$X$2:$X$500,$D508,'Region 13'!$S$2:$S$500,$A508)</f>
        <v>#DIV/0!</v>
      </c>
      <c r="Q508" t="str">
        <f t="shared" si="459"/>
        <v>Aluminium</v>
      </c>
      <c r="R508" t="str">
        <f t="shared" si="460"/>
        <v>High-rise</v>
      </c>
      <c r="S508">
        <f t="shared" si="461"/>
        <v>13</v>
      </c>
      <c r="T508" t="str">
        <f t="shared" si="441"/>
        <v>-</v>
      </c>
      <c r="U508" t="str">
        <f t="shared" si="442"/>
        <v>-</v>
      </c>
      <c r="V508" t="str">
        <f t="shared" si="443"/>
        <v>-</v>
      </c>
      <c r="W508" t="str">
        <f t="shared" si="444"/>
        <v>-</v>
      </c>
      <c r="X508" t="str">
        <f t="shared" si="445"/>
        <v>-</v>
      </c>
      <c r="Y508" t="str">
        <f t="shared" si="446"/>
        <v>-</v>
      </c>
      <c r="Z508" t="str">
        <f t="shared" si="447"/>
        <v>-</v>
      </c>
      <c r="AA508" t="str">
        <f t="shared" si="448"/>
        <v>-</v>
      </c>
      <c r="AB508" t="str">
        <f t="shared" si="449"/>
        <v>-</v>
      </c>
      <c r="AC508" t="str">
        <f t="shared" si="450"/>
        <v>-</v>
      </c>
    </row>
    <row r="509" spans="1:29" x14ac:dyDescent="0.3">
      <c r="A509" t="s">
        <v>290</v>
      </c>
      <c r="B509" t="str">
        <f t="shared" ref="B509:D509" si="511">B405</f>
        <v>High-rise</v>
      </c>
      <c r="C509">
        <f t="shared" si="511"/>
        <v>14</v>
      </c>
      <c r="D509">
        <f t="shared" si="511"/>
        <v>4</v>
      </c>
      <c r="E509" t="e">
        <f ca="1">AVERAGEIFS('Region 14'!$W$2:$W$500,'Region 14'!$A$2:$A$500,E$1,'Region 14'!$X$2:$X$500,$D509,'Region 14'!$S$2:$S$500,$A509)</f>
        <v>#DIV/0!</v>
      </c>
      <c r="F509" t="e">
        <f ca="1">AVERAGEIFS('Region 14'!$W$2:$W$500,'Region 14'!$A$2:$A$500,F$1,'Region 14'!$X$2:$X$500,$D509,'Region 14'!$S$2:$S$500,$A509)</f>
        <v>#DIV/0!</v>
      </c>
      <c r="G509" t="e">
        <f ca="1">AVERAGEIFS('Region 14'!$W$2:$W$500,'Region 14'!$A$2:$A$500,G$1,'Region 14'!$X$2:$X$500,$D509,'Region 14'!$S$2:$S$500,$A509)</f>
        <v>#DIV/0!</v>
      </c>
      <c r="H509" t="e">
        <f ca="1">AVERAGEIFS('Region 14'!$W$2:$W$500,'Region 14'!$A$2:$A$500,H$1,'Region 14'!$X$2:$X$500,$D509,'Region 14'!$S$2:$S$500,$A509)</f>
        <v>#DIV/0!</v>
      </c>
      <c r="I509" t="e">
        <f ca="1">AVERAGEIFS('Region 14'!$W$2:$W$500,'Region 14'!$A$2:$A$500,I$1,'Region 14'!$X$2:$X$500,$D509,'Region 14'!$S$2:$S$500,$A509)</f>
        <v>#DIV/0!</v>
      </c>
      <c r="J509" t="e">
        <f ca="1">AVERAGEIFS('Region 14'!$W$2:$W$500,'Region 14'!$A$2:$A$500,J$1,'Region 14'!$X$2:$X$500,$D509,'Region 14'!$S$2:$S$500,$A509)</f>
        <v>#DIV/0!</v>
      </c>
      <c r="K509" t="e">
        <f ca="1">AVERAGEIFS('Region 14'!$W$2:$W$500,'Region 14'!$A$2:$A$500,K$1,'Region 14'!$X$2:$X$500,$D509,'Region 14'!$S$2:$S$500,$A509)</f>
        <v>#DIV/0!</v>
      </c>
      <c r="L509" t="e">
        <f ca="1">AVERAGEIFS('Region 14'!$W$2:$W$500,'Region 14'!$A$2:$A$500,L$1,'Region 14'!$X$2:$X$500,$D509,'Region 14'!$S$2:$S$500,$A509)</f>
        <v>#DIV/0!</v>
      </c>
      <c r="M509" t="e">
        <f ca="1">AVERAGEIFS('Region 14'!$W$2:$W$500,'Region 14'!$A$2:$A$500,M$1,'Region 14'!$X$2:$X$500,$D509,'Region 14'!$S$2:$S$500,$A509)</f>
        <v>#DIV/0!</v>
      </c>
      <c r="N509" t="e">
        <f ca="1">AVERAGEIFS('Region 14'!$W$2:$W$500,'Region 14'!$A$2:$A$500,N$1,'Region 14'!$X$2:$X$500,$D509,'Region 14'!$S$2:$S$500,$A509)</f>
        <v>#DIV/0!</v>
      </c>
      <c r="Q509" t="str">
        <f t="shared" si="459"/>
        <v>Aluminium</v>
      </c>
      <c r="R509" t="str">
        <f t="shared" si="460"/>
        <v>High-rise</v>
      </c>
      <c r="S509">
        <f t="shared" si="461"/>
        <v>14</v>
      </c>
      <c r="T509" t="str">
        <f t="shared" ca="1" si="441"/>
        <v>-</v>
      </c>
      <c r="U509" t="str">
        <f t="shared" ca="1" si="442"/>
        <v>-</v>
      </c>
      <c r="V509" t="str">
        <f t="shared" ca="1" si="443"/>
        <v>-</v>
      </c>
      <c r="W509" t="str">
        <f t="shared" ca="1" si="444"/>
        <v>-</v>
      </c>
      <c r="X509" t="str">
        <f t="shared" ca="1" si="445"/>
        <v>-</v>
      </c>
      <c r="Y509" t="str">
        <f t="shared" ca="1" si="446"/>
        <v>-</v>
      </c>
      <c r="Z509" t="str">
        <f t="shared" ca="1" si="447"/>
        <v>-</v>
      </c>
      <c r="AA509" t="str">
        <f t="shared" ca="1" si="448"/>
        <v>-</v>
      </c>
      <c r="AB509" t="str">
        <f t="shared" ca="1" si="449"/>
        <v>-</v>
      </c>
      <c r="AC509" t="str">
        <f t="shared" ca="1" si="450"/>
        <v>-</v>
      </c>
    </row>
    <row r="510" spans="1:29" x14ac:dyDescent="0.3">
      <c r="A510" t="s">
        <v>290</v>
      </c>
      <c r="B510" t="str">
        <f t="shared" ref="B510:D510" si="512">B406</f>
        <v>High-rise</v>
      </c>
      <c r="C510">
        <f t="shared" si="512"/>
        <v>15</v>
      </c>
      <c r="D510">
        <f t="shared" si="512"/>
        <v>4</v>
      </c>
      <c r="E510" t="e">
        <f ca="1">AVERAGEIFS('Region 15'!$W$2:$W$500,'Region 15'!$A$2:$A$500,E$1,'Region 15'!$X$2:$X$500,$D510,'Region 15'!$S$2:$S$500,$A510)</f>
        <v>#DIV/0!</v>
      </c>
      <c r="F510" t="e">
        <f ca="1">AVERAGEIFS('Region 15'!$W$2:$W$500,'Region 15'!$A$2:$A$500,F$1,'Region 15'!$X$2:$X$500,$D510,'Region 15'!$S$2:$S$500,$A510)</f>
        <v>#DIV/0!</v>
      </c>
      <c r="G510" t="e">
        <f ca="1">AVERAGEIFS('Region 15'!$W$2:$W$500,'Region 15'!$A$2:$A$500,G$1,'Region 15'!$X$2:$X$500,$D510,'Region 15'!$S$2:$S$500,$A510)</f>
        <v>#DIV/0!</v>
      </c>
      <c r="H510" t="e">
        <f ca="1">AVERAGEIFS('Region 15'!$W$2:$W$500,'Region 15'!$A$2:$A$500,H$1,'Region 15'!$X$2:$X$500,$D510,'Region 15'!$S$2:$S$500,$A510)</f>
        <v>#DIV/0!</v>
      </c>
      <c r="I510" t="e">
        <f ca="1">AVERAGEIFS('Region 15'!$W$2:$W$500,'Region 15'!$A$2:$A$500,I$1,'Region 15'!$X$2:$X$500,$D510,'Region 15'!$S$2:$S$500,$A510)</f>
        <v>#DIV/0!</v>
      </c>
      <c r="J510" t="e">
        <f ca="1">AVERAGEIFS('Region 15'!$W$2:$W$500,'Region 15'!$A$2:$A$500,J$1,'Region 15'!$X$2:$X$500,$D510,'Region 15'!$S$2:$S$500,$A510)</f>
        <v>#DIV/0!</v>
      </c>
      <c r="K510" t="e">
        <f ca="1">AVERAGEIFS('Region 15'!$W$2:$W$500,'Region 15'!$A$2:$A$500,K$1,'Region 15'!$X$2:$X$500,$D510,'Region 15'!$S$2:$S$500,$A510)</f>
        <v>#DIV/0!</v>
      </c>
      <c r="L510" t="e">
        <f ca="1">AVERAGEIFS('Region 15'!$W$2:$W$500,'Region 15'!$A$2:$A$500,L$1,'Region 15'!$X$2:$X$500,$D510,'Region 15'!$S$2:$S$500,$A510)</f>
        <v>#DIV/0!</v>
      </c>
      <c r="M510" t="e">
        <f ca="1">AVERAGEIFS('Region 15'!$W$2:$W$500,'Region 15'!$A$2:$A$500,M$1,'Region 15'!$X$2:$X$500,$D510,'Region 15'!$S$2:$S$500,$A510)</f>
        <v>#DIV/0!</v>
      </c>
      <c r="N510" t="e">
        <f ca="1">AVERAGEIFS('Region 15'!$W$2:$W$500,'Region 15'!$A$2:$A$500,N$1,'Region 15'!$X$2:$X$500,$D510,'Region 15'!$S$2:$S$500,$A510)</f>
        <v>#DIV/0!</v>
      </c>
      <c r="Q510" t="str">
        <f t="shared" si="459"/>
        <v>Aluminium</v>
      </c>
      <c r="R510" t="str">
        <f t="shared" si="460"/>
        <v>High-rise</v>
      </c>
      <c r="S510">
        <f t="shared" si="461"/>
        <v>15</v>
      </c>
      <c r="T510" t="str">
        <f t="shared" ca="1" si="441"/>
        <v>-</v>
      </c>
      <c r="U510" t="str">
        <f t="shared" ca="1" si="442"/>
        <v>-</v>
      </c>
      <c r="V510" t="str">
        <f t="shared" ca="1" si="443"/>
        <v>-</v>
      </c>
      <c r="W510" t="str">
        <f t="shared" ca="1" si="444"/>
        <v>-</v>
      </c>
      <c r="X510" t="str">
        <f t="shared" ca="1" si="445"/>
        <v>-</v>
      </c>
      <c r="Y510" t="str">
        <f t="shared" ca="1" si="446"/>
        <v>-</v>
      </c>
      <c r="Z510" t="str">
        <f t="shared" ca="1" si="447"/>
        <v>-</v>
      </c>
      <c r="AA510" t="str">
        <f t="shared" ca="1" si="448"/>
        <v>-</v>
      </c>
      <c r="AB510" t="str">
        <f t="shared" ca="1" si="449"/>
        <v>-</v>
      </c>
      <c r="AC510" t="str">
        <f t="shared" ca="1" si="450"/>
        <v>-</v>
      </c>
    </row>
    <row r="511" spans="1:29" x14ac:dyDescent="0.3">
      <c r="A511" t="s">
        <v>290</v>
      </c>
      <c r="B511" t="str">
        <f t="shared" ref="B511:D511" si="513">B407</f>
        <v>High-rise</v>
      </c>
      <c r="C511">
        <f t="shared" si="513"/>
        <v>16</v>
      </c>
      <c r="D511">
        <f t="shared" si="513"/>
        <v>4</v>
      </c>
      <c r="E511" t="e">
        <f ca="1">AVERAGEIFS('Region 16'!$W$2:$W$500,'Region 16'!$A$2:$A$500,E$1,'Region 16'!$X$2:$X$500,$D511,'Region 16'!$S$2:$S$500,$A511)</f>
        <v>#DIV/0!</v>
      </c>
      <c r="F511" t="e">
        <f ca="1">AVERAGEIFS('Region 16'!$W$2:$W$500,'Region 16'!$A$2:$A$500,F$1,'Region 16'!$X$2:$X$500,$D511,'Region 16'!$S$2:$S$500,$A511)</f>
        <v>#DIV/0!</v>
      </c>
      <c r="G511" t="e">
        <f ca="1">AVERAGEIFS('Region 16'!$W$2:$W$500,'Region 16'!$A$2:$A$500,G$1,'Region 16'!$X$2:$X$500,$D511,'Region 16'!$S$2:$S$500,$A511)</f>
        <v>#DIV/0!</v>
      </c>
      <c r="H511" t="e">
        <f ca="1">AVERAGEIFS('Region 16'!$W$2:$W$500,'Region 16'!$A$2:$A$500,H$1,'Region 16'!$X$2:$X$500,$D511,'Region 16'!$S$2:$S$500,$A511)</f>
        <v>#DIV/0!</v>
      </c>
      <c r="I511" t="e">
        <f ca="1">AVERAGEIFS('Region 16'!$W$2:$W$500,'Region 16'!$A$2:$A$500,I$1,'Region 16'!$X$2:$X$500,$D511,'Region 16'!$S$2:$S$500,$A511)</f>
        <v>#DIV/0!</v>
      </c>
      <c r="J511" t="e">
        <f ca="1">AVERAGEIFS('Region 16'!$W$2:$W$500,'Region 16'!$A$2:$A$500,J$1,'Region 16'!$X$2:$X$500,$D511,'Region 16'!$S$2:$S$500,$A511)</f>
        <v>#DIV/0!</v>
      </c>
      <c r="K511" t="e">
        <f ca="1">AVERAGEIFS('Region 16'!$W$2:$W$500,'Region 16'!$A$2:$A$500,K$1,'Region 16'!$X$2:$X$500,$D511,'Region 16'!$S$2:$S$500,$A511)</f>
        <v>#DIV/0!</v>
      </c>
      <c r="L511" t="e">
        <f ca="1">AVERAGEIFS('Region 16'!$W$2:$W$500,'Region 16'!$A$2:$A$500,L$1,'Region 16'!$X$2:$X$500,$D511,'Region 16'!$S$2:$S$500,$A511)</f>
        <v>#DIV/0!</v>
      </c>
      <c r="M511" t="e">
        <f ca="1">AVERAGEIFS('Region 16'!$W$2:$W$500,'Region 16'!$A$2:$A$500,M$1,'Region 16'!$X$2:$X$500,$D511,'Region 16'!$S$2:$S$500,$A511)</f>
        <v>#DIV/0!</v>
      </c>
      <c r="N511" t="e">
        <f ca="1">AVERAGEIFS('Region 16'!$W$2:$W$500,'Region 16'!$A$2:$A$500,N$1,'Region 16'!$X$2:$X$500,$D511,'Region 16'!$S$2:$S$500,$A511)</f>
        <v>#DIV/0!</v>
      </c>
      <c r="Q511" t="str">
        <f t="shared" si="459"/>
        <v>Aluminium</v>
      </c>
      <c r="R511" t="str">
        <f t="shared" si="460"/>
        <v>High-rise</v>
      </c>
      <c r="S511">
        <f t="shared" si="461"/>
        <v>16</v>
      </c>
      <c r="T511" t="str">
        <f t="shared" ca="1" si="441"/>
        <v>-</v>
      </c>
      <c r="U511" t="str">
        <f t="shared" ca="1" si="442"/>
        <v>-</v>
      </c>
      <c r="V511" t="str">
        <f t="shared" ca="1" si="443"/>
        <v>-</v>
      </c>
      <c r="W511" t="str">
        <f t="shared" ca="1" si="444"/>
        <v>-</v>
      </c>
      <c r="X511" t="str">
        <f t="shared" ca="1" si="445"/>
        <v>-</v>
      </c>
      <c r="Y511" t="str">
        <f t="shared" ca="1" si="446"/>
        <v>-</v>
      </c>
      <c r="Z511" t="str">
        <f t="shared" ca="1" si="447"/>
        <v>-</v>
      </c>
      <c r="AA511" t="str">
        <f t="shared" ca="1" si="448"/>
        <v>-</v>
      </c>
      <c r="AB511" t="str">
        <f t="shared" ca="1" si="449"/>
        <v>-</v>
      </c>
      <c r="AC511" t="str">
        <f t="shared" ca="1" si="450"/>
        <v>-</v>
      </c>
    </row>
    <row r="512" spans="1:29" x14ac:dyDescent="0.3">
      <c r="A512" t="s">
        <v>290</v>
      </c>
      <c r="B512" t="str">
        <f t="shared" ref="B512:D512" si="514">B408</f>
        <v>High-rise</v>
      </c>
      <c r="C512">
        <f t="shared" si="514"/>
        <v>17</v>
      </c>
      <c r="D512">
        <f t="shared" si="514"/>
        <v>4</v>
      </c>
      <c r="E512" t="e">
        <f>AVERAGEIFS('Region 17'!$W$2:$W$498,'Region 17'!$A$2:$A$498,E$1,'Region 17'!$X$2:$X$498,$D512,'Region 17'!$S$2:$S$498,$A512)</f>
        <v>#DIV/0!</v>
      </c>
      <c r="F512" t="e">
        <f>AVERAGEIFS('Region 17'!$W$2:$W$498,'Region 17'!$A$2:$A$498,F$1,'Region 17'!$X$2:$X$498,$D512,'Region 17'!$S$2:$S$498,$A512)</f>
        <v>#DIV/0!</v>
      </c>
      <c r="G512" t="e">
        <f>AVERAGEIFS('Region 17'!$W$2:$W$498,'Region 17'!$A$2:$A$498,G$1,'Region 17'!$X$2:$X$498,$D512,'Region 17'!$S$2:$S$498,$A512)</f>
        <v>#DIV/0!</v>
      </c>
      <c r="H512" t="e">
        <f>AVERAGEIFS('Region 17'!$W$2:$W$498,'Region 17'!$A$2:$A$498,H$1,'Region 17'!$X$2:$X$498,$D512,'Region 17'!$S$2:$S$498,$A512)</f>
        <v>#DIV/0!</v>
      </c>
      <c r="I512" t="e">
        <f>AVERAGEIFS('Region 17'!$W$2:$W$498,'Region 17'!$A$2:$A$498,I$1,'Region 17'!$X$2:$X$498,$D512,'Region 17'!$S$2:$S$498,$A512)</f>
        <v>#DIV/0!</v>
      </c>
      <c r="J512" t="e">
        <f>AVERAGEIFS('Region 17'!$W$2:$W$498,'Region 17'!$A$2:$A$498,J$1,'Region 17'!$X$2:$X$498,$D512,'Region 17'!$S$2:$S$498,$A512)</f>
        <v>#DIV/0!</v>
      </c>
      <c r="K512" t="e">
        <f>AVERAGEIFS('Region 17'!$W$2:$W$498,'Region 17'!$A$2:$A$498,K$1,'Region 17'!$X$2:$X$498,$D512,'Region 17'!$S$2:$S$498,$A512)</f>
        <v>#DIV/0!</v>
      </c>
      <c r="L512" t="e">
        <f>AVERAGEIFS('Region 17'!$W$2:$W$498,'Region 17'!$A$2:$A$498,L$1,'Region 17'!$X$2:$X$498,$D512,'Region 17'!$S$2:$S$498,$A512)</f>
        <v>#DIV/0!</v>
      </c>
      <c r="M512" t="e">
        <f>AVERAGEIFS('Region 17'!$W$2:$W$498,'Region 17'!$A$2:$A$498,M$1,'Region 17'!$X$2:$X$498,$D512,'Region 17'!$S$2:$S$498,$A512)</f>
        <v>#DIV/0!</v>
      </c>
      <c r="N512" t="e">
        <f>AVERAGEIFS('Region 17'!$W$2:$W$498,'Region 17'!$A$2:$A$498,N$1,'Region 17'!$X$2:$X$498,$D512,'Region 17'!$S$2:$S$498,$A512)</f>
        <v>#DIV/0!</v>
      </c>
      <c r="Q512" t="str">
        <f t="shared" si="459"/>
        <v>Aluminium</v>
      </c>
      <c r="R512" t="str">
        <f t="shared" si="460"/>
        <v>High-rise</v>
      </c>
      <c r="S512">
        <f t="shared" si="461"/>
        <v>17</v>
      </c>
      <c r="T512" t="str">
        <f t="shared" si="441"/>
        <v>-</v>
      </c>
      <c r="U512" t="str">
        <f t="shared" si="442"/>
        <v>-</v>
      </c>
      <c r="V512" t="str">
        <f t="shared" si="443"/>
        <v>-</v>
      </c>
      <c r="W512" t="str">
        <f t="shared" si="444"/>
        <v>-</v>
      </c>
      <c r="X512" t="str">
        <f t="shared" si="445"/>
        <v>-</v>
      </c>
      <c r="Y512" t="str">
        <f t="shared" si="446"/>
        <v>-</v>
      </c>
      <c r="Z512" t="str">
        <f t="shared" si="447"/>
        <v>-</v>
      </c>
      <c r="AA512" t="str">
        <f t="shared" si="448"/>
        <v>-</v>
      </c>
      <c r="AB512" t="str">
        <f t="shared" si="449"/>
        <v>-</v>
      </c>
      <c r="AC512" t="str">
        <f t="shared" si="450"/>
        <v>-</v>
      </c>
    </row>
    <row r="513" spans="1:29" x14ac:dyDescent="0.3">
      <c r="A513" t="s">
        <v>290</v>
      </c>
      <c r="B513" t="str">
        <f t="shared" ref="B513:D513" si="515">B409</f>
        <v>High-rise</v>
      </c>
      <c r="C513">
        <f t="shared" si="515"/>
        <v>18</v>
      </c>
      <c r="D513">
        <f t="shared" si="515"/>
        <v>4</v>
      </c>
      <c r="E513" t="e">
        <f>AVERAGEIFS('Region 18'!$W$2:$W$468,'Region 18'!$A$2:$A$468,E$1,'Region 18'!$X$2:$X$468,$D513,'Region 18'!$S$2:$S$468,$A513)</f>
        <v>#DIV/0!</v>
      </c>
      <c r="F513" t="e">
        <f>AVERAGEIFS('Region 18'!$W$2:$W$468,'Region 18'!$A$2:$A$468,F$1,'Region 18'!$X$2:$X$468,$D513,'Region 18'!$S$2:$S$468,$A513)</f>
        <v>#DIV/0!</v>
      </c>
      <c r="G513" t="e">
        <f>AVERAGEIFS('Region 18'!$W$2:$W$468,'Region 18'!$A$2:$A$468,G$1,'Region 18'!$X$2:$X$468,$D513,'Region 18'!$S$2:$S$468,$A513)</f>
        <v>#DIV/0!</v>
      </c>
      <c r="H513" t="e">
        <f>AVERAGEIFS('Region 18'!$W$2:$W$468,'Region 18'!$A$2:$A$468,H$1,'Region 18'!$X$2:$X$468,$D513,'Region 18'!$S$2:$S$468,$A513)</f>
        <v>#DIV/0!</v>
      </c>
      <c r="I513" t="e">
        <f>AVERAGEIFS('Region 18'!$W$2:$W$468,'Region 18'!$A$2:$A$468,I$1,'Region 18'!$X$2:$X$468,$D513,'Region 18'!$S$2:$S$468,$A513)</f>
        <v>#DIV/0!</v>
      </c>
      <c r="J513" t="e">
        <f>AVERAGEIFS('Region 18'!$W$2:$W$468,'Region 18'!$A$2:$A$468,J$1,'Region 18'!$X$2:$X$468,$D513,'Region 18'!$S$2:$S$468,$A513)</f>
        <v>#DIV/0!</v>
      </c>
      <c r="K513" t="e">
        <f>AVERAGEIFS('Region 18'!$W$2:$W$468,'Region 18'!$A$2:$A$468,K$1,'Region 18'!$X$2:$X$468,$D513,'Region 18'!$S$2:$S$468,$A513)</f>
        <v>#DIV/0!</v>
      </c>
      <c r="L513" t="e">
        <f>AVERAGEIFS('Region 18'!$W$2:$W$468,'Region 18'!$A$2:$A$468,L$1,'Region 18'!$X$2:$X$468,$D513,'Region 18'!$S$2:$S$468,$A513)</f>
        <v>#DIV/0!</v>
      </c>
      <c r="M513" t="e">
        <f>AVERAGEIFS('Region 18'!$W$2:$W$468,'Region 18'!$A$2:$A$468,M$1,'Region 18'!$X$2:$X$468,$D513,'Region 18'!$S$2:$S$468,$A513)</f>
        <v>#DIV/0!</v>
      </c>
      <c r="N513" t="e">
        <f>AVERAGEIFS('Region 18'!$W$2:$W$468,'Region 18'!$A$2:$A$468,N$1,'Region 18'!$X$2:$X$468,$D513,'Region 18'!$S$2:$S$468,$A513)</f>
        <v>#DIV/0!</v>
      </c>
      <c r="Q513" t="str">
        <f t="shared" si="459"/>
        <v>Aluminium</v>
      </c>
      <c r="R513" t="str">
        <f t="shared" si="460"/>
        <v>High-rise</v>
      </c>
      <c r="S513">
        <f t="shared" si="461"/>
        <v>18</v>
      </c>
      <c r="T513" t="str">
        <f t="shared" si="441"/>
        <v>-</v>
      </c>
      <c r="U513" t="str">
        <f t="shared" si="442"/>
        <v>-</v>
      </c>
      <c r="V513" t="str">
        <f t="shared" si="443"/>
        <v>-</v>
      </c>
      <c r="W513" t="str">
        <f t="shared" si="444"/>
        <v>-</v>
      </c>
      <c r="X513" t="str">
        <f t="shared" si="445"/>
        <v>-</v>
      </c>
      <c r="Y513" t="str">
        <f t="shared" si="446"/>
        <v>-</v>
      </c>
      <c r="Z513" t="str">
        <f t="shared" si="447"/>
        <v>-</v>
      </c>
      <c r="AA513" t="str">
        <f t="shared" si="448"/>
        <v>-</v>
      </c>
      <c r="AB513" t="str">
        <f t="shared" si="449"/>
        <v>-</v>
      </c>
      <c r="AC513" t="str">
        <f t="shared" si="450"/>
        <v>-</v>
      </c>
    </row>
    <row r="514" spans="1:29" x14ac:dyDescent="0.3">
      <c r="A514" t="s">
        <v>290</v>
      </c>
      <c r="B514" t="str">
        <f t="shared" ref="B514:D514" si="516">B410</f>
        <v>High-rise</v>
      </c>
      <c r="C514">
        <f t="shared" si="516"/>
        <v>19</v>
      </c>
      <c r="D514">
        <f t="shared" si="516"/>
        <v>4</v>
      </c>
      <c r="E514" t="e">
        <f>AVERAGEIFS('Region 19'!$W$2:$W$494,'Region 19'!$A$2:$A$494,E$1,'Region 19'!$X$2:$X$494,$D514,'Region 19'!$S$2:$S$494,$A514)</f>
        <v>#DIV/0!</v>
      </c>
      <c r="F514" t="e">
        <f>AVERAGEIFS('Region 19'!$W$2:$W$494,'Region 19'!$A$2:$A$494,F$1,'Region 19'!$X$2:$X$494,$D514,'Region 19'!$S$2:$S$494,$A514)</f>
        <v>#DIV/0!</v>
      </c>
      <c r="G514" t="e">
        <f>AVERAGEIFS('Region 19'!$W$2:$W$494,'Region 19'!$A$2:$A$494,G$1,'Region 19'!$X$2:$X$494,$D514,'Region 19'!$S$2:$S$494,$A514)</f>
        <v>#DIV/0!</v>
      </c>
      <c r="H514" t="e">
        <f>AVERAGEIFS('Region 19'!$W$2:$W$494,'Region 19'!$A$2:$A$494,H$1,'Region 19'!$X$2:$X$494,$D514,'Region 19'!$S$2:$S$494,$A514)</f>
        <v>#DIV/0!</v>
      </c>
      <c r="I514" t="e">
        <f>AVERAGEIFS('Region 19'!$W$2:$W$494,'Region 19'!$A$2:$A$494,I$1,'Region 19'!$X$2:$X$494,$D514,'Region 19'!$S$2:$S$494,$A514)</f>
        <v>#DIV/0!</v>
      </c>
      <c r="J514" t="e">
        <f>AVERAGEIFS('Region 19'!$W$2:$W$494,'Region 19'!$A$2:$A$494,J$1,'Region 19'!$X$2:$X$494,$D514,'Region 19'!$S$2:$S$494,$A514)</f>
        <v>#DIV/0!</v>
      </c>
      <c r="K514" t="e">
        <f>AVERAGEIFS('Region 19'!$W$2:$W$494,'Region 19'!$A$2:$A$494,K$1,'Region 19'!$X$2:$X$494,$D514,'Region 19'!$S$2:$S$494,$A514)</f>
        <v>#DIV/0!</v>
      </c>
      <c r="L514" t="e">
        <f>AVERAGEIFS('Region 19'!$W$2:$W$494,'Region 19'!$A$2:$A$494,L$1,'Region 19'!$X$2:$X$494,$D514,'Region 19'!$S$2:$S$494,$A514)</f>
        <v>#DIV/0!</v>
      </c>
      <c r="M514" t="e">
        <f>AVERAGEIFS('Region 19'!$W$2:$W$494,'Region 19'!$A$2:$A$494,M$1,'Region 19'!$X$2:$X$494,$D514,'Region 19'!$S$2:$S$494,$A514)</f>
        <v>#DIV/0!</v>
      </c>
      <c r="N514" t="e">
        <f>AVERAGEIFS('Region 19'!$W$2:$W$494,'Region 19'!$A$2:$A$494,N$1,'Region 19'!$X$2:$X$494,$D514,'Region 19'!$S$2:$S$494,$A514)</f>
        <v>#DIV/0!</v>
      </c>
      <c r="Q514" t="str">
        <f t="shared" si="459"/>
        <v>Aluminium</v>
      </c>
      <c r="R514" t="str">
        <f t="shared" si="460"/>
        <v>High-rise</v>
      </c>
      <c r="S514">
        <f t="shared" si="461"/>
        <v>19</v>
      </c>
      <c r="T514" t="str">
        <f t="shared" si="441"/>
        <v>-</v>
      </c>
      <c r="U514" t="str">
        <f t="shared" si="442"/>
        <v>-</v>
      </c>
      <c r="V514" t="str">
        <f t="shared" si="443"/>
        <v>-</v>
      </c>
      <c r="W514" t="str">
        <f t="shared" si="444"/>
        <v>-</v>
      </c>
      <c r="X514" t="str">
        <f t="shared" si="445"/>
        <v>-</v>
      </c>
      <c r="Y514" t="str">
        <f t="shared" si="446"/>
        <v>-</v>
      </c>
      <c r="Z514" t="str">
        <f t="shared" si="447"/>
        <v>-</v>
      </c>
      <c r="AA514" t="str">
        <f t="shared" si="448"/>
        <v>-</v>
      </c>
      <c r="AB514" t="str">
        <f t="shared" si="449"/>
        <v>-</v>
      </c>
      <c r="AC514" t="str">
        <f t="shared" si="450"/>
        <v>-</v>
      </c>
    </row>
    <row r="515" spans="1:29" x14ac:dyDescent="0.3">
      <c r="A515" t="s">
        <v>290</v>
      </c>
      <c r="B515" t="str">
        <f t="shared" ref="B515:D515" si="517">B411</f>
        <v>High-rise</v>
      </c>
      <c r="C515">
        <f t="shared" si="517"/>
        <v>20</v>
      </c>
      <c r="D515">
        <f t="shared" si="517"/>
        <v>4</v>
      </c>
      <c r="E515">
        <f>AVERAGEIFS('Region 20'!$W$2:$W$269,'Region 20'!$A$2:$A$269,E$1,'Region 20'!$X$2:$X$269,$D515,'Region 20'!$S$2:$S$269,$A515)</f>
        <v>3.4322614938986815</v>
      </c>
      <c r="F515" t="e">
        <f>AVERAGEIFS('Region 20'!$W$2:$W$269,'Region 20'!$A$2:$A$269,F$1,'Region 20'!$X$2:$X$269,$D515,'Region 20'!$S$2:$S$269,$A515)</f>
        <v>#DIV/0!</v>
      </c>
      <c r="G515" t="e">
        <f>AVERAGEIFS('Region 20'!$W$2:$W$269,'Region 20'!$A$2:$A$269,G$1,'Region 20'!$X$2:$X$269,$D515,'Region 20'!$S$2:$S$269,$A515)</f>
        <v>#DIV/0!</v>
      </c>
      <c r="H515" t="e">
        <f>AVERAGEIFS('Region 20'!$W$2:$W$269,'Region 20'!$A$2:$A$269,H$1,'Region 20'!$X$2:$X$269,$D515,'Region 20'!$S$2:$S$269,$A515)</f>
        <v>#DIV/0!</v>
      </c>
      <c r="I515" t="e">
        <f>AVERAGEIFS('Region 20'!$W$2:$W$269,'Region 20'!$A$2:$A$269,I$1,'Region 20'!$X$2:$X$269,$D515,'Region 20'!$S$2:$S$269,$A515)</f>
        <v>#DIV/0!</v>
      </c>
      <c r="J515" t="e">
        <f>AVERAGEIFS('Region 20'!$W$2:$W$269,'Region 20'!$A$2:$A$269,J$1,'Region 20'!$X$2:$X$269,$D515,'Region 20'!$S$2:$S$269,$A515)</f>
        <v>#DIV/0!</v>
      </c>
      <c r="K515" t="e">
        <f>AVERAGEIFS('Region 20'!$W$2:$W$269,'Region 20'!$A$2:$A$269,K$1,'Region 20'!$X$2:$X$269,$D515,'Region 20'!$S$2:$S$269,$A515)</f>
        <v>#DIV/0!</v>
      </c>
      <c r="L515" t="e">
        <f>AVERAGEIFS('Region 20'!$W$2:$W$269,'Region 20'!$A$2:$A$269,L$1,'Region 20'!$X$2:$X$269,$D515,'Region 20'!$S$2:$S$269,$A515)</f>
        <v>#DIV/0!</v>
      </c>
      <c r="M515" t="e">
        <f>AVERAGEIFS('Region 20'!$W$2:$W$269,'Region 20'!$A$2:$A$269,M$1,'Region 20'!$X$2:$X$269,$D515,'Region 20'!$S$2:$S$269,$A515)</f>
        <v>#DIV/0!</v>
      </c>
      <c r="N515" t="e">
        <f>AVERAGEIFS('Region 20'!$W$2:$W$269,'Region 20'!$A$2:$A$269,N$1,'Region 20'!$X$2:$X$269,$D515,'Region 20'!$S$2:$S$269,$A515)</f>
        <v>#DIV/0!</v>
      </c>
      <c r="Q515" t="str">
        <f t="shared" si="459"/>
        <v>Aluminium</v>
      </c>
      <c r="R515" t="str">
        <f t="shared" si="460"/>
        <v>High-rise</v>
      </c>
      <c r="S515">
        <f t="shared" si="461"/>
        <v>20</v>
      </c>
      <c r="T515">
        <f t="shared" ref="T515:T578" si="518">IF(ISNUMBER(E515),E515,"-")</f>
        <v>3.4322614938986815</v>
      </c>
      <c r="U515" t="str">
        <f t="shared" ref="U515:U578" si="519">IF(ISNUMBER(F515),F515,"-")</f>
        <v>-</v>
      </c>
      <c r="V515" t="str">
        <f t="shared" ref="V515:V578" si="520">IF(ISNUMBER(G515),G515,"-")</f>
        <v>-</v>
      </c>
      <c r="W515" t="str">
        <f t="shared" ref="W515:W578" si="521">IF(ISNUMBER(H515),H515,"-")</f>
        <v>-</v>
      </c>
      <c r="X515" t="str">
        <f t="shared" ref="X515:X578" si="522">IF(ISNUMBER(I515),I515,"-")</f>
        <v>-</v>
      </c>
      <c r="Y515" t="str">
        <f t="shared" ref="Y515:Y578" si="523">IF(ISNUMBER(J515),J515,"-")</f>
        <v>-</v>
      </c>
      <c r="Z515" t="str">
        <f t="shared" ref="Z515:Z578" si="524">IF(ISNUMBER(K515),K515,"-")</f>
        <v>-</v>
      </c>
      <c r="AA515" t="str">
        <f t="shared" ref="AA515:AA578" si="525">IF(ISNUMBER(L515),L515,"-")</f>
        <v>-</v>
      </c>
      <c r="AB515" t="str">
        <f t="shared" ref="AB515:AB578" si="526">IF(ISNUMBER(M515),M515,"-")</f>
        <v>-</v>
      </c>
      <c r="AC515" t="str">
        <f t="shared" ref="AC515:AC578" si="527">IF(ISNUMBER(N515),N515,"-")</f>
        <v>-</v>
      </c>
    </row>
    <row r="516" spans="1:29" x14ac:dyDescent="0.3">
      <c r="A516" t="s">
        <v>290</v>
      </c>
      <c r="B516" t="str">
        <f t="shared" ref="B516:D516" si="528">B412</f>
        <v>High-rise</v>
      </c>
      <c r="C516">
        <f t="shared" si="528"/>
        <v>21</v>
      </c>
      <c r="D516">
        <f t="shared" si="528"/>
        <v>4</v>
      </c>
      <c r="E516" t="e">
        <f>AVERAGEIFS('Region 21'!$W$2:$W$497,'Region 21'!$A$2:$A$497,E$1,'Region 21'!$X$2:$X$497,$D516,'Region 21'!$S$2:$S$497,$A516)</f>
        <v>#DIV/0!</v>
      </c>
      <c r="F516" t="e">
        <f>AVERAGEIFS('Region 21'!$W$2:$W$497,'Region 21'!$A$2:$A$497,F$1,'Region 21'!$X$2:$X$497,$D516,'Region 21'!$S$2:$S$497,$A516)</f>
        <v>#DIV/0!</v>
      </c>
      <c r="G516" t="e">
        <f>AVERAGEIFS('Region 21'!$W$2:$W$497,'Region 21'!$A$2:$A$497,G$1,'Region 21'!$X$2:$X$497,$D516,'Region 21'!$S$2:$S$497,$A516)</f>
        <v>#DIV/0!</v>
      </c>
      <c r="H516" t="e">
        <f>AVERAGEIFS('Region 21'!$W$2:$W$497,'Region 21'!$A$2:$A$497,H$1,'Region 21'!$X$2:$X$497,$D516,'Region 21'!$S$2:$S$497,$A516)</f>
        <v>#DIV/0!</v>
      </c>
      <c r="I516" t="e">
        <f>AVERAGEIFS('Region 21'!$W$2:$W$497,'Region 21'!$A$2:$A$497,I$1,'Region 21'!$X$2:$X$497,$D516,'Region 21'!$S$2:$S$497,$A516)</f>
        <v>#DIV/0!</v>
      </c>
      <c r="J516" t="e">
        <f>AVERAGEIFS('Region 21'!$W$2:$W$497,'Region 21'!$A$2:$A$497,J$1,'Region 21'!$X$2:$X$497,$D516,'Region 21'!$S$2:$S$497,$A516)</f>
        <v>#DIV/0!</v>
      </c>
      <c r="K516" t="e">
        <f>AVERAGEIFS('Region 21'!$W$2:$W$497,'Region 21'!$A$2:$A$497,K$1,'Region 21'!$X$2:$X$497,$D516,'Region 21'!$S$2:$S$497,$A516)</f>
        <v>#DIV/0!</v>
      </c>
      <c r="L516" t="e">
        <f>AVERAGEIFS('Region 21'!$W$2:$W$497,'Region 21'!$A$2:$A$497,L$1,'Region 21'!$X$2:$X$497,$D516,'Region 21'!$S$2:$S$497,$A516)</f>
        <v>#DIV/0!</v>
      </c>
      <c r="M516" t="e">
        <f>AVERAGEIFS('Region 21'!$W$2:$W$497,'Region 21'!$A$2:$A$497,M$1,'Region 21'!$X$2:$X$497,$D516,'Region 21'!$S$2:$S$497,$A516)</f>
        <v>#DIV/0!</v>
      </c>
      <c r="N516" t="e">
        <f>AVERAGEIFS('Region 21'!$W$2:$W$497,'Region 21'!$A$2:$A$497,N$1,'Region 21'!$X$2:$X$497,$D516,'Region 21'!$S$2:$S$497,$A516)</f>
        <v>#DIV/0!</v>
      </c>
      <c r="Q516" t="str">
        <f t="shared" si="459"/>
        <v>Aluminium</v>
      </c>
      <c r="R516" t="str">
        <f t="shared" si="460"/>
        <v>High-rise</v>
      </c>
      <c r="S516">
        <f t="shared" si="461"/>
        <v>21</v>
      </c>
      <c r="T516" t="str">
        <f t="shared" si="518"/>
        <v>-</v>
      </c>
      <c r="U516" t="str">
        <f t="shared" si="519"/>
        <v>-</v>
      </c>
      <c r="V516" t="str">
        <f t="shared" si="520"/>
        <v>-</v>
      </c>
      <c r="W516" t="str">
        <f t="shared" si="521"/>
        <v>-</v>
      </c>
      <c r="X516" t="str">
        <f t="shared" si="522"/>
        <v>-</v>
      </c>
      <c r="Y516" t="str">
        <f t="shared" si="523"/>
        <v>-</v>
      </c>
      <c r="Z516" t="str">
        <f t="shared" si="524"/>
        <v>-</v>
      </c>
      <c r="AA516" t="str">
        <f t="shared" si="525"/>
        <v>-</v>
      </c>
      <c r="AB516" t="str">
        <f t="shared" si="526"/>
        <v>-</v>
      </c>
      <c r="AC516" t="str">
        <f t="shared" si="527"/>
        <v>-</v>
      </c>
    </row>
    <row r="517" spans="1:29" x14ac:dyDescent="0.3">
      <c r="A517" t="s">
        <v>290</v>
      </c>
      <c r="B517" t="str">
        <f t="shared" ref="B517:D517" si="529">B413</f>
        <v>High-rise</v>
      </c>
      <c r="C517">
        <f t="shared" si="529"/>
        <v>22</v>
      </c>
      <c r="D517">
        <f t="shared" si="529"/>
        <v>4</v>
      </c>
      <c r="E517">
        <f>AVERAGEIFS('Region 22'!$W$2:$W$510,'Region 22'!$A$2:$A$510,E$1,'Region 22'!$X$2:$X$510,$D517,'Region 22'!$S$2:$S$510,$A517)</f>
        <v>0.32941176470588235</v>
      </c>
      <c r="F517" t="e">
        <f>AVERAGEIFS('Region 22'!$W$2:$W$510,'Region 22'!$A$2:$A$510,F$1,'Region 22'!$X$2:$X$510,$D517,'Region 22'!$S$2:$S$510,$A517)</f>
        <v>#DIV/0!</v>
      </c>
      <c r="G517" t="e">
        <f>AVERAGEIFS('Region 22'!$W$2:$W$510,'Region 22'!$A$2:$A$510,G$1,'Region 22'!$X$2:$X$510,$D517,'Region 22'!$S$2:$S$510,$A517)</f>
        <v>#DIV/0!</v>
      </c>
      <c r="H517" t="e">
        <f>AVERAGEIFS('Region 22'!$W$2:$W$510,'Region 22'!$A$2:$A$510,H$1,'Region 22'!$X$2:$X$510,$D517,'Region 22'!$S$2:$S$510,$A517)</f>
        <v>#DIV/0!</v>
      </c>
      <c r="I517" t="e">
        <f>AVERAGEIFS('Region 22'!$W$2:$W$510,'Region 22'!$A$2:$A$510,I$1,'Region 22'!$X$2:$X$510,$D517,'Region 22'!$S$2:$S$510,$A517)</f>
        <v>#DIV/0!</v>
      </c>
      <c r="J517" t="e">
        <f>AVERAGEIFS('Region 22'!$W$2:$W$510,'Region 22'!$A$2:$A$510,J$1,'Region 22'!$X$2:$X$510,$D517,'Region 22'!$S$2:$S$510,$A517)</f>
        <v>#DIV/0!</v>
      </c>
      <c r="K517" t="e">
        <f>AVERAGEIFS('Region 22'!$W$2:$W$510,'Region 22'!$A$2:$A$510,K$1,'Region 22'!$X$2:$X$510,$D517,'Region 22'!$S$2:$S$510,$A517)</f>
        <v>#DIV/0!</v>
      </c>
      <c r="L517" t="e">
        <f>AVERAGEIFS('Region 22'!$W$2:$W$510,'Region 22'!$A$2:$A$510,L$1,'Region 22'!$X$2:$X$510,$D517,'Region 22'!$S$2:$S$510,$A517)</f>
        <v>#DIV/0!</v>
      </c>
      <c r="M517" t="e">
        <f>AVERAGEIFS('Region 22'!$W$2:$W$510,'Region 22'!$A$2:$A$510,M$1,'Region 22'!$X$2:$X$510,$D517,'Region 22'!$S$2:$S$510,$A517)</f>
        <v>#DIV/0!</v>
      </c>
      <c r="N517" t="e">
        <f>AVERAGEIFS('Region 22'!$W$2:$W$510,'Region 22'!$A$2:$A$510,N$1,'Region 22'!$X$2:$X$510,$D517,'Region 22'!$S$2:$S$510,$A517)</f>
        <v>#DIV/0!</v>
      </c>
      <c r="Q517" t="str">
        <f t="shared" si="459"/>
        <v>Aluminium</v>
      </c>
      <c r="R517" t="str">
        <f t="shared" si="460"/>
        <v>High-rise</v>
      </c>
      <c r="S517">
        <f t="shared" si="461"/>
        <v>22</v>
      </c>
      <c r="T517">
        <f t="shared" si="518"/>
        <v>0.32941176470588235</v>
      </c>
      <c r="U517" t="str">
        <f t="shared" si="519"/>
        <v>-</v>
      </c>
      <c r="V517" t="str">
        <f t="shared" si="520"/>
        <v>-</v>
      </c>
      <c r="W517" t="str">
        <f t="shared" si="521"/>
        <v>-</v>
      </c>
      <c r="X517" t="str">
        <f t="shared" si="522"/>
        <v>-</v>
      </c>
      <c r="Y517" t="str">
        <f t="shared" si="523"/>
        <v>-</v>
      </c>
      <c r="Z517" t="str">
        <f t="shared" si="524"/>
        <v>-</v>
      </c>
      <c r="AA517" t="str">
        <f t="shared" si="525"/>
        <v>-</v>
      </c>
      <c r="AB517" t="str">
        <f t="shared" si="526"/>
        <v>-</v>
      </c>
      <c r="AC517" t="str">
        <f t="shared" si="527"/>
        <v>-</v>
      </c>
    </row>
    <row r="518" spans="1:29" x14ac:dyDescent="0.3">
      <c r="A518" t="s">
        <v>290</v>
      </c>
      <c r="B518" t="str">
        <f t="shared" ref="B518:D518" si="530">B414</f>
        <v>High-rise</v>
      </c>
      <c r="C518">
        <f t="shared" si="530"/>
        <v>23</v>
      </c>
      <c r="D518">
        <f t="shared" si="530"/>
        <v>4</v>
      </c>
      <c r="E518" t="e">
        <f>AVERAGEIFS('Region 23'!$W$2:$W$468,'Region 23'!$A$2:$A$468,E$1,'Region 23'!$X$2:$X$468,$D518,'Region 23'!$S$2:$S$468,$A518)</f>
        <v>#DIV/0!</v>
      </c>
      <c r="F518">
        <f>AVERAGEIFS('Region 23'!$W$2:$W$468,'Region 23'!$A$2:$A$468,F$1,'Region 23'!$X$2:$X$468,$D518,'Region 23'!$S$2:$S$468,$A518)</f>
        <v>2</v>
      </c>
      <c r="G518" t="e">
        <f>AVERAGEIFS('Region 23'!$W$2:$W$468,'Region 23'!$A$2:$A$468,G$1,'Region 23'!$X$2:$X$468,$D518,'Region 23'!$S$2:$S$468,$A518)</f>
        <v>#DIV/0!</v>
      </c>
      <c r="H518" t="e">
        <f>AVERAGEIFS('Region 23'!$W$2:$W$468,'Region 23'!$A$2:$A$468,H$1,'Region 23'!$X$2:$X$468,$D518,'Region 23'!$S$2:$S$468,$A518)</f>
        <v>#DIV/0!</v>
      </c>
      <c r="I518" t="e">
        <f>AVERAGEIFS('Region 23'!$W$2:$W$468,'Region 23'!$A$2:$A$468,I$1,'Region 23'!$X$2:$X$468,$D518,'Region 23'!$S$2:$S$468,$A518)</f>
        <v>#DIV/0!</v>
      </c>
      <c r="J518" t="e">
        <f>AVERAGEIFS('Region 23'!$W$2:$W$468,'Region 23'!$A$2:$A$468,J$1,'Region 23'!$X$2:$X$468,$D518,'Region 23'!$S$2:$S$468,$A518)</f>
        <v>#DIV/0!</v>
      </c>
      <c r="K518" t="e">
        <f>AVERAGEIFS('Region 23'!$W$2:$W$468,'Region 23'!$A$2:$A$468,K$1,'Region 23'!$X$2:$X$468,$D518,'Region 23'!$S$2:$S$468,$A518)</f>
        <v>#DIV/0!</v>
      </c>
      <c r="L518" t="e">
        <f>AVERAGEIFS('Region 23'!$W$2:$W$468,'Region 23'!$A$2:$A$468,L$1,'Region 23'!$X$2:$X$468,$D518,'Region 23'!$S$2:$S$468,$A518)</f>
        <v>#DIV/0!</v>
      </c>
      <c r="M518" t="e">
        <f>AVERAGEIFS('Region 23'!$W$2:$W$468,'Region 23'!$A$2:$A$468,M$1,'Region 23'!$X$2:$X$468,$D518,'Region 23'!$S$2:$S$468,$A518)</f>
        <v>#DIV/0!</v>
      </c>
      <c r="N518" t="e">
        <f>AVERAGEIFS('Region 23'!$W$2:$W$468,'Region 23'!$A$2:$A$468,N$1,'Region 23'!$X$2:$X$468,$D518,'Region 23'!$S$2:$S$468,$A518)</f>
        <v>#DIV/0!</v>
      </c>
      <c r="Q518" t="str">
        <f t="shared" si="459"/>
        <v>Aluminium</v>
      </c>
      <c r="R518" t="str">
        <f t="shared" si="460"/>
        <v>High-rise</v>
      </c>
      <c r="S518">
        <f t="shared" si="461"/>
        <v>23</v>
      </c>
      <c r="T518" t="str">
        <f t="shared" si="518"/>
        <v>-</v>
      </c>
      <c r="U518">
        <f t="shared" si="519"/>
        <v>2</v>
      </c>
      <c r="V518" t="str">
        <f t="shared" si="520"/>
        <v>-</v>
      </c>
      <c r="W518" t="str">
        <f t="shared" si="521"/>
        <v>-</v>
      </c>
      <c r="X518" t="str">
        <f t="shared" si="522"/>
        <v>-</v>
      </c>
      <c r="Y518" t="str">
        <f t="shared" si="523"/>
        <v>-</v>
      </c>
      <c r="Z518" t="str">
        <f t="shared" si="524"/>
        <v>-</v>
      </c>
      <c r="AA518" t="str">
        <f t="shared" si="525"/>
        <v>-</v>
      </c>
      <c r="AB518" t="str">
        <f t="shared" si="526"/>
        <v>-</v>
      </c>
      <c r="AC518" t="str">
        <f t="shared" si="527"/>
        <v>-</v>
      </c>
    </row>
    <row r="519" spans="1:29" x14ac:dyDescent="0.3">
      <c r="A519" t="s">
        <v>290</v>
      </c>
      <c r="B519" t="str">
        <f t="shared" ref="B519:D519" si="531">B415</f>
        <v>High-rise</v>
      </c>
      <c r="C519">
        <f t="shared" si="531"/>
        <v>24</v>
      </c>
      <c r="D519">
        <f t="shared" si="531"/>
        <v>4</v>
      </c>
      <c r="E519" t="e">
        <f>AVERAGEIFS('Region 24'!$W$2:$W$454,'Region 24'!$A$2:$A$454,E$1,'Region 24'!$X$2:$X$454,$D519,'Region 24'!$S$2:$S$454,$A519)</f>
        <v>#DIV/0!</v>
      </c>
      <c r="F519" t="e">
        <f>AVERAGEIFS('Region 24'!$W$2:$W$454,'Region 24'!$A$2:$A$454,F$1,'Region 24'!$X$2:$X$454,$D519,'Region 24'!$S$2:$S$454,$A519)</f>
        <v>#DIV/0!</v>
      </c>
      <c r="G519" t="e">
        <f>AVERAGEIFS('Region 24'!$W$2:$W$454,'Region 24'!$A$2:$A$454,G$1,'Region 24'!$X$2:$X$454,$D519,'Region 24'!$S$2:$S$454,$A519)</f>
        <v>#DIV/0!</v>
      </c>
      <c r="H519" t="e">
        <f>AVERAGEIFS('Region 24'!$W$2:$W$454,'Region 24'!$A$2:$A$454,H$1,'Region 24'!$X$2:$X$454,$D519,'Region 24'!$S$2:$S$454,$A519)</f>
        <v>#DIV/0!</v>
      </c>
      <c r="I519" t="e">
        <f>AVERAGEIFS('Region 24'!$W$2:$W$454,'Region 24'!$A$2:$A$454,I$1,'Region 24'!$X$2:$X$454,$D519,'Region 24'!$S$2:$S$454,$A519)</f>
        <v>#DIV/0!</v>
      </c>
      <c r="J519" t="e">
        <f>AVERAGEIFS('Region 24'!$W$2:$W$454,'Region 24'!$A$2:$A$454,J$1,'Region 24'!$X$2:$X$454,$D519,'Region 24'!$S$2:$S$454,$A519)</f>
        <v>#DIV/0!</v>
      </c>
      <c r="K519" t="e">
        <f>AVERAGEIFS('Region 24'!$W$2:$W$454,'Region 24'!$A$2:$A$454,K$1,'Region 24'!$X$2:$X$454,$D519,'Region 24'!$S$2:$S$454,$A519)</f>
        <v>#DIV/0!</v>
      </c>
      <c r="L519" t="e">
        <f>AVERAGEIFS('Region 24'!$W$2:$W$454,'Region 24'!$A$2:$A$454,L$1,'Region 24'!$X$2:$X$454,$D519,'Region 24'!$S$2:$S$454,$A519)</f>
        <v>#DIV/0!</v>
      </c>
      <c r="M519" t="e">
        <f>AVERAGEIFS('Region 24'!$W$2:$W$454,'Region 24'!$A$2:$A$454,M$1,'Region 24'!$X$2:$X$454,$D519,'Region 24'!$S$2:$S$454,$A519)</f>
        <v>#DIV/0!</v>
      </c>
      <c r="N519" t="e">
        <f>AVERAGEIFS('Region 24'!$W$2:$W$454,'Region 24'!$A$2:$A$454,N$1,'Region 24'!$X$2:$X$454,$D519,'Region 24'!$S$2:$S$454,$A519)</f>
        <v>#DIV/0!</v>
      </c>
      <c r="Q519" t="str">
        <f t="shared" si="459"/>
        <v>Aluminium</v>
      </c>
      <c r="R519" t="str">
        <f t="shared" si="460"/>
        <v>High-rise</v>
      </c>
      <c r="S519">
        <f t="shared" si="461"/>
        <v>24</v>
      </c>
      <c r="T519" t="str">
        <f t="shared" si="518"/>
        <v>-</v>
      </c>
      <c r="U519" t="str">
        <f t="shared" si="519"/>
        <v>-</v>
      </c>
      <c r="V519" t="str">
        <f t="shared" si="520"/>
        <v>-</v>
      </c>
      <c r="W519" t="str">
        <f t="shared" si="521"/>
        <v>-</v>
      </c>
      <c r="X519" t="str">
        <f t="shared" si="522"/>
        <v>-</v>
      </c>
      <c r="Y519" t="str">
        <f t="shared" si="523"/>
        <v>-</v>
      </c>
      <c r="Z519" t="str">
        <f t="shared" si="524"/>
        <v>-</v>
      </c>
      <c r="AA519" t="str">
        <f t="shared" si="525"/>
        <v>-</v>
      </c>
      <c r="AB519" t="str">
        <f t="shared" si="526"/>
        <v>-</v>
      </c>
      <c r="AC519" t="str">
        <f t="shared" si="527"/>
        <v>-</v>
      </c>
    </row>
    <row r="520" spans="1:29" x14ac:dyDescent="0.3">
      <c r="A520" t="s">
        <v>290</v>
      </c>
      <c r="B520" t="str">
        <f t="shared" ref="B520:D520" si="532">B416</f>
        <v>High-rise</v>
      </c>
      <c r="C520">
        <f t="shared" si="532"/>
        <v>25</v>
      </c>
      <c r="D520">
        <f t="shared" si="532"/>
        <v>4</v>
      </c>
      <c r="E520" t="e">
        <f>AVERAGEIFS('Region 25'!$W$2:$W$499,'Region 25'!$A$2:$A$499,E$1,'Region 25'!$X$2:$X$499,$D520,'Region 25'!$S$2:$S$499,$A520)</f>
        <v>#DIV/0!</v>
      </c>
      <c r="F520" t="e">
        <f>AVERAGEIFS('Region 25'!$W$2:$W$499,'Region 25'!$A$2:$A$499,F$1,'Region 25'!$X$2:$X$499,$D520,'Region 25'!$S$2:$S$499,$A520)</f>
        <v>#DIV/0!</v>
      </c>
      <c r="G520" t="e">
        <f>AVERAGEIFS('Region 25'!$W$2:$W$499,'Region 25'!$A$2:$A$499,G$1,'Region 25'!$X$2:$X$499,$D520,'Region 25'!$S$2:$S$499,$A520)</f>
        <v>#DIV/0!</v>
      </c>
      <c r="H520" t="e">
        <f>AVERAGEIFS('Region 25'!$W$2:$W$499,'Region 25'!$A$2:$A$499,H$1,'Region 25'!$X$2:$X$499,$D520,'Region 25'!$S$2:$S$499,$A520)</f>
        <v>#DIV/0!</v>
      </c>
      <c r="I520" t="e">
        <f>AVERAGEIFS('Region 25'!$W$2:$W$499,'Region 25'!$A$2:$A$499,I$1,'Region 25'!$X$2:$X$499,$D520,'Region 25'!$S$2:$S$499,$A520)</f>
        <v>#DIV/0!</v>
      </c>
      <c r="J520" t="e">
        <f>AVERAGEIFS('Region 25'!$W$2:$W$499,'Region 25'!$A$2:$A$499,J$1,'Region 25'!$X$2:$X$499,$D520,'Region 25'!$S$2:$S$499,$A520)</f>
        <v>#DIV/0!</v>
      </c>
      <c r="K520" t="e">
        <f>AVERAGEIFS('Region 25'!$W$2:$W$499,'Region 25'!$A$2:$A$499,K$1,'Region 25'!$X$2:$X$499,$D520,'Region 25'!$S$2:$S$499,$A520)</f>
        <v>#DIV/0!</v>
      </c>
      <c r="L520" t="e">
        <f>AVERAGEIFS('Region 25'!$W$2:$W$499,'Region 25'!$A$2:$A$499,L$1,'Region 25'!$X$2:$X$499,$D520,'Region 25'!$S$2:$S$499,$A520)</f>
        <v>#DIV/0!</v>
      </c>
      <c r="M520" t="e">
        <f>AVERAGEIFS('Region 25'!$W$2:$W$499,'Region 25'!$A$2:$A$499,M$1,'Region 25'!$X$2:$X$499,$D520,'Region 25'!$S$2:$S$499,$A520)</f>
        <v>#DIV/0!</v>
      </c>
      <c r="N520" t="e">
        <f>AVERAGEIFS('Region 25'!$W$2:$W$499,'Region 25'!$A$2:$A$499,N$1,'Region 25'!$X$2:$X$499,$D520,'Region 25'!$S$2:$S$499,$A520)</f>
        <v>#DIV/0!</v>
      </c>
      <c r="Q520" t="str">
        <f t="shared" si="459"/>
        <v>Aluminium</v>
      </c>
      <c r="R520" t="str">
        <f t="shared" si="460"/>
        <v>High-rise</v>
      </c>
      <c r="S520">
        <f t="shared" si="461"/>
        <v>25</v>
      </c>
      <c r="T520" t="str">
        <f t="shared" si="518"/>
        <v>-</v>
      </c>
      <c r="U520" t="str">
        <f t="shared" si="519"/>
        <v>-</v>
      </c>
      <c r="V520" t="str">
        <f t="shared" si="520"/>
        <v>-</v>
      </c>
      <c r="W520" t="str">
        <f t="shared" si="521"/>
        <v>-</v>
      </c>
      <c r="X520" t="str">
        <f t="shared" si="522"/>
        <v>-</v>
      </c>
      <c r="Y520" t="str">
        <f t="shared" si="523"/>
        <v>-</v>
      </c>
      <c r="Z520" t="str">
        <f t="shared" si="524"/>
        <v>-</v>
      </c>
      <c r="AA520" t="str">
        <f t="shared" si="525"/>
        <v>-</v>
      </c>
      <c r="AB520" t="str">
        <f t="shared" si="526"/>
        <v>-</v>
      </c>
      <c r="AC520" t="str">
        <f t="shared" si="527"/>
        <v>-</v>
      </c>
    </row>
    <row r="521" spans="1:29" x14ac:dyDescent="0.3">
      <c r="A521" t="s">
        <v>290</v>
      </c>
      <c r="B521" t="str">
        <f t="shared" ref="B521:D521" si="533">B417</f>
        <v>High-rise</v>
      </c>
      <c r="C521">
        <f t="shared" si="533"/>
        <v>26</v>
      </c>
      <c r="D521">
        <f t="shared" si="533"/>
        <v>4</v>
      </c>
      <c r="E521" t="e">
        <f ca="1">AVERAGEIFS('Region 26'!$W$2:$W$500,'Region 26'!$A$2:$A$500,E$1,'Region 26'!$X$2:$X$500,$D521,'Region 26'!$S$2:$S$500,$A521)</f>
        <v>#DIV/0!</v>
      </c>
      <c r="F521" t="e">
        <f ca="1">AVERAGEIFS('Region 26'!$W$2:$W$500,'Region 26'!$A$2:$A$500,F$1,'Region 26'!$X$2:$X$500,$D521,'Region 26'!$S$2:$S$500,$A521)</f>
        <v>#DIV/0!</v>
      </c>
      <c r="G521" t="e">
        <f ca="1">AVERAGEIFS('Region 26'!$W$2:$W$500,'Region 26'!$A$2:$A$500,G$1,'Region 26'!$X$2:$X$500,$D521,'Region 26'!$S$2:$S$500,$A521)</f>
        <v>#DIV/0!</v>
      </c>
      <c r="H521" t="e">
        <f ca="1">AVERAGEIFS('Region 26'!$W$2:$W$500,'Region 26'!$A$2:$A$500,H$1,'Region 26'!$X$2:$X$500,$D521,'Region 26'!$S$2:$S$500,$A521)</f>
        <v>#DIV/0!</v>
      </c>
      <c r="I521" t="e">
        <f ca="1">AVERAGEIFS('Region 26'!$W$2:$W$500,'Region 26'!$A$2:$A$500,I$1,'Region 26'!$X$2:$X$500,$D521,'Region 26'!$S$2:$S$500,$A521)</f>
        <v>#DIV/0!</v>
      </c>
      <c r="J521" t="e">
        <f ca="1">AVERAGEIFS('Region 26'!$W$2:$W$500,'Region 26'!$A$2:$A$500,J$1,'Region 26'!$X$2:$X$500,$D521,'Region 26'!$S$2:$S$500,$A521)</f>
        <v>#DIV/0!</v>
      </c>
      <c r="K521" t="e">
        <f ca="1">AVERAGEIFS('Region 26'!$W$2:$W$500,'Region 26'!$A$2:$A$500,K$1,'Region 26'!$X$2:$X$500,$D521,'Region 26'!$S$2:$S$500,$A521)</f>
        <v>#DIV/0!</v>
      </c>
      <c r="L521" t="e">
        <f ca="1">AVERAGEIFS('Region 26'!$W$2:$W$500,'Region 26'!$A$2:$A$500,L$1,'Region 26'!$X$2:$X$500,$D521,'Region 26'!$S$2:$S$500,$A521)</f>
        <v>#DIV/0!</v>
      </c>
      <c r="M521" t="e">
        <f ca="1">AVERAGEIFS('Region 26'!$W$2:$W$500,'Region 26'!$A$2:$A$500,M$1,'Region 26'!$X$2:$X$500,$D521,'Region 26'!$S$2:$S$500,$A521)</f>
        <v>#DIV/0!</v>
      </c>
      <c r="N521" t="e">
        <f ca="1">AVERAGEIFS('Region 26'!$W$2:$W$500,'Region 26'!$A$2:$A$500,N$1,'Region 26'!$X$2:$X$500,$D521,'Region 26'!$S$2:$S$500,$A521)</f>
        <v>#DIV/0!</v>
      </c>
      <c r="Q521" t="str">
        <f t="shared" si="459"/>
        <v>Aluminium</v>
      </c>
      <c r="R521" t="str">
        <f t="shared" si="460"/>
        <v>High-rise</v>
      </c>
      <c r="S521">
        <f t="shared" si="461"/>
        <v>26</v>
      </c>
      <c r="T521" t="str">
        <f t="shared" ca="1" si="518"/>
        <v>-</v>
      </c>
      <c r="U521" t="str">
        <f t="shared" ca="1" si="519"/>
        <v>-</v>
      </c>
      <c r="V521" t="str">
        <f t="shared" ca="1" si="520"/>
        <v>-</v>
      </c>
      <c r="W521" t="str">
        <f t="shared" ca="1" si="521"/>
        <v>-</v>
      </c>
      <c r="X521" t="str">
        <f t="shared" ca="1" si="522"/>
        <v>-</v>
      </c>
      <c r="Y521" t="str">
        <f t="shared" ca="1" si="523"/>
        <v>-</v>
      </c>
      <c r="Z521" t="str">
        <f t="shared" ca="1" si="524"/>
        <v>-</v>
      </c>
      <c r="AA521" t="str">
        <f t="shared" ca="1" si="525"/>
        <v>-</v>
      </c>
      <c r="AB521" t="str">
        <f t="shared" ca="1" si="526"/>
        <v>-</v>
      </c>
      <c r="AC521" t="str">
        <f t="shared" ca="1" si="527"/>
        <v>-</v>
      </c>
    </row>
    <row r="522" spans="1:29" x14ac:dyDescent="0.3">
      <c r="A522" t="s">
        <v>437</v>
      </c>
      <c r="B522" t="str">
        <f>B418</f>
        <v>Detached</v>
      </c>
      <c r="C522">
        <f>C418</f>
        <v>1</v>
      </c>
      <c r="D522">
        <f>D418</f>
        <v>1</v>
      </c>
      <c r="E522" t="e">
        <f>AVERAGEIFS('Region 1'!$W$2:$W$498,'Region 1'!$A$2:$A$498,E$1,'Region 1'!$X$2:$X$498,$D522,'Region 1'!$S$2:$S$498,$A522)</f>
        <v>#DIV/0!</v>
      </c>
      <c r="F522" t="e">
        <f>AVERAGEIFS('Region 1'!$W$2:$W$498,'Region 1'!$A$2:$A$498,F$1,'Region 1'!$X$2:$X$498,$D522,'Region 1'!$S$2:$S$498,$A522)</f>
        <v>#DIV/0!</v>
      </c>
      <c r="G522" t="e">
        <f>AVERAGEIFS('Region 1'!$W$2:$W$498,'Region 1'!$A$2:$A$498,G$1,'Region 1'!$X$2:$X$498,$D522,'Region 1'!$S$2:$S$498,$A522)</f>
        <v>#DIV/0!</v>
      </c>
      <c r="H522" t="e">
        <f>AVERAGEIFS('Region 1'!$W$2:$W$498,'Region 1'!$A$2:$A$498,H$1,'Region 1'!$X$2:$X$498,$D522,'Region 1'!$S$2:$S$498,$A522)</f>
        <v>#DIV/0!</v>
      </c>
      <c r="I522" t="e">
        <f>AVERAGEIFS('Region 1'!$W$2:$W$498,'Region 1'!$A$2:$A$498,I$1,'Region 1'!$X$2:$X$498,$D522,'Region 1'!$S$2:$S$498,$A522)</f>
        <v>#DIV/0!</v>
      </c>
      <c r="J522" t="e">
        <f>AVERAGEIFS('Region 1'!$W$2:$W$498,'Region 1'!$A$2:$A$498,J$1,'Region 1'!$X$2:$X$498,$D522,'Region 1'!$S$2:$S$498,$A522)</f>
        <v>#DIV/0!</v>
      </c>
      <c r="K522" t="e">
        <f>AVERAGEIFS('Region 1'!$W$2:$W$498,'Region 1'!$A$2:$A$498,K$1,'Region 1'!$X$2:$X$498,$D522,'Region 1'!$S$2:$S$498,$A522)</f>
        <v>#DIV/0!</v>
      </c>
      <c r="L522" t="e">
        <f>AVERAGEIFS('Region 1'!$W$2:$W$498,'Region 1'!$A$2:$A$498,L$1,'Region 1'!$X$2:$X$498,$D522,'Region 1'!$S$2:$S$498,$A522)</f>
        <v>#DIV/0!</v>
      </c>
      <c r="M522" t="e">
        <f>AVERAGEIFS('Region 1'!$W$2:$W$498,'Region 1'!$A$2:$A$498,M$1,'Region 1'!$X$2:$X$498,$D522,'Region 1'!$S$2:$S$498,$A522)</f>
        <v>#DIV/0!</v>
      </c>
      <c r="N522" t="e">
        <f>AVERAGEIFS('Region 1'!$W$2:$W$498,'Region 1'!$A$2:$A$498,N$1,'Region 1'!$X$2:$X$498,$D522,'Region 1'!$S$2:$S$498,$A522)</f>
        <v>#DIV/0!</v>
      </c>
      <c r="Q522" t="str">
        <f t="shared" si="459"/>
        <v>Glass</v>
      </c>
      <c r="R522" t="str">
        <f t="shared" si="460"/>
        <v>Detached</v>
      </c>
      <c r="S522">
        <f t="shared" si="461"/>
        <v>1</v>
      </c>
      <c r="T522" t="str">
        <f t="shared" si="518"/>
        <v>-</v>
      </c>
      <c r="U522" t="str">
        <f t="shared" si="519"/>
        <v>-</v>
      </c>
      <c r="V522" t="str">
        <f t="shared" si="520"/>
        <v>-</v>
      </c>
      <c r="W522" t="str">
        <f t="shared" si="521"/>
        <v>-</v>
      </c>
      <c r="X522" t="str">
        <f t="shared" si="522"/>
        <v>-</v>
      </c>
      <c r="Y522" t="str">
        <f t="shared" si="523"/>
        <v>-</v>
      </c>
      <c r="Z522" t="str">
        <f t="shared" si="524"/>
        <v>-</v>
      </c>
      <c r="AA522" t="str">
        <f t="shared" si="525"/>
        <v>-</v>
      </c>
      <c r="AB522" t="str">
        <f t="shared" si="526"/>
        <v>-</v>
      </c>
      <c r="AC522" t="str">
        <f t="shared" si="527"/>
        <v>-</v>
      </c>
    </row>
    <row r="523" spans="1:29" x14ac:dyDescent="0.3">
      <c r="A523" t="s">
        <v>437</v>
      </c>
      <c r="B523" t="str">
        <f t="shared" ref="B523:D523" si="534">B419</f>
        <v>Detached</v>
      </c>
      <c r="C523">
        <f t="shared" si="534"/>
        <v>2</v>
      </c>
      <c r="D523">
        <f t="shared" si="534"/>
        <v>1</v>
      </c>
      <c r="E523">
        <f>AVERAGEIFS('Region 2'!$W$2:$W$498,'Region 2'!$A$2:$A$498,E$1,'Region 2'!$X$2:$X$498,$D523,'Region 2'!$S$2:$S$498,$A523)</f>
        <v>4.4461549546509769</v>
      </c>
      <c r="F523">
        <f>AVERAGEIFS('Region 2'!$W$2:$W$498,'Region 2'!$A$2:$A$498,F$1,'Region 2'!$X$2:$X$498,$D523,'Region 2'!$S$2:$S$498,$A523)</f>
        <v>2.1958041958041958</v>
      </c>
      <c r="G523" t="e">
        <f>AVERAGEIFS('Region 2'!$W$2:$W$498,'Region 2'!$A$2:$A$498,G$1,'Region 2'!$X$2:$X$498,$D523,'Region 2'!$S$2:$S$498,$A523)</f>
        <v>#DIV/0!</v>
      </c>
      <c r="H523" t="e">
        <f>AVERAGEIFS('Region 2'!$W$2:$W$498,'Region 2'!$A$2:$A$498,H$1,'Region 2'!$X$2:$X$498,$D523,'Region 2'!$S$2:$S$498,$A523)</f>
        <v>#DIV/0!</v>
      </c>
      <c r="I523" t="e">
        <f>AVERAGEIFS('Region 2'!$W$2:$W$498,'Region 2'!$A$2:$A$498,I$1,'Region 2'!$X$2:$X$498,$D523,'Region 2'!$S$2:$S$498,$A523)</f>
        <v>#DIV/0!</v>
      </c>
      <c r="J523" t="e">
        <f>AVERAGEIFS('Region 2'!$W$2:$W$498,'Region 2'!$A$2:$A$498,J$1,'Region 2'!$X$2:$X$498,$D523,'Region 2'!$S$2:$S$498,$A523)</f>
        <v>#DIV/0!</v>
      </c>
      <c r="K523" t="e">
        <f>AVERAGEIFS('Region 2'!$W$2:$W$498,'Region 2'!$A$2:$A$498,K$1,'Region 2'!$X$2:$X$498,$D523,'Region 2'!$S$2:$S$498,$A523)</f>
        <v>#DIV/0!</v>
      </c>
      <c r="L523" t="e">
        <f>AVERAGEIFS('Region 2'!$W$2:$W$498,'Region 2'!$A$2:$A$498,L$1,'Region 2'!$X$2:$X$498,$D523,'Region 2'!$S$2:$S$498,$A523)</f>
        <v>#DIV/0!</v>
      </c>
      <c r="M523" t="e">
        <f>AVERAGEIFS('Region 2'!$W$2:$W$498,'Region 2'!$A$2:$A$498,M$1,'Region 2'!$X$2:$X$498,$D523,'Region 2'!$S$2:$S$498,$A523)</f>
        <v>#DIV/0!</v>
      </c>
      <c r="N523" t="e">
        <f>AVERAGEIFS('Region 2'!$W$2:$W$498,'Region 2'!$A$2:$A$498,N$1,'Region 2'!$X$2:$X$498,$D523,'Region 2'!$S$2:$S$498,$A523)</f>
        <v>#DIV/0!</v>
      </c>
      <c r="Q523" t="str">
        <f t="shared" ref="Q523:Q586" si="535">A523</f>
        <v>Glass</v>
      </c>
      <c r="R523" t="str">
        <f t="shared" ref="R523:R586" si="536">B523</f>
        <v>Detached</v>
      </c>
      <c r="S523">
        <f t="shared" ref="S523:S586" si="537">C523</f>
        <v>2</v>
      </c>
      <c r="T523">
        <f t="shared" si="518"/>
        <v>4.4461549546509769</v>
      </c>
      <c r="U523">
        <f t="shared" si="519"/>
        <v>2.1958041958041958</v>
      </c>
      <c r="V523" t="str">
        <f t="shared" si="520"/>
        <v>-</v>
      </c>
      <c r="W523" t="str">
        <f t="shared" si="521"/>
        <v>-</v>
      </c>
      <c r="X523" t="str">
        <f t="shared" si="522"/>
        <v>-</v>
      </c>
      <c r="Y523" t="str">
        <f t="shared" si="523"/>
        <v>-</v>
      </c>
      <c r="Z523" t="str">
        <f t="shared" si="524"/>
        <v>-</v>
      </c>
      <c r="AA523" t="str">
        <f t="shared" si="525"/>
        <v>-</v>
      </c>
      <c r="AB523" t="str">
        <f t="shared" si="526"/>
        <v>-</v>
      </c>
      <c r="AC523" t="str">
        <f t="shared" si="527"/>
        <v>-</v>
      </c>
    </row>
    <row r="524" spans="1:29" x14ac:dyDescent="0.3">
      <c r="A524" t="s">
        <v>437</v>
      </c>
      <c r="B524" t="str">
        <f t="shared" ref="B524:D524" si="538">B420</f>
        <v>Detached</v>
      </c>
      <c r="C524">
        <f t="shared" si="538"/>
        <v>3</v>
      </c>
      <c r="D524">
        <f t="shared" si="538"/>
        <v>1</v>
      </c>
      <c r="E524" t="e">
        <f ca="1">AVERAGEIFS('Region 3'!$W$2:$W$500,'Region 3'!$A$2:$A$500,E$1,'Region 3'!$X$2:$X$500,$D524,'Region 3'!$S$2:$S$500,$A524)</f>
        <v>#DIV/0!</v>
      </c>
      <c r="F524" t="e">
        <f ca="1">AVERAGEIFS('Region 3'!$W$2:$W$500,'Region 3'!$A$2:$A$500,F$1,'Region 3'!$X$2:$X$500,$D524,'Region 3'!$S$2:$S$500,$A524)</f>
        <v>#DIV/0!</v>
      </c>
      <c r="G524" t="e">
        <f ca="1">AVERAGEIFS('Region 3'!$W$2:$W$500,'Region 3'!$A$2:$A$500,G$1,'Region 3'!$X$2:$X$500,$D524,'Region 3'!$S$2:$S$500,$A524)</f>
        <v>#DIV/0!</v>
      </c>
      <c r="H524" t="e">
        <f ca="1">AVERAGEIFS('Region 3'!$W$2:$W$500,'Region 3'!$A$2:$A$500,H$1,'Region 3'!$X$2:$X$500,$D524,'Region 3'!$S$2:$S$500,$A524)</f>
        <v>#DIV/0!</v>
      </c>
      <c r="I524" t="e">
        <f ca="1">AVERAGEIFS('Region 3'!$W$2:$W$500,'Region 3'!$A$2:$A$500,I$1,'Region 3'!$X$2:$X$500,$D524,'Region 3'!$S$2:$S$500,$A524)</f>
        <v>#DIV/0!</v>
      </c>
      <c r="J524" t="e">
        <f ca="1">AVERAGEIFS('Region 3'!$W$2:$W$500,'Region 3'!$A$2:$A$500,J$1,'Region 3'!$X$2:$X$500,$D524,'Region 3'!$S$2:$S$500,$A524)</f>
        <v>#DIV/0!</v>
      </c>
      <c r="K524" t="e">
        <f ca="1">AVERAGEIFS('Region 3'!$W$2:$W$500,'Region 3'!$A$2:$A$500,K$1,'Region 3'!$X$2:$X$500,$D524,'Region 3'!$S$2:$S$500,$A524)</f>
        <v>#DIV/0!</v>
      </c>
      <c r="L524" t="e">
        <f ca="1">AVERAGEIFS('Region 3'!$W$2:$W$500,'Region 3'!$A$2:$A$500,L$1,'Region 3'!$X$2:$X$500,$D524,'Region 3'!$S$2:$S$500,$A524)</f>
        <v>#DIV/0!</v>
      </c>
      <c r="M524" t="e">
        <f ca="1">AVERAGEIFS('Region 3'!$W$2:$W$500,'Region 3'!$A$2:$A$500,M$1,'Region 3'!$X$2:$X$500,$D524,'Region 3'!$S$2:$S$500,$A524)</f>
        <v>#DIV/0!</v>
      </c>
      <c r="N524" t="e">
        <f ca="1">AVERAGEIFS('Region 3'!$W$2:$W$500,'Region 3'!$A$2:$A$500,N$1,'Region 3'!$X$2:$X$500,$D524,'Region 3'!$S$2:$S$500,$A524)</f>
        <v>#DIV/0!</v>
      </c>
      <c r="Q524" t="str">
        <f t="shared" si="535"/>
        <v>Glass</v>
      </c>
      <c r="R524" t="str">
        <f t="shared" si="536"/>
        <v>Detached</v>
      </c>
      <c r="S524">
        <f t="shared" si="537"/>
        <v>3</v>
      </c>
      <c r="T524" t="str">
        <f t="shared" ca="1" si="518"/>
        <v>-</v>
      </c>
      <c r="U524" t="str">
        <f t="shared" ca="1" si="519"/>
        <v>-</v>
      </c>
      <c r="V524" t="str">
        <f t="shared" ca="1" si="520"/>
        <v>-</v>
      </c>
      <c r="W524" t="str">
        <f t="shared" ca="1" si="521"/>
        <v>-</v>
      </c>
      <c r="X524" t="str">
        <f t="shared" ca="1" si="522"/>
        <v>-</v>
      </c>
      <c r="Y524" t="str">
        <f t="shared" ca="1" si="523"/>
        <v>-</v>
      </c>
      <c r="Z524" t="str">
        <f t="shared" ca="1" si="524"/>
        <v>-</v>
      </c>
      <c r="AA524" t="str">
        <f t="shared" ca="1" si="525"/>
        <v>-</v>
      </c>
      <c r="AB524" t="str">
        <f t="shared" ca="1" si="526"/>
        <v>-</v>
      </c>
      <c r="AC524" t="str">
        <f t="shared" ca="1" si="527"/>
        <v>-</v>
      </c>
    </row>
    <row r="525" spans="1:29" x14ac:dyDescent="0.3">
      <c r="A525" t="s">
        <v>437</v>
      </c>
      <c r="B525" t="str">
        <f t="shared" ref="B525:D525" si="539">B421</f>
        <v>Detached</v>
      </c>
      <c r="C525">
        <f t="shared" si="539"/>
        <v>4</v>
      </c>
      <c r="D525">
        <f t="shared" si="539"/>
        <v>1</v>
      </c>
      <c r="E525" t="e">
        <f>AVERAGEIFS('Region 4'!$W$2:$W$10,'Region 4'!$A$2:$A$10,E$1,'Region 4'!$X$2:$X$10,$D525,'Region 4'!$S$2:$S$10,$A525)</f>
        <v>#DIV/0!</v>
      </c>
      <c r="F525" t="e">
        <f>AVERAGEIFS('Region 4'!$W$2:$W$10,'Region 4'!$A$2:$A$10,F$1,'Region 4'!$X$2:$X$10,$D525,'Region 4'!$S$2:$S$10,$A525)</f>
        <v>#DIV/0!</v>
      </c>
      <c r="G525" t="e">
        <f>AVERAGEIFS('Region 4'!$W$2:$W$10,'Region 4'!$A$2:$A$10,G$1,'Region 4'!$X$2:$X$10,$D525,'Region 4'!$S$2:$S$10,$A525)</f>
        <v>#DIV/0!</v>
      </c>
      <c r="H525" t="e">
        <f>AVERAGEIFS('Region 4'!$W$2:$W$10,'Region 4'!$A$2:$A$10,H$1,'Region 4'!$X$2:$X$10,$D525,'Region 4'!$S$2:$S$10,$A525)</f>
        <v>#DIV/0!</v>
      </c>
      <c r="I525" t="e">
        <f>AVERAGEIFS('Region 4'!$W$2:$W$10,'Region 4'!$A$2:$A$10,I$1,'Region 4'!$X$2:$X$10,$D525,'Region 4'!$S$2:$S$10,$A525)</f>
        <v>#DIV/0!</v>
      </c>
      <c r="J525" t="e">
        <f>AVERAGEIFS('Region 4'!$W$2:$W$10,'Region 4'!$A$2:$A$10,J$1,'Region 4'!$X$2:$X$10,$D525,'Region 4'!$S$2:$S$10,$A525)</f>
        <v>#DIV/0!</v>
      </c>
      <c r="K525" t="e">
        <f>AVERAGEIFS('Region 4'!$W$2:$W$10,'Region 4'!$A$2:$A$10,K$1,'Region 4'!$X$2:$X$10,$D525,'Region 4'!$S$2:$S$10,$A525)</f>
        <v>#DIV/0!</v>
      </c>
      <c r="L525" t="e">
        <f>AVERAGEIFS('Region 4'!$W$2:$W$10,'Region 4'!$A$2:$A$10,L$1,'Region 4'!$X$2:$X$10,$D525,'Region 4'!$S$2:$S$10,$A525)</f>
        <v>#DIV/0!</v>
      </c>
      <c r="M525" t="e">
        <f>AVERAGEIFS('Region 4'!$W$2:$W$10,'Region 4'!$A$2:$A$10,M$1,'Region 4'!$X$2:$X$10,$D525,'Region 4'!$S$2:$S$10,$A525)</f>
        <v>#DIV/0!</v>
      </c>
      <c r="N525" t="e">
        <f>AVERAGEIFS('Region 4'!$W$2:$W$10,'Region 4'!$A$2:$A$10,N$1,'Region 4'!$X$2:$X$10,$D525,'Region 4'!$S$2:$S$10,$A525)</f>
        <v>#DIV/0!</v>
      </c>
      <c r="Q525" t="str">
        <f t="shared" si="535"/>
        <v>Glass</v>
      </c>
      <c r="R525" t="str">
        <f t="shared" si="536"/>
        <v>Detached</v>
      </c>
      <c r="S525">
        <f t="shared" si="537"/>
        <v>4</v>
      </c>
      <c r="T525" t="str">
        <f t="shared" si="518"/>
        <v>-</v>
      </c>
      <c r="U525" t="str">
        <f t="shared" si="519"/>
        <v>-</v>
      </c>
      <c r="V525" t="str">
        <f t="shared" si="520"/>
        <v>-</v>
      </c>
      <c r="W525" t="str">
        <f t="shared" si="521"/>
        <v>-</v>
      </c>
      <c r="X525" t="str">
        <f t="shared" si="522"/>
        <v>-</v>
      </c>
      <c r="Y525" t="str">
        <f t="shared" si="523"/>
        <v>-</v>
      </c>
      <c r="Z525" t="str">
        <f t="shared" si="524"/>
        <v>-</v>
      </c>
      <c r="AA525" t="str">
        <f t="shared" si="525"/>
        <v>-</v>
      </c>
      <c r="AB525" t="str">
        <f t="shared" si="526"/>
        <v>-</v>
      </c>
      <c r="AC525" t="str">
        <f t="shared" si="527"/>
        <v>-</v>
      </c>
    </row>
    <row r="526" spans="1:29" x14ac:dyDescent="0.3">
      <c r="A526" t="s">
        <v>437</v>
      </c>
      <c r="B526" t="str">
        <f t="shared" ref="B526:D526" si="540">B422</f>
        <v>Detached</v>
      </c>
      <c r="C526">
        <f t="shared" si="540"/>
        <v>5</v>
      </c>
      <c r="D526">
        <f t="shared" si="540"/>
        <v>1</v>
      </c>
      <c r="E526" t="e">
        <f>AVERAGEIFS('Region 5'!$W$2:$W$496,'Region 5'!$A$2:$A$496,E$1,'Region 5'!$X$2:$X$496,$D526,'Region 5'!$S$2:$S$496,$A526)</f>
        <v>#DIV/0!</v>
      </c>
      <c r="F526">
        <f>AVERAGEIFS('Region 5'!$W$2:$W$496,'Region 5'!$A$2:$A$496,F$1,'Region 5'!$X$2:$X$496,$D526,'Region 5'!$S$2:$S$496,$A526)</f>
        <v>0.8</v>
      </c>
      <c r="G526" t="e">
        <f>AVERAGEIFS('Region 5'!$W$2:$W$496,'Region 5'!$A$2:$A$496,G$1,'Region 5'!$X$2:$X$496,$D526,'Region 5'!$S$2:$S$496,$A526)</f>
        <v>#DIV/0!</v>
      </c>
      <c r="H526" t="e">
        <f>AVERAGEIFS('Region 5'!$W$2:$W$496,'Region 5'!$A$2:$A$496,H$1,'Region 5'!$X$2:$X$496,$D526,'Region 5'!$S$2:$S$496,$A526)</f>
        <v>#DIV/0!</v>
      </c>
      <c r="I526" t="e">
        <f>AVERAGEIFS('Region 5'!$W$2:$W$496,'Region 5'!$A$2:$A$496,I$1,'Region 5'!$X$2:$X$496,$D526,'Region 5'!$S$2:$S$496,$A526)</f>
        <v>#DIV/0!</v>
      </c>
      <c r="J526" t="e">
        <f>AVERAGEIFS('Region 5'!$W$2:$W$496,'Region 5'!$A$2:$A$496,J$1,'Region 5'!$X$2:$X$496,$D526,'Region 5'!$S$2:$S$496,$A526)</f>
        <v>#DIV/0!</v>
      </c>
      <c r="K526" t="e">
        <f>AVERAGEIFS('Region 5'!$W$2:$W$496,'Region 5'!$A$2:$A$496,K$1,'Region 5'!$X$2:$X$496,$D526,'Region 5'!$S$2:$S$496,$A526)</f>
        <v>#DIV/0!</v>
      </c>
      <c r="L526" t="e">
        <f>AVERAGEIFS('Region 5'!$W$2:$W$496,'Region 5'!$A$2:$A$496,L$1,'Region 5'!$X$2:$X$496,$D526,'Region 5'!$S$2:$S$496,$A526)</f>
        <v>#DIV/0!</v>
      </c>
      <c r="M526" t="e">
        <f>AVERAGEIFS('Region 5'!$W$2:$W$496,'Region 5'!$A$2:$A$496,M$1,'Region 5'!$X$2:$X$496,$D526,'Region 5'!$S$2:$S$496,$A526)</f>
        <v>#DIV/0!</v>
      </c>
      <c r="N526" t="e">
        <f>AVERAGEIFS('Region 5'!$W$2:$W$496,'Region 5'!$A$2:$A$496,N$1,'Region 5'!$X$2:$X$496,$D526,'Region 5'!$S$2:$S$496,$A526)</f>
        <v>#DIV/0!</v>
      </c>
      <c r="Q526" t="str">
        <f t="shared" si="535"/>
        <v>Glass</v>
      </c>
      <c r="R526" t="str">
        <f t="shared" si="536"/>
        <v>Detached</v>
      </c>
      <c r="S526">
        <f t="shared" si="537"/>
        <v>5</v>
      </c>
      <c r="T526" t="str">
        <f t="shared" si="518"/>
        <v>-</v>
      </c>
      <c r="U526">
        <f t="shared" si="519"/>
        <v>0.8</v>
      </c>
      <c r="V526" t="str">
        <f t="shared" si="520"/>
        <v>-</v>
      </c>
      <c r="W526" t="str">
        <f t="shared" si="521"/>
        <v>-</v>
      </c>
      <c r="X526" t="str">
        <f t="shared" si="522"/>
        <v>-</v>
      </c>
      <c r="Y526" t="str">
        <f t="shared" si="523"/>
        <v>-</v>
      </c>
      <c r="Z526" t="str">
        <f t="shared" si="524"/>
        <v>-</v>
      </c>
      <c r="AA526" t="str">
        <f t="shared" si="525"/>
        <v>-</v>
      </c>
      <c r="AB526" t="str">
        <f t="shared" si="526"/>
        <v>-</v>
      </c>
      <c r="AC526" t="str">
        <f t="shared" si="527"/>
        <v>-</v>
      </c>
    </row>
    <row r="527" spans="1:29" x14ac:dyDescent="0.3">
      <c r="A527" t="s">
        <v>437</v>
      </c>
      <c r="B527" t="str">
        <f t="shared" ref="B527:D527" si="541">B423</f>
        <v>Detached</v>
      </c>
      <c r="C527">
        <f t="shared" si="541"/>
        <v>6</v>
      </c>
      <c r="D527">
        <f t="shared" si="541"/>
        <v>1</v>
      </c>
      <c r="E527">
        <f>AVERAGEIFS('Region 6'!$W$2:$W$496,'Region 6'!$A$2:$A$496,E$1,'Region 6'!$X$2:$X$496,$D527,'Region 6'!$S$2:$S$496,$A527)</f>
        <v>1.175</v>
      </c>
      <c r="F527" t="e">
        <f>AVERAGEIFS('Region 6'!$W$2:$W$496,'Region 6'!$A$2:$A$496,F$1,'Region 6'!$X$2:$X$496,$D527,'Region 6'!$S$2:$S$496,$A527)</f>
        <v>#DIV/0!</v>
      </c>
      <c r="G527" t="e">
        <f>AVERAGEIFS('Region 6'!$W$2:$W$496,'Region 6'!$A$2:$A$496,G$1,'Region 6'!$X$2:$X$496,$D527,'Region 6'!$S$2:$S$496,$A527)</f>
        <v>#DIV/0!</v>
      </c>
      <c r="H527" t="e">
        <f>AVERAGEIFS('Region 6'!$W$2:$W$496,'Region 6'!$A$2:$A$496,H$1,'Region 6'!$X$2:$X$496,$D527,'Region 6'!$S$2:$S$496,$A527)</f>
        <v>#DIV/0!</v>
      </c>
      <c r="I527" t="e">
        <f>AVERAGEIFS('Region 6'!$W$2:$W$496,'Region 6'!$A$2:$A$496,I$1,'Region 6'!$X$2:$X$496,$D527,'Region 6'!$S$2:$S$496,$A527)</f>
        <v>#DIV/0!</v>
      </c>
      <c r="J527" t="e">
        <f>AVERAGEIFS('Region 6'!$W$2:$W$496,'Region 6'!$A$2:$A$496,J$1,'Region 6'!$X$2:$X$496,$D527,'Region 6'!$S$2:$S$496,$A527)</f>
        <v>#DIV/0!</v>
      </c>
      <c r="K527" t="e">
        <f>AVERAGEIFS('Region 6'!$W$2:$W$496,'Region 6'!$A$2:$A$496,K$1,'Region 6'!$X$2:$X$496,$D527,'Region 6'!$S$2:$S$496,$A527)</f>
        <v>#DIV/0!</v>
      </c>
      <c r="L527" t="e">
        <f>AVERAGEIFS('Region 6'!$W$2:$W$496,'Region 6'!$A$2:$A$496,L$1,'Region 6'!$X$2:$X$496,$D527,'Region 6'!$S$2:$S$496,$A527)</f>
        <v>#DIV/0!</v>
      </c>
      <c r="M527" t="e">
        <f>AVERAGEIFS('Region 6'!$W$2:$W$496,'Region 6'!$A$2:$A$496,M$1,'Region 6'!$X$2:$X$496,$D527,'Region 6'!$S$2:$S$496,$A527)</f>
        <v>#DIV/0!</v>
      </c>
      <c r="N527" t="e">
        <f>AVERAGEIFS('Region 6'!$W$2:$W$496,'Region 6'!$A$2:$A$496,N$1,'Region 6'!$X$2:$X$496,$D527,'Region 6'!$S$2:$S$496,$A527)</f>
        <v>#DIV/0!</v>
      </c>
      <c r="Q527" t="str">
        <f t="shared" si="535"/>
        <v>Glass</v>
      </c>
      <c r="R527" t="str">
        <f t="shared" si="536"/>
        <v>Detached</v>
      </c>
      <c r="S527">
        <f t="shared" si="537"/>
        <v>6</v>
      </c>
      <c r="T527">
        <f t="shared" si="518"/>
        <v>1.175</v>
      </c>
      <c r="U527" t="str">
        <f t="shared" si="519"/>
        <v>-</v>
      </c>
      <c r="V527" t="str">
        <f t="shared" si="520"/>
        <v>-</v>
      </c>
      <c r="W527" t="str">
        <f t="shared" si="521"/>
        <v>-</v>
      </c>
      <c r="X527" t="str">
        <f t="shared" si="522"/>
        <v>-</v>
      </c>
      <c r="Y527" t="str">
        <f t="shared" si="523"/>
        <v>-</v>
      </c>
      <c r="Z527" t="str">
        <f t="shared" si="524"/>
        <v>-</v>
      </c>
      <c r="AA527" t="str">
        <f t="shared" si="525"/>
        <v>-</v>
      </c>
      <c r="AB527" t="str">
        <f t="shared" si="526"/>
        <v>-</v>
      </c>
      <c r="AC527" t="str">
        <f t="shared" si="527"/>
        <v>-</v>
      </c>
    </row>
    <row r="528" spans="1:29" x14ac:dyDescent="0.3">
      <c r="A528" t="s">
        <v>437</v>
      </c>
      <c r="B528" t="str">
        <f t="shared" ref="B528:D528" si="542">B424</f>
        <v>Detached</v>
      </c>
      <c r="C528">
        <f t="shared" si="542"/>
        <v>7</v>
      </c>
      <c r="D528">
        <f t="shared" si="542"/>
        <v>1</v>
      </c>
      <c r="E528" t="e">
        <f ca="1">AVERAGEIFS('Region 7'!$W$2:$W$500,'Region 7'!$A$2:$A$500,E$1,'Region 7'!$X$2:$X$500,$D528,'Region 7'!$S$2:$S$500,$A528)</f>
        <v>#DIV/0!</v>
      </c>
      <c r="F528" t="e">
        <f ca="1">AVERAGEIFS('Region 7'!$W$2:$W$500,'Region 7'!$A$2:$A$500,F$1,'Region 7'!$X$2:$X$500,$D528,'Region 7'!$S$2:$S$500,$A528)</f>
        <v>#DIV/0!</v>
      </c>
      <c r="G528" t="e">
        <f ca="1">AVERAGEIFS('Region 7'!$W$2:$W$500,'Region 7'!$A$2:$A$500,G$1,'Region 7'!$X$2:$X$500,$D528,'Region 7'!$S$2:$S$500,$A528)</f>
        <v>#DIV/0!</v>
      </c>
      <c r="H528" t="e">
        <f ca="1">AVERAGEIFS('Region 7'!$W$2:$W$500,'Region 7'!$A$2:$A$500,H$1,'Region 7'!$X$2:$X$500,$D528,'Region 7'!$S$2:$S$500,$A528)</f>
        <v>#DIV/0!</v>
      </c>
      <c r="I528" t="e">
        <f ca="1">AVERAGEIFS('Region 7'!$W$2:$W$500,'Region 7'!$A$2:$A$500,I$1,'Region 7'!$X$2:$X$500,$D528,'Region 7'!$S$2:$S$500,$A528)</f>
        <v>#DIV/0!</v>
      </c>
      <c r="J528" t="e">
        <f ca="1">AVERAGEIFS('Region 7'!$W$2:$W$500,'Region 7'!$A$2:$A$500,J$1,'Region 7'!$X$2:$X$500,$D528,'Region 7'!$S$2:$S$500,$A528)</f>
        <v>#DIV/0!</v>
      </c>
      <c r="K528" t="e">
        <f ca="1">AVERAGEIFS('Region 7'!$W$2:$W$500,'Region 7'!$A$2:$A$500,K$1,'Region 7'!$X$2:$X$500,$D528,'Region 7'!$S$2:$S$500,$A528)</f>
        <v>#DIV/0!</v>
      </c>
      <c r="L528" t="e">
        <f ca="1">AVERAGEIFS('Region 7'!$W$2:$W$500,'Region 7'!$A$2:$A$500,L$1,'Region 7'!$X$2:$X$500,$D528,'Region 7'!$S$2:$S$500,$A528)</f>
        <v>#DIV/0!</v>
      </c>
      <c r="M528" t="e">
        <f ca="1">AVERAGEIFS('Region 7'!$W$2:$W$500,'Region 7'!$A$2:$A$500,M$1,'Region 7'!$X$2:$X$500,$D528,'Region 7'!$S$2:$S$500,$A528)</f>
        <v>#DIV/0!</v>
      </c>
      <c r="N528" t="e">
        <f ca="1">AVERAGEIFS('Region 7'!$W$2:$W$500,'Region 7'!$A$2:$A$500,N$1,'Region 7'!$X$2:$X$500,$D528,'Region 7'!$S$2:$S$500,$A528)</f>
        <v>#DIV/0!</v>
      </c>
      <c r="Q528" t="str">
        <f t="shared" si="535"/>
        <v>Glass</v>
      </c>
      <c r="R528" t="str">
        <f t="shared" si="536"/>
        <v>Detached</v>
      </c>
      <c r="S528">
        <f t="shared" si="537"/>
        <v>7</v>
      </c>
      <c r="T528" t="str">
        <f t="shared" ca="1" si="518"/>
        <v>-</v>
      </c>
      <c r="U528" t="str">
        <f t="shared" ca="1" si="519"/>
        <v>-</v>
      </c>
      <c r="V528" t="str">
        <f t="shared" ca="1" si="520"/>
        <v>-</v>
      </c>
      <c r="W528" t="str">
        <f t="shared" ca="1" si="521"/>
        <v>-</v>
      </c>
      <c r="X528" t="str">
        <f t="shared" ca="1" si="522"/>
        <v>-</v>
      </c>
      <c r="Y528" t="str">
        <f t="shared" ca="1" si="523"/>
        <v>-</v>
      </c>
      <c r="Z528" t="str">
        <f t="shared" ca="1" si="524"/>
        <v>-</v>
      </c>
      <c r="AA528" t="str">
        <f t="shared" ca="1" si="525"/>
        <v>-</v>
      </c>
      <c r="AB528" t="str">
        <f t="shared" ca="1" si="526"/>
        <v>-</v>
      </c>
      <c r="AC528" t="str">
        <f t="shared" ca="1" si="527"/>
        <v>-</v>
      </c>
    </row>
    <row r="529" spans="1:29" x14ac:dyDescent="0.3">
      <c r="A529" t="s">
        <v>437</v>
      </c>
      <c r="B529" t="str">
        <f t="shared" ref="B529:D529" si="543">B425</f>
        <v>Detached</v>
      </c>
      <c r="C529">
        <f t="shared" si="543"/>
        <v>8</v>
      </c>
      <c r="D529">
        <f t="shared" si="543"/>
        <v>1</v>
      </c>
      <c r="E529">
        <f>AVERAGEIFS('Region 8'!$W$2:$W$497,'Region 8'!$A$2:$A$497,E$1,'Region 8'!$X$2:$X$497,$D529,'Region 8'!$S$2:$S$497,$A529)</f>
        <v>3.5481853116641308E-2</v>
      </c>
      <c r="F529" t="e">
        <f>AVERAGEIFS('Region 8'!$W$2:$W$497,'Region 8'!$A$2:$A$497,F$1,'Region 8'!$X$2:$X$497,$D529,'Region 8'!$S$2:$S$497,$A529)</f>
        <v>#DIV/0!</v>
      </c>
      <c r="G529" t="e">
        <f>AVERAGEIFS('Region 8'!$W$2:$W$497,'Region 8'!$A$2:$A$497,G$1,'Region 8'!$X$2:$X$497,$D529,'Region 8'!$S$2:$S$497,$A529)</f>
        <v>#DIV/0!</v>
      </c>
      <c r="H529" t="e">
        <f>AVERAGEIFS('Region 8'!$W$2:$W$497,'Region 8'!$A$2:$A$497,H$1,'Region 8'!$X$2:$X$497,$D529,'Region 8'!$S$2:$S$497,$A529)</f>
        <v>#DIV/0!</v>
      </c>
      <c r="I529" t="e">
        <f>AVERAGEIFS('Region 8'!$W$2:$W$497,'Region 8'!$A$2:$A$497,I$1,'Region 8'!$X$2:$X$497,$D529,'Region 8'!$S$2:$S$497,$A529)</f>
        <v>#DIV/0!</v>
      </c>
      <c r="J529" t="e">
        <f>AVERAGEIFS('Region 8'!$W$2:$W$497,'Region 8'!$A$2:$A$497,J$1,'Region 8'!$X$2:$X$497,$D529,'Region 8'!$S$2:$S$497,$A529)</f>
        <v>#DIV/0!</v>
      </c>
      <c r="K529" t="e">
        <f>AVERAGEIFS('Region 8'!$W$2:$W$497,'Region 8'!$A$2:$A$497,K$1,'Region 8'!$X$2:$X$497,$D529,'Region 8'!$S$2:$S$497,$A529)</f>
        <v>#DIV/0!</v>
      </c>
      <c r="L529" t="e">
        <f>AVERAGEIFS('Region 8'!$W$2:$W$497,'Region 8'!$A$2:$A$497,L$1,'Region 8'!$X$2:$X$497,$D529,'Region 8'!$S$2:$S$497,$A529)</f>
        <v>#DIV/0!</v>
      </c>
      <c r="M529" t="e">
        <f>AVERAGEIFS('Region 8'!$W$2:$W$497,'Region 8'!$A$2:$A$497,M$1,'Region 8'!$X$2:$X$497,$D529,'Region 8'!$S$2:$S$497,$A529)</f>
        <v>#DIV/0!</v>
      </c>
      <c r="N529" t="e">
        <f>AVERAGEIFS('Region 8'!$W$2:$W$497,'Region 8'!$A$2:$A$497,N$1,'Region 8'!$X$2:$X$497,$D529,'Region 8'!$S$2:$S$497,$A529)</f>
        <v>#DIV/0!</v>
      </c>
      <c r="Q529" t="str">
        <f t="shared" si="535"/>
        <v>Glass</v>
      </c>
      <c r="R529" t="str">
        <f t="shared" si="536"/>
        <v>Detached</v>
      </c>
      <c r="S529">
        <f t="shared" si="537"/>
        <v>8</v>
      </c>
      <c r="T529">
        <f t="shared" si="518"/>
        <v>3.5481853116641308E-2</v>
      </c>
      <c r="U529" t="str">
        <f t="shared" si="519"/>
        <v>-</v>
      </c>
      <c r="V529" t="str">
        <f t="shared" si="520"/>
        <v>-</v>
      </c>
      <c r="W529" t="str">
        <f t="shared" si="521"/>
        <v>-</v>
      </c>
      <c r="X529" t="str">
        <f t="shared" si="522"/>
        <v>-</v>
      </c>
      <c r="Y529" t="str">
        <f t="shared" si="523"/>
        <v>-</v>
      </c>
      <c r="Z529" t="str">
        <f t="shared" si="524"/>
        <v>-</v>
      </c>
      <c r="AA529" t="str">
        <f t="shared" si="525"/>
        <v>-</v>
      </c>
      <c r="AB529" t="str">
        <f t="shared" si="526"/>
        <v>-</v>
      </c>
      <c r="AC529" t="str">
        <f t="shared" si="527"/>
        <v>-</v>
      </c>
    </row>
    <row r="530" spans="1:29" x14ac:dyDescent="0.3">
      <c r="A530" t="s">
        <v>437</v>
      </c>
      <c r="B530" t="str">
        <f t="shared" ref="B530:D530" si="544">B426</f>
        <v>Detached</v>
      </c>
      <c r="C530">
        <f t="shared" si="544"/>
        <v>9</v>
      </c>
      <c r="D530">
        <f t="shared" si="544"/>
        <v>1</v>
      </c>
      <c r="E530" t="e">
        <f ca="1">AVERAGEIFS('Region 9'!$W$2:$W$500,'Region 9'!$A$2:$A$500,E$1,'Region 9'!$X$2:$X$500,$D530,'Region 9'!$S$2:$S$500,$A530)</f>
        <v>#DIV/0!</v>
      </c>
      <c r="F530" t="e">
        <f ca="1">AVERAGEIFS('Region 9'!$W$2:$W$500,'Region 9'!$A$2:$A$500,F$1,'Region 9'!$X$2:$X$500,$D530,'Region 9'!$S$2:$S$500,$A530)</f>
        <v>#DIV/0!</v>
      </c>
      <c r="G530" t="e">
        <f ca="1">AVERAGEIFS('Region 9'!$W$2:$W$500,'Region 9'!$A$2:$A$500,G$1,'Region 9'!$X$2:$X$500,$D530,'Region 9'!$S$2:$S$500,$A530)</f>
        <v>#DIV/0!</v>
      </c>
      <c r="H530" t="e">
        <f ca="1">AVERAGEIFS('Region 9'!$W$2:$W$500,'Region 9'!$A$2:$A$500,H$1,'Region 9'!$X$2:$X$500,$D530,'Region 9'!$S$2:$S$500,$A530)</f>
        <v>#DIV/0!</v>
      </c>
      <c r="I530" t="e">
        <f ca="1">AVERAGEIFS('Region 9'!$W$2:$W$500,'Region 9'!$A$2:$A$500,I$1,'Region 9'!$X$2:$X$500,$D530,'Region 9'!$S$2:$S$500,$A530)</f>
        <v>#DIV/0!</v>
      </c>
      <c r="J530" t="e">
        <f ca="1">AVERAGEIFS('Region 9'!$W$2:$W$500,'Region 9'!$A$2:$A$500,J$1,'Region 9'!$X$2:$X$500,$D530,'Region 9'!$S$2:$S$500,$A530)</f>
        <v>#DIV/0!</v>
      </c>
      <c r="K530" t="e">
        <f ca="1">AVERAGEIFS('Region 9'!$W$2:$W$500,'Region 9'!$A$2:$A$500,K$1,'Region 9'!$X$2:$X$500,$D530,'Region 9'!$S$2:$S$500,$A530)</f>
        <v>#DIV/0!</v>
      </c>
      <c r="L530" t="e">
        <f ca="1">AVERAGEIFS('Region 9'!$W$2:$W$500,'Region 9'!$A$2:$A$500,L$1,'Region 9'!$X$2:$X$500,$D530,'Region 9'!$S$2:$S$500,$A530)</f>
        <v>#DIV/0!</v>
      </c>
      <c r="M530" t="e">
        <f ca="1">AVERAGEIFS('Region 9'!$W$2:$W$500,'Region 9'!$A$2:$A$500,M$1,'Region 9'!$X$2:$X$500,$D530,'Region 9'!$S$2:$S$500,$A530)</f>
        <v>#DIV/0!</v>
      </c>
      <c r="N530" t="e">
        <f ca="1">AVERAGEIFS('Region 9'!$W$2:$W$500,'Region 9'!$A$2:$A$500,N$1,'Region 9'!$X$2:$X$500,$D530,'Region 9'!$S$2:$S$500,$A530)</f>
        <v>#DIV/0!</v>
      </c>
      <c r="Q530" t="str">
        <f t="shared" si="535"/>
        <v>Glass</v>
      </c>
      <c r="R530" t="str">
        <f t="shared" si="536"/>
        <v>Detached</v>
      </c>
      <c r="S530">
        <f t="shared" si="537"/>
        <v>9</v>
      </c>
      <c r="T530" t="str">
        <f t="shared" ca="1" si="518"/>
        <v>-</v>
      </c>
      <c r="U530" t="str">
        <f t="shared" ca="1" si="519"/>
        <v>-</v>
      </c>
      <c r="V530" t="str">
        <f t="shared" ca="1" si="520"/>
        <v>-</v>
      </c>
      <c r="W530" t="str">
        <f t="shared" ca="1" si="521"/>
        <v>-</v>
      </c>
      <c r="X530" t="str">
        <f t="shared" ca="1" si="522"/>
        <v>-</v>
      </c>
      <c r="Y530" t="str">
        <f t="shared" ca="1" si="523"/>
        <v>-</v>
      </c>
      <c r="Z530" t="str">
        <f t="shared" ca="1" si="524"/>
        <v>-</v>
      </c>
      <c r="AA530" t="str">
        <f t="shared" ca="1" si="525"/>
        <v>-</v>
      </c>
      <c r="AB530" t="str">
        <f t="shared" ca="1" si="526"/>
        <v>-</v>
      </c>
      <c r="AC530" t="str">
        <f t="shared" ca="1" si="527"/>
        <v>-</v>
      </c>
    </row>
    <row r="531" spans="1:29" x14ac:dyDescent="0.3">
      <c r="A531" t="s">
        <v>437</v>
      </c>
      <c r="B531" t="str">
        <f t="shared" ref="B531:D531" si="545">B427</f>
        <v>Detached</v>
      </c>
      <c r="C531">
        <f t="shared" si="545"/>
        <v>10</v>
      </c>
      <c r="D531">
        <f t="shared" si="545"/>
        <v>1</v>
      </c>
      <c r="E531" t="e">
        <f>AVERAGEIFS('Region 10'!$W$2:$W$500,'Region 10'!$A$2:$A$500,E$1,'Region 10'!$X$2:$X$500,$D531,'Region 10'!$S$2:$S$500,$A531)</f>
        <v>#DIV/0!</v>
      </c>
      <c r="F531" t="e">
        <f>AVERAGEIFS('Region 10'!$W$2:$W$500,'Region 10'!$A$2:$A$500,F$1,'Region 10'!$X$2:$X$500,$D531,'Region 10'!$S$2:$S$500,$A531)</f>
        <v>#DIV/0!</v>
      </c>
      <c r="G531" t="e">
        <f>AVERAGEIFS('Region 10'!$W$2:$W$500,'Region 10'!$A$2:$A$500,G$1,'Region 10'!$X$2:$X$500,$D531,'Region 10'!$S$2:$S$500,$A531)</f>
        <v>#DIV/0!</v>
      </c>
      <c r="H531" t="e">
        <f>AVERAGEIFS('Region 10'!$W$2:$W$500,'Region 10'!$A$2:$A$500,H$1,'Region 10'!$X$2:$X$500,$D531,'Region 10'!$S$2:$S$500,$A531)</f>
        <v>#DIV/0!</v>
      </c>
      <c r="I531" t="e">
        <f>AVERAGEIFS('Region 10'!$W$2:$W$500,'Region 10'!$A$2:$A$500,I$1,'Region 10'!$X$2:$X$500,$D531,'Region 10'!$S$2:$S$500,$A531)</f>
        <v>#DIV/0!</v>
      </c>
      <c r="J531" t="e">
        <f>AVERAGEIFS('Region 10'!$W$2:$W$500,'Region 10'!$A$2:$A$500,J$1,'Region 10'!$X$2:$X$500,$D531,'Region 10'!$S$2:$S$500,$A531)</f>
        <v>#DIV/0!</v>
      </c>
      <c r="K531" t="e">
        <f>AVERAGEIFS('Region 10'!$W$2:$W$500,'Region 10'!$A$2:$A$500,K$1,'Region 10'!$X$2:$X$500,$D531,'Region 10'!$S$2:$S$500,$A531)</f>
        <v>#DIV/0!</v>
      </c>
      <c r="L531" t="e">
        <f>AVERAGEIFS('Region 10'!$W$2:$W$500,'Region 10'!$A$2:$A$500,L$1,'Region 10'!$X$2:$X$500,$D531,'Region 10'!$S$2:$S$500,$A531)</f>
        <v>#DIV/0!</v>
      </c>
      <c r="M531" t="e">
        <f>AVERAGEIFS('Region 10'!$W$2:$W$500,'Region 10'!$A$2:$A$500,M$1,'Region 10'!$X$2:$X$500,$D531,'Region 10'!$S$2:$S$500,$A531)</f>
        <v>#DIV/0!</v>
      </c>
      <c r="N531" t="e">
        <f>AVERAGEIFS('Region 10'!$W$2:$W$500,'Region 10'!$A$2:$A$500,N$1,'Region 10'!$X$2:$X$500,$D531,'Region 10'!$S$2:$S$500,$A531)</f>
        <v>#DIV/0!</v>
      </c>
      <c r="Q531" t="str">
        <f t="shared" si="535"/>
        <v>Glass</v>
      </c>
      <c r="R531" t="str">
        <f t="shared" si="536"/>
        <v>Detached</v>
      </c>
      <c r="S531">
        <f t="shared" si="537"/>
        <v>10</v>
      </c>
      <c r="T531" t="str">
        <f t="shared" si="518"/>
        <v>-</v>
      </c>
      <c r="U531" t="str">
        <f t="shared" si="519"/>
        <v>-</v>
      </c>
      <c r="V531" t="str">
        <f t="shared" si="520"/>
        <v>-</v>
      </c>
      <c r="W531" t="str">
        <f t="shared" si="521"/>
        <v>-</v>
      </c>
      <c r="X531" t="str">
        <f t="shared" si="522"/>
        <v>-</v>
      </c>
      <c r="Y531" t="str">
        <f t="shared" si="523"/>
        <v>-</v>
      </c>
      <c r="Z531" t="str">
        <f t="shared" si="524"/>
        <v>-</v>
      </c>
      <c r="AA531" t="str">
        <f t="shared" si="525"/>
        <v>-</v>
      </c>
      <c r="AB531" t="str">
        <f t="shared" si="526"/>
        <v>-</v>
      </c>
      <c r="AC531" t="str">
        <f t="shared" si="527"/>
        <v>-</v>
      </c>
    </row>
    <row r="532" spans="1:29" x14ac:dyDescent="0.3">
      <c r="A532" t="s">
        <v>437</v>
      </c>
      <c r="B532" t="str">
        <f t="shared" ref="B532:D532" si="546">B428</f>
        <v>Detached</v>
      </c>
      <c r="C532">
        <f t="shared" si="546"/>
        <v>11</v>
      </c>
      <c r="D532">
        <f t="shared" si="546"/>
        <v>1</v>
      </c>
      <c r="E532" t="e">
        <f>AVERAGEIFS('Region 11'!$W$2:$W$391,'Region 11'!$A$2:$A$391,E$1,'Region 11'!$X$2:$X$391,$D532,'Region 11'!$S$2:$S$391,$A532)</f>
        <v>#DIV/0!</v>
      </c>
      <c r="F532" t="e">
        <f>AVERAGEIFS('Region 11'!$W$2:$W$391,'Region 11'!$A$2:$A$391,F$1,'Region 11'!$X$2:$X$391,$D532,'Region 11'!$S$2:$S$391,$A532)</f>
        <v>#DIV/0!</v>
      </c>
      <c r="G532" t="e">
        <f>AVERAGEIFS('Region 11'!$W$2:$W$391,'Region 11'!$A$2:$A$391,G$1,'Region 11'!$X$2:$X$391,$D532,'Region 11'!$S$2:$S$391,$A532)</f>
        <v>#DIV/0!</v>
      </c>
      <c r="H532" t="e">
        <f>AVERAGEIFS('Region 11'!$W$2:$W$391,'Region 11'!$A$2:$A$391,H$1,'Region 11'!$X$2:$X$391,$D532,'Region 11'!$S$2:$S$391,$A532)</f>
        <v>#DIV/0!</v>
      </c>
      <c r="I532">
        <f>AVERAGEIFS('Region 11'!$W$2:$W$391,'Region 11'!$A$2:$A$391,I$1,'Region 11'!$X$2:$X$391,$D532,'Region 11'!$S$2:$S$391,$A532)</f>
        <v>5.6600566572237963</v>
      </c>
      <c r="J532" t="e">
        <f>AVERAGEIFS('Region 11'!$W$2:$W$391,'Region 11'!$A$2:$A$391,J$1,'Region 11'!$X$2:$X$391,$D532,'Region 11'!$S$2:$S$391,$A532)</f>
        <v>#DIV/0!</v>
      </c>
      <c r="K532">
        <f>AVERAGEIFS('Region 11'!$W$2:$W$391,'Region 11'!$A$2:$A$391,K$1,'Region 11'!$X$2:$X$391,$D532,'Region 11'!$S$2:$S$391,$A532)</f>
        <v>2</v>
      </c>
      <c r="L532">
        <f>AVERAGEIFS('Region 11'!$W$2:$W$391,'Region 11'!$A$2:$A$391,L$1,'Region 11'!$X$2:$X$391,$D532,'Region 11'!$S$2:$S$391,$A532)</f>
        <v>3</v>
      </c>
      <c r="M532" t="e">
        <f>AVERAGEIFS('Region 11'!$W$2:$W$391,'Region 11'!$A$2:$A$391,M$1,'Region 11'!$X$2:$X$391,$D532,'Region 11'!$S$2:$S$391,$A532)</f>
        <v>#DIV/0!</v>
      </c>
      <c r="N532" t="e">
        <f>AVERAGEIFS('Region 11'!$W$2:$W$391,'Region 11'!$A$2:$A$391,N$1,'Region 11'!$X$2:$X$391,$D532,'Region 11'!$S$2:$S$391,$A532)</f>
        <v>#DIV/0!</v>
      </c>
      <c r="Q532" t="str">
        <f t="shared" si="535"/>
        <v>Glass</v>
      </c>
      <c r="R532" t="str">
        <f t="shared" si="536"/>
        <v>Detached</v>
      </c>
      <c r="S532">
        <f t="shared" si="537"/>
        <v>11</v>
      </c>
      <c r="T532" t="str">
        <f t="shared" si="518"/>
        <v>-</v>
      </c>
      <c r="U532" t="str">
        <f t="shared" si="519"/>
        <v>-</v>
      </c>
      <c r="V532" t="str">
        <f t="shared" si="520"/>
        <v>-</v>
      </c>
      <c r="W532" t="str">
        <f t="shared" si="521"/>
        <v>-</v>
      </c>
      <c r="X532">
        <f t="shared" si="522"/>
        <v>5.6600566572237963</v>
      </c>
      <c r="Y532" t="str">
        <f t="shared" si="523"/>
        <v>-</v>
      </c>
      <c r="Z532">
        <f t="shared" si="524"/>
        <v>2</v>
      </c>
      <c r="AA532">
        <f t="shared" si="525"/>
        <v>3</v>
      </c>
      <c r="AB532" t="str">
        <f t="shared" si="526"/>
        <v>-</v>
      </c>
      <c r="AC532" t="str">
        <f t="shared" si="527"/>
        <v>-</v>
      </c>
    </row>
    <row r="533" spans="1:29" x14ac:dyDescent="0.3">
      <c r="A533" t="s">
        <v>437</v>
      </c>
      <c r="B533" t="str">
        <f t="shared" ref="B533:D533" si="547">B429</f>
        <v>Detached</v>
      </c>
      <c r="C533">
        <f t="shared" si="547"/>
        <v>12</v>
      </c>
      <c r="D533">
        <f t="shared" si="547"/>
        <v>1</v>
      </c>
      <c r="E533" s="110">
        <f>AVERAGEIFS('Region 12'!$W$2:$W$459,'Region 12'!$A$2:$A$459,E$1,'Region 12'!$X$2:$X$459,$D533,'Region 12'!$S$2:$S$459,$A533)</f>
        <v>33.543196654426758</v>
      </c>
      <c r="F533" t="e">
        <f>AVERAGEIFS('Region 12'!$W$2:$W$459,'Region 12'!$A$2:$A$459,F$1,'Region 12'!$X$2:$X$459,$D533,'Region 12'!$S$2:$S$459,$A533)</f>
        <v>#DIV/0!</v>
      </c>
      <c r="G533" t="e">
        <f>AVERAGEIFS('Region 12'!$W$2:$W$459,'Region 12'!$A$2:$A$459,G$1,'Region 12'!$X$2:$X$459,$D533,'Region 12'!$S$2:$S$459,$A533)</f>
        <v>#DIV/0!</v>
      </c>
      <c r="H533" t="e">
        <f>AVERAGEIFS('Region 12'!$W$2:$W$459,'Region 12'!$A$2:$A$459,H$1,'Region 12'!$X$2:$X$459,$D533,'Region 12'!$S$2:$S$459,$A533)</f>
        <v>#DIV/0!</v>
      </c>
      <c r="I533" t="e">
        <f>AVERAGEIFS('Region 12'!$W$2:$W$459,'Region 12'!$A$2:$A$459,I$1,'Region 12'!$X$2:$X$459,$D533,'Region 12'!$S$2:$S$459,$A533)</f>
        <v>#DIV/0!</v>
      </c>
      <c r="J533" t="e">
        <f>AVERAGEIFS('Region 12'!$W$2:$W$459,'Region 12'!$A$2:$A$459,J$1,'Region 12'!$X$2:$X$459,$D533,'Region 12'!$S$2:$S$459,$A533)</f>
        <v>#DIV/0!</v>
      </c>
      <c r="K533" t="e">
        <f>AVERAGEIFS('Region 12'!$W$2:$W$459,'Region 12'!$A$2:$A$459,K$1,'Region 12'!$X$2:$X$459,$D533,'Region 12'!$S$2:$S$459,$A533)</f>
        <v>#DIV/0!</v>
      </c>
      <c r="L533" t="e">
        <f>AVERAGEIFS('Region 12'!$W$2:$W$459,'Region 12'!$A$2:$A$459,L$1,'Region 12'!$X$2:$X$459,$D533,'Region 12'!$S$2:$S$459,$A533)</f>
        <v>#DIV/0!</v>
      </c>
      <c r="M533" t="e">
        <f>AVERAGEIFS('Region 12'!$W$2:$W$459,'Region 12'!$A$2:$A$459,M$1,'Region 12'!$X$2:$X$459,$D533,'Region 12'!$S$2:$S$459,$A533)</f>
        <v>#DIV/0!</v>
      </c>
      <c r="N533" t="e">
        <f>AVERAGEIFS('Region 12'!$W$2:$W$459,'Region 12'!$A$2:$A$459,N$1,'Region 12'!$X$2:$X$459,$D533,'Region 12'!$S$2:$S$459,$A533)</f>
        <v>#DIV/0!</v>
      </c>
      <c r="Q533" t="str">
        <f t="shared" si="535"/>
        <v>Glass</v>
      </c>
      <c r="R533" t="str">
        <f t="shared" si="536"/>
        <v>Detached</v>
      </c>
      <c r="S533">
        <f t="shared" si="537"/>
        <v>12</v>
      </c>
      <c r="T533" s="111" t="s">
        <v>908</v>
      </c>
      <c r="U533" t="str">
        <f t="shared" si="519"/>
        <v>-</v>
      </c>
      <c r="V533" t="str">
        <f t="shared" si="520"/>
        <v>-</v>
      </c>
      <c r="W533" t="str">
        <f t="shared" si="521"/>
        <v>-</v>
      </c>
      <c r="X533" t="str">
        <f t="shared" si="522"/>
        <v>-</v>
      </c>
      <c r="Y533" t="str">
        <f t="shared" si="523"/>
        <v>-</v>
      </c>
      <c r="Z533" t="str">
        <f t="shared" si="524"/>
        <v>-</v>
      </c>
      <c r="AA533" t="str">
        <f t="shared" si="525"/>
        <v>-</v>
      </c>
      <c r="AB533" t="str">
        <f t="shared" si="526"/>
        <v>-</v>
      </c>
      <c r="AC533" t="str">
        <f t="shared" si="527"/>
        <v>-</v>
      </c>
    </row>
    <row r="534" spans="1:29" x14ac:dyDescent="0.3">
      <c r="A534" t="s">
        <v>437</v>
      </c>
      <c r="B534" t="str">
        <f t="shared" ref="B534:D534" si="548">B430</f>
        <v>Detached</v>
      </c>
      <c r="C534">
        <f t="shared" si="548"/>
        <v>13</v>
      </c>
      <c r="D534">
        <f t="shared" si="548"/>
        <v>1</v>
      </c>
      <c r="E534" t="e">
        <f>AVERAGEIFS('Region 13'!$W$2:$W$500,'Region 13'!$A$2:$A$500,E$1,'Region 13'!$X$2:$X$500,$D534,'Region 13'!$S$2:$S$500,$A534)</f>
        <v>#DIV/0!</v>
      </c>
      <c r="F534" t="e">
        <f>AVERAGEIFS('Region 13'!$W$2:$W$500,'Region 13'!$A$2:$A$500,F$1,'Region 13'!$X$2:$X$500,$D534,'Region 13'!$S$2:$S$500,$A534)</f>
        <v>#DIV/0!</v>
      </c>
      <c r="G534" t="e">
        <f>AVERAGEIFS('Region 13'!$W$2:$W$500,'Region 13'!$A$2:$A$500,G$1,'Region 13'!$X$2:$X$500,$D534,'Region 13'!$S$2:$S$500,$A534)</f>
        <v>#DIV/0!</v>
      </c>
      <c r="H534" t="e">
        <f>AVERAGEIFS('Region 13'!$W$2:$W$500,'Region 13'!$A$2:$A$500,H$1,'Region 13'!$X$2:$X$500,$D534,'Region 13'!$S$2:$S$500,$A534)</f>
        <v>#DIV/0!</v>
      </c>
      <c r="I534" t="e">
        <f>AVERAGEIFS('Region 13'!$W$2:$W$500,'Region 13'!$A$2:$A$500,I$1,'Region 13'!$X$2:$X$500,$D534,'Region 13'!$S$2:$S$500,$A534)</f>
        <v>#DIV/0!</v>
      </c>
      <c r="J534" t="e">
        <f>AVERAGEIFS('Region 13'!$W$2:$W$500,'Region 13'!$A$2:$A$500,J$1,'Region 13'!$X$2:$X$500,$D534,'Region 13'!$S$2:$S$500,$A534)</f>
        <v>#DIV/0!</v>
      </c>
      <c r="K534" t="e">
        <f>AVERAGEIFS('Region 13'!$W$2:$W$500,'Region 13'!$A$2:$A$500,K$1,'Region 13'!$X$2:$X$500,$D534,'Region 13'!$S$2:$S$500,$A534)</f>
        <v>#DIV/0!</v>
      </c>
      <c r="L534" t="e">
        <f>AVERAGEIFS('Region 13'!$W$2:$W$500,'Region 13'!$A$2:$A$500,L$1,'Region 13'!$X$2:$X$500,$D534,'Region 13'!$S$2:$S$500,$A534)</f>
        <v>#DIV/0!</v>
      </c>
      <c r="M534" t="e">
        <f>AVERAGEIFS('Region 13'!$W$2:$W$500,'Region 13'!$A$2:$A$500,M$1,'Region 13'!$X$2:$X$500,$D534,'Region 13'!$S$2:$S$500,$A534)</f>
        <v>#DIV/0!</v>
      </c>
      <c r="N534" t="e">
        <f>AVERAGEIFS('Region 13'!$W$2:$W$500,'Region 13'!$A$2:$A$500,N$1,'Region 13'!$X$2:$X$500,$D534,'Region 13'!$S$2:$S$500,$A534)</f>
        <v>#DIV/0!</v>
      </c>
      <c r="Q534" t="str">
        <f t="shared" si="535"/>
        <v>Glass</v>
      </c>
      <c r="R534" t="str">
        <f t="shared" si="536"/>
        <v>Detached</v>
      </c>
      <c r="S534">
        <f t="shared" si="537"/>
        <v>13</v>
      </c>
      <c r="T534" t="str">
        <f t="shared" si="518"/>
        <v>-</v>
      </c>
      <c r="U534" t="str">
        <f t="shared" si="519"/>
        <v>-</v>
      </c>
      <c r="V534" t="str">
        <f t="shared" si="520"/>
        <v>-</v>
      </c>
      <c r="W534" t="str">
        <f t="shared" si="521"/>
        <v>-</v>
      </c>
      <c r="X534" t="str">
        <f t="shared" si="522"/>
        <v>-</v>
      </c>
      <c r="Y534" t="str">
        <f t="shared" si="523"/>
        <v>-</v>
      </c>
      <c r="Z534" t="str">
        <f t="shared" si="524"/>
        <v>-</v>
      </c>
      <c r="AA534" t="str">
        <f t="shared" si="525"/>
        <v>-</v>
      </c>
      <c r="AB534" t="str">
        <f t="shared" si="526"/>
        <v>-</v>
      </c>
      <c r="AC534" t="str">
        <f t="shared" si="527"/>
        <v>-</v>
      </c>
    </row>
    <row r="535" spans="1:29" x14ac:dyDescent="0.3">
      <c r="A535" t="s">
        <v>437</v>
      </c>
      <c r="B535" t="str">
        <f t="shared" ref="B535:D535" si="549">B431</f>
        <v>Detached</v>
      </c>
      <c r="C535">
        <f t="shared" si="549"/>
        <v>14</v>
      </c>
      <c r="D535">
        <f t="shared" si="549"/>
        <v>1</v>
      </c>
      <c r="E535" t="e">
        <f ca="1">AVERAGEIFS('Region 14'!$W$2:$W$500,'Region 14'!$A$2:$A$500,E$1,'Region 14'!$X$2:$X$500,$D535,'Region 14'!$S$2:$S$500,$A535)</f>
        <v>#DIV/0!</v>
      </c>
      <c r="F535" t="e">
        <f ca="1">AVERAGEIFS('Region 14'!$W$2:$W$500,'Region 14'!$A$2:$A$500,F$1,'Region 14'!$X$2:$X$500,$D535,'Region 14'!$S$2:$S$500,$A535)</f>
        <v>#DIV/0!</v>
      </c>
      <c r="G535" t="e">
        <f ca="1">AVERAGEIFS('Region 14'!$W$2:$W$500,'Region 14'!$A$2:$A$500,G$1,'Region 14'!$X$2:$X$500,$D535,'Region 14'!$S$2:$S$500,$A535)</f>
        <v>#DIV/0!</v>
      </c>
      <c r="H535" t="e">
        <f ca="1">AVERAGEIFS('Region 14'!$W$2:$W$500,'Region 14'!$A$2:$A$500,H$1,'Region 14'!$X$2:$X$500,$D535,'Region 14'!$S$2:$S$500,$A535)</f>
        <v>#DIV/0!</v>
      </c>
      <c r="I535" t="e">
        <f ca="1">AVERAGEIFS('Region 14'!$W$2:$W$500,'Region 14'!$A$2:$A$500,I$1,'Region 14'!$X$2:$X$500,$D535,'Region 14'!$S$2:$S$500,$A535)</f>
        <v>#DIV/0!</v>
      </c>
      <c r="J535" t="e">
        <f ca="1">AVERAGEIFS('Region 14'!$W$2:$W$500,'Region 14'!$A$2:$A$500,J$1,'Region 14'!$X$2:$X$500,$D535,'Region 14'!$S$2:$S$500,$A535)</f>
        <v>#DIV/0!</v>
      </c>
      <c r="K535" t="e">
        <f ca="1">AVERAGEIFS('Region 14'!$W$2:$W$500,'Region 14'!$A$2:$A$500,K$1,'Region 14'!$X$2:$X$500,$D535,'Region 14'!$S$2:$S$500,$A535)</f>
        <v>#DIV/0!</v>
      </c>
      <c r="L535" t="e">
        <f ca="1">AVERAGEIFS('Region 14'!$W$2:$W$500,'Region 14'!$A$2:$A$500,L$1,'Region 14'!$X$2:$X$500,$D535,'Region 14'!$S$2:$S$500,$A535)</f>
        <v>#DIV/0!</v>
      </c>
      <c r="M535" t="e">
        <f ca="1">AVERAGEIFS('Region 14'!$W$2:$W$500,'Region 14'!$A$2:$A$500,M$1,'Region 14'!$X$2:$X$500,$D535,'Region 14'!$S$2:$S$500,$A535)</f>
        <v>#DIV/0!</v>
      </c>
      <c r="N535" t="e">
        <f ca="1">AVERAGEIFS('Region 14'!$W$2:$W$500,'Region 14'!$A$2:$A$500,N$1,'Region 14'!$X$2:$X$500,$D535,'Region 14'!$S$2:$S$500,$A535)</f>
        <v>#DIV/0!</v>
      </c>
      <c r="Q535" t="str">
        <f t="shared" si="535"/>
        <v>Glass</v>
      </c>
      <c r="R535" t="str">
        <f t="shared" si="536"/>
        <v>Detached</v>
      </c>
      <c r="S535">
        <f t="shared" si="537"/>
        <v>14</v>
      </c>
      <c r="T535" t="str">
        <f t="shared" ca="1" si="518"/>
        <v>-</v>
      </c>
      <c r="U535" t="str">
        <f t="shared" ca="1" si="519"/>
        <v>-</v>
      </c>
      <c r="V535" t="str">
        <f t="shared" ca="1" si="520"/>
        <v>-</v>
      </c>
      <c r="W535" t="str">
        <f t="shared" ca="1" si="521"/>
        <v>-</v>
      </c>
      <c r="X535" t="str">
        <f t="shared" ca="1" si="522"/>
        <v>-</v>
      </c>
      <c r="Y535" t="str">
        <f t="shared" ca="1" si="523"/>
        <v>-</v>
      </c>
      <c r="Z535" t="str">
        <f t="shared" ca="1" si="524"/>
        <v>-</v>
      </c>
      <c r="AA535" t="str">
        <f t="shared" ca="1" si="525"/>
        <v>-</v>
      </c>
      <c r="AB535" t="str">
        <f t="shared" ca="1" si="526"/>
        <v>-</v>
      </c>
      <c r="AC535" t="str">
        <f t="shared" ca="1" si="527"/>
        <v>-</v>
      </c>
    </row>
    <row r="536" spans="1:29" x14ac:dyDescent="0.3">
      <c r="A536" t="s">
        <v>437</v>
      </c>
      <c r="B536" t="str">
        <f t="shared" ref="B536:D536" si="550">B432</f>
        <v>Detached</v>
      </c>
      <c r="C536">
        <f t="shared" si="550"/>
        <v>15</v>
      </c>
      <c r="D536">
        <f t="shared" si="550"/>
        <v>1</v>
      </c>
      <c r="E536" t="e">
        <f ca="1">AVERAGEIFS('Region 15'!$W$2:$W$500,'Region 15'!$A$2:$A$500,E$1,'Region 15'!$X$2:$X$500,$D536,'Region 15'!$S$2:$S$500,$A536)</f>
        <v>#DIV/0!</v>
      </c>
      <c r="F536" t="e">
        <f ca="1">AVERAGEIFS('Region 15'!$W$2:$W$500,'Region 15'!$A$2:$A$500,F$1,'Region 15'!$X$2:$X$500,$D536,'Region 15'!$S$2:$S$500,$A536)</f>
        <v>#DIV/0!</v>
      </c>
      <c r="G536" t="e">
        <f ca="1">AVERAGEIFS('Region 15'!$W$2:$W$500,'Region 15'!$A$2:$A$500,G$1,'Region 15'!$X$2:$X$500,$D536,'Region 15'!$S$2:$S$500,$A536)</f>
        <v>#DIV/0!</v>
      </c>
      <c r="H536" t="e">
        <f ca="1">AVERAGEIFS('Region 15'!$W$2:$W$500,'Region 15'!$A$2:$A$500,H$1,'Region 15'!$X$2:$X$500,$D536,'Region 15'!$S$2:$S$500,$A536)</f>
        <v>#DIV/0!</v>
      </c>
      <c r="I536" t="e">
        <f ca="1">AVERAGEIFS('Region 15'!$W$2:$W$500,'Region 15'!$A$2:$A$500,I$1,'Region 15'!$X$2:$X$500,$D536,'Region 15'!$S$2:$S$500,$A536)</f>
        <v>#DIV/0!</v>
      </c>
      <c r="J536" t="e">
        <f ca="1">AVERAGEIFS('Region 15'!$W$2:$W$500,'Region 15'!$A$2:$A$500,J$1,'Region 15'!$X$2:$X$500,$D536,'Region 15'!$S$2:$S$500,$A536)</f>
        <v>#DIV/0!</v>
      </c>
      <c r="K536" t="e">
        <f ca="1">AVERAGEIFS('Region 15'!$W$2:$W$500,'Region 15'!$A$2:$A$500,K$1,'Region 15'!$X$2:$X$500,$D536,'Region 15'!$S$2:$S$500,$A536)</f>
        <v>#DIV/0!</v>
      </c>
      <c r="L536" t="e">
        <f ca="1">AVERAGEIFS('Region 15'!$W$2:$W$500,'Region 15'!$A$2:$A$500,L$1,'Region 15'!$X$2:$X$500,$D536,'Region 15'!$S$2:$S$500,$A536)</f>
        <v>#DIV/0!</v>
      </c>
      <c r="M536" t="e">
        <f ca="1">AVERAGEIFS('Region 15'!$W$2:$W$500,'Region 15'!$A$2:$A$500,M$1,'Region 15'!$X$2:$X$500,$D536,'Region 15'!$S$2:$S$500,$A536)</f>
        <v>#DIV/0!</v>
      </c>
      <c r="N536" t="e">
        <f ca="1">AVERAGEIFS('Region 15'!$W$2:$W$500,'Region 15'!$A$2:$A$500,N$1,'Region 15'!$X$2:$X$500,$D536,'Region 15'!$S$2:$S$500,$A536)</f>
        <v>#DIV/0!</v>
      </c>
      <c r="Q536" t="str">
        <f t="shared" si="535"/>
        <v>Glass</v>
      </c>
      <c r="R536" t="str">
        <f t="shared" si="536"/>
        <v>Detached</v>
      </c>
      <c r="S536">
        <f t="shared" si="537"/>
        <v>15</v>
      </c>
      <c r="T536" t="str">
        <f t="shared" ca="1" si="518"/>
        <v>-</v>
      </c>
      <c r="U536" t="str">
        <f t="shared" ca="1" si="519"/>
        <v>-</v>
      </c>
      <c r="V536" t="str">
        <f t="shared" ca="1" si="520"/>
        <v>-</v>
      </c>
      <c r="W536" t="str">
        <f t="shared" ca="1" si="521"/>
        <v>-</v>
      </c>
      <c r="X536" t="str">
        <f t="shared" ca="1" si="522"/>
        <v>-</v>
      </c>
      <c r="Y536" t="str">
        <f t="shared" ca="1" si="523"/>
        <v>-</v>
      </c>
      <c r="Z536" t="str">
        <f t="shared" ca="1" si="524"/>
        <v>-</v>
      </c>
      <c r="AA536" t="str">
        <f t="shared" ca="1" si="525"/>
        <v>-</v>
      </c>
      <c r="AB536" t="str">
        <f t="shared" ca="1" si="526"/>
        <v>-</v>
      </c>
      <c r="AC536" t="str">
        <f t="shared" ca="1" si="527"/>
        <v>-</v>
      </c>
    </row>
    <row r="537" spans="1:29" x14ac:dyDescent="0.3">
      <c r="A537" t="s">
        <v>437</v>
      </c>
      <c r="B537" t="str">
        <f t="shared" ref="B537:D537" si="551">B433</f>
        <v>Detached</v>
      </c>
      <c r="C537">
        <f t="shared" si="551"/>
        <v>16</v>
      </c>
      <c r="D537">
        <f t="shared" si="551"/>
        <v>1</v>
      </c>
      <c r="E537" t="e">
        <f ca="1">AVERAGEIFS('Region 16'!$W$2:$W$500,'Region 16'!$A$2:$A$500,E$1,'Region 16'!$X$2:$X$500,$D537,'Region 16'!$S$2:$S$500,$A537)</f>
        <v>#DIV/0!</v>
      </c>
      <c r="F537" t="e">
        <f ca="1">AVERAGEIFS('Region 16'!$W$2:$W$500,'Region 16'!$A$2:$A$500,F$1,'Region 16'!$X$2:$X$500,$D537,'Region 16'!$S$2:$S$500,$A537)</f>
        <v>#DIV/0!</v>
      </c>
      <c r="G537" t="e">
        <f ca="1">AVERAGEIFS('Region 16'!$W$2:$W$500,'Region 16'!$A$2:$A$500,G$1,'Region 16'!$X$2:$X$500,$D537,'Region 16'!$S$2:$S$500,$A537)</f>
        <v>#DIV/0!</v>
      </c>
      <c r="H537" t="e">
        <f ca="1">AVERAGEIFS('Region 16'!$W$2:$W$500,'Region 16'!$A$2:$A$500,H$1,'Region 16'!$X$2:$X$500,$D537,'Region 16'!$S$2:$S$500,$A537)</f>
        <v>#DIV/0!</v>
      </c>
      <c r="I537" t="e">
        <f ca="1">AVERAGEIFS('Region 16'!$W$2:$W$500,'Region 16'!$A$2:$A$500,I$1,'Region 16'!$X$2:$X$500,$D537,'Region 16'!$S$2:$S$500,$A537)</f>
        <v>#DIV/0!</v>
      </c>
      <c r="J537" t="e">
        <f ca="1">AVERAGEIFS('Region 16'!$W$2:$W$500,'Region 16'!$A$2:$A$500,J$1,'Region 16'!$X$2:$X$500,$D537,'Region 16'!$S$2:$S$500,$A537)</f>
        <v>#DIV/0!</v>
      </c>
      <c r="K537" t="e">
        <f ca="1">AVERAGEIFS('Region 16'!$W$2:$W$500,'Region 16'!$A$2:$A$500,K$1,'Region 16'!$X$2:$X$500,$D537,'Region 16'!$S$2:$S$500,$A537)</f>
        <v>#DIV/0!</v>
      </c>
      <c r="L537" t="e">
        <f ca="1">AVERAGEIFS('Region 16'!$W$2:$W$500,'Region 16'!$A$2:$A$500,L$1,'Region 16'!$X$2:$X$500,$D537,'Region 16'!$S$2:$S$500,$A537)</f>
        <v>#DIV/0!</v>
      </c>
      <c r="M537" t="e">
        <f ca="1">AVERAGEIFS('Region 16'!$W$2:$W$500,'Region 16'!$A$2:$A$500,M$1,'Region 16'!$X$2:$X$500,$D537,'Region 16'!$S$2:$S$500,$A537)</f>
        <v>#DIV/0!</v>
      </c>
      <c r="N537" t="e">
        <f ca="1">AVERAGEIFS('Region 16'!$W$2:$W$500,'Region 16'!$A$2:$A$500,N$1,'Region 16'!$X$2:$X$500,$D537,'Region 16'!$S$2:$S$500,$A537)</f>
        <v>#DIV/0!</v>
      </c>
      <c r="Q537" t="str">
        <f t="shared" si="535"/>
        <v>Glass</v>
      </c>
      <c r="R537" t="str">
        <f t="shared" si="536"/>
        <v>Detached</v>
      </c>
      <c r="S537">
        <f t="shared" si="537"/>
        <v>16</v>
      </c>
      <c r="T537" t="str">
        <f t="shared" ca="1" si="518"/>
        <v>-</v>
      </c>
      <c r="U537" t="str">
        <f t="shared" ca="1" si="519"/>
        <v>-</v>
      </c>
      <c r="V537" t="str">
        <f t="shared" ca="1" si="520"/>
        <v>-</v>
      </c>
      <c r="W537" t="str">
        <f t="shared" ca="1" si="521"/>
        <v>-</v>
      </c>
      <c r="X537" t="str">
        <f t="shared" ca="1" si="522"/>
        <v>-</v>
      </c>
      <c r="Y537" t="str">
        <f t="shared" ca="1" si="523"/>
        <v>-</v>
      </c>
      <c r="Z537" t="str">
        <f t="shared" ca="1" si="524"/>
        <v>-</v>
      </c>
      <c r="AA537" t="str">
        <f t="shared" ca="1" si="525"/>
        <v>-</v>
      </c>
      <c r="AB537" t="str">
        <f t="shared" ca="1" si="526"/>
        <v>-</v>
      </c>
      <c r="AC537" t="str">
        <f t="shared" ca="1" si="527"/>
        <v>-</v>
      </c>
    </row>
    <row r="538" spans="1:29" x14ac:dyDescent="0.3">
      <c r="A538" t="s">
        <v>437</v>
      </c>
      <c r="B538" t="str">
        <f t="shared" ref="B538:D538" si="552">B434</f>
        <v>Detached</v>
      </c>
      <c r="C538">
        <f t="shared" si="552"/>
        <v>17</v>
      </c>
      <c r="D538">
        <f t="shared" si="552"/>
        <v>1</v>
      </c>
      <c r="E538" t="e">
        <f>AVERAGEIFS('Region 17'!$W$2:$W$498,'Region 17'!$A$2:$A$498,E$1,'Region 17'!$X$2:$X$498,$D538,'Region 17'!$S$2:$S$498,$A538)</f>
        <v>#DIV/0!</v>
      </c>
      <c r="F538">
        <f>AVERAGEIFS('Region 17'!$W$2:$W$498,'Region 17'!$A$2:$A$498,F$1,'Region 17'!$X$2:$X$498,$D538,'Region 17'!$S$2:$S$498,$A538)</f>
        <v>2.7225701061802341</v>
      </c>
      <c r="G538" t="e">
        <f>AVERAGEIFS('Region 17'!$W$2:$W$498,'Region 17'!$A$2:$A$498,G$1,'Region 17'!$X$2:$X$498,$D538,'Region 17'!$S$2:$S$498,$A538)</f>
        <v>#DIV/0!</v>
      </c>
      <c r="H538" t="e">
        <f>AVERAGEIFS('Region 17'!$W$2:$W$498,'Region 17'!$A$2:$A$498,H$1,'Region 17'!$X$2:$X$498,$D538,'Region 17'!$S$2:$S$498,$A538)</f>
        <v>#DIV/0!</v>
      </c>
      <c r="I538" t="e">
        <f>AVERAGEIFS('Region 17'!$W$2:$W$498,'Region 17'!$A$2:$A$498,I$1,'Region 17'!$X$2:$X$498,$D538,'Region 17'!$S$2:$S$498,$A538)</f>
        <v>#DIV/0!</v>
      </c>
      <c r="J538" t="e">
        <f>AVERAGEIFS('Region 17'!$W$2:$W$498,'Region 17'!$A$2:$A$498,J$1,'Region 17'!$X$2:$X$498,$D538,'Region 17'!$S$2:$S$498,$A538)</f>
        <v>#DIV/0!</v>
      </c>
      <c r="K538" t="e">
        <f>AVERAGEIFS('Region 17'!$W$2:$W$498,'Region 17'!$A$2:$A$498,K$1,'Region 17'!$X$2:$X$498,$D538,'Region 17'!$S$2:$S$498,$A538)</f>
        <v>#DIV/0!</v>
      </c>
      <c r="L538" t="e">
        <f>AVERAGEIFS('Region 17'!$W$2:$W$498,'Region 17'!$A$2:$A$498,L$1,'Region 17'!$X$2:$X$498,$D538,'Region 17'!$S$2:$S$498,$A538)</f>
        <v>#DIV/0!</v>
      </c>
      <c r="M538" t="e">
        <f>AVERAGEIFS('Region 17'!$W$2:$W$498,'Region 17'!$A$2:$A$498,M$1,'Region 17'!$X$2:$X$498,$D538,'Region 17'!$S$2:$S$498,$A538)</f>
        <v>#DIV/0!</v>
      </c>
      <c r="N538" t="e">
        <f>AVERAGEIFS('Region 17'!$W$2:$W$498,'Region 17'!$A$2:$A$498,N$1,'Region 17'!$X$2:$X$498,$D538,'Region 17'!$S$2:$S$498,$A538)</f>
        <v>#DIV/0!</v>
      </c>
      <c r="Q538" t="str">
        <f t="shared" si="535"/>
        <v>Glass</v>
      </c>
      <c r="R538" t="str">
        <f t="shared" si="536"/>
        <v>Detached</v>
      </c>
      <c r="S538">
        <f t="shared" si="537"/>
        <v>17</v>
      </c>
      <c r="T538" t="str">
        <f t="shared" si="518"/>
        <v>-</v>
      </c>
      <c r="U538">
        <f t="shared" si="519"/>
        <v>2.7225701061802341</v>
      </c>
      <c r="V538" t="str">
        <f t="shared" si="520"/>
        <v>-</v>
      </c>
      <c r="W538" t="str">
        <f t="shared" si="521"/>
        <v>-</v>
      </c>
      <c r="X538" t="str">
        <f t="shared" si="522"/>
        <v>-</v>
      </c>
      <c r="Y538" t="str">
        <f t="shared" si="523"/>
        <v>-</v>
      </c>
      <c r="Z538" t="str">
        <f t="shared" si="524"/>
        <v>-</v>
      </c>
      <c r="AA538" t="str">
        <f t="shared" si="525"/>
        <v>-</v>
      </c>
      <c r="AB538" t="str">
        <f t="shared" si="526"/>
        <v>-</v>
      </c>
      <c r="AC538" t="str">
        <f t="shared" si="527"/>
        <v>-</v>
      </c>
    </row>
    <row r="539" spans="1:29" x14ac:dyDescent="0.3">
      <c r="A539" t="s">
        <v>437</v>
      </c>
      <c r="B539" t="str">
        <f t="shared" ref="B539:D539" si="553">B435</f>
        <v>Detached</v>
      </c>
      <c r="C539">
        <f t="shared" si="553"/>
        <v>18</v>
      </c>
      <c r="D539">
        <f t="shared" si="553"/>
        <v>1</v>
      </c>
      <c r="E539" t="e">
        <f>AVERAGEIFS('Region 18'!$W$2:$W$468,'Region 18'!$A$2:$A$468,E$1,'Region 18'!$X$2:$X$468,$D539,'Region 18'!$S$2:$S$468,$A539)</f>
        <v>#DIV/0!</v>
      </c>
      <c r="F539" t="e">
        <f>AVERAGEIFS('Region 18'!$W$2:$W$468,'Region 18'!$A$2:$A$468,F$1,'Region 18'!$X$2:$X$468,$D539,'Region 18'!$S$2:$S$468,$A539)</f>
        <v>#DIV/0!</v>
      </c>
      <c r="G539" t="e">
        <f>AVERAGEIFS('Region 18'!$W$2:$W$468,'Region 18'!$A$2:$A$468,G$1,'Region 18'!$X$2:$X$468,$D539,'Region 18'!$S$2:$S$468,$A539)</f>
        <v>#DIV/0!</v>
      </c>
      <c r="H539">
        <f>AVERAGEIFS('Region 18'!$W$2:$W$468,'Region 18'!$A$2:$A$468,H$1,'Region 18'!$X$2:$X$468,$D539,'Region 18'!$S$2:$S$468,$A539)</f>
        <v>2.5990903183885639</v>
      </c>
      <c r="I539" t="e">
        <f>AVERAGEIFS('Region 18'!$W$2:$W$468,'Region 18'!$A$2:$A$468,I$1,'Region 18'!$X$2:$X$468,$D539,'Region 18'!$S$2:$S$468,$A539)</f>
        <v>#DIV/0!</v>
      </c>
      <c r="J539" t="e">
        <f>AVERAGEIFS('Region 18'!$W$2:$W$468,'Region 18'!$A$2:$A$468,J$1,'Region 18'!$X$2:$X$468,$D539,'Region 18'!$S$2:$S$468,$A539)</f>
        <v>#DIV/0!</v>
      </c>
      <c r="K539" t="e">
        <f>AVERAGEIFS('Region 18'!$W$2:$W$468,'Region 18'!$A$2:$A$468,K$1,'Region 18'!$X$2:$X$468,$D539,'Region 18'!$S$2:$S$468,$A539)</f>
        <v>#DIV/0!</v>
      </c>
      <c r="L539" t="e">
        <f>AVERAGEIFS('Region 18'!$W$2:$W$468,'Region 18'!$A$2:$A$468,L$1,'Region 18'!$X$2:$X$468,$D539,'Region 18'!$S$2:$S$468,$A539)</f>
        <v>#DIV/0!</v>
      </c>
      <c r="M539" t="e">
        <f>AVERAGEIFS('Region 18'!$W$2:$W$468,'Region 18'!$A$2:$A$468,M$1,'Region 18'!$X$2:$X$468,$D539,'Region 18'!$S$2:$S$468,$A539)</f>
        <v>#DIV/0!</v>
      </c>
      <c r="N539" t="e">
        <f>AVERAGEIFS('Region 18'!$W$2:$W$468,'Region 18'!$A$2:$A$468,N$1,'Region 18'!$X$2:$X$468,$D539,'Region 18'!$S$2:$S$468,$A539)</f>
        <v>#DIV/0!</v>
      </c>
      <c r="Q539" t="str">
        <f t="shared" si="535"/>
        <v>Glass</v>
      </c>
      <c r="R539" t="str">
        <f t="shared" si="536"/>
        <v>Detached</v>
      </c>
      <c r="S539">
        <f t="shared" si="537"/>
        <v>18</v>
      </c>
      <c r="T539" t="str">
        <f t="shared" si="518"/>
        <v>-</v>
      </c>
      <c r="U539" t="str">
        <f t="shared" si="519"/>
        <v>-</v>
      </c>
      <c r="V539" t="str">
        <f t="shared" si="520"/>
        <v>-</v>
      </c>
      <c r="W539">
        <f t="shared" si="521"/>
        <v>2.5990903183885639</v>
      </c>
      <c r="X539" t="str">
        <f t="shared" si="522"/>
        <v>-</v>
      </c>
      <c r="Y539" t="str">
        <f t="shared" si="523"/>
        <v>-</v>
      </c>
      <c r="Z539" t="str">
        <f t="shared" si="524"/>
        <v>-</v>
      </c>
      <c r="AA539" t="str">
        <f t="shared" si="525"/>
        <v>-</v>
      </c>
      <c r="AB539" t="str">
        <f t="shared" si="526"/>
        <v>-</v>
      </c>
      <c r="AC539" t="str">
        <f t="shared" si="527"/>
        <v>-</v>
      </c>
    </row>
    <row r="540" spans="1:29" x14ac:dyDescent="0.3">
      <c r="A540" t="s">
        <v>437</v>
      </c>
      <c r="B540" t="str">
        <f t="shared" ref="B540:D540" si="554">B436</f>
        <v>Detached</v>
      </c>
      <c r="C540">
        <f t="shared" si="554"/>
        <v>19</v>
      </c>
      <c r="D540">
        <f t="shared" si="554"/>
        <v>1</v>
      </c>
      <c r="E540" t="e">
        <f>AVERAGEIFS('Region 19'!$W$2:$W$494,'Region 19'!$A$2:$A$494,E$1,'Region 19'!$X$2:$X$494,$D540,'Region 19'!$S$2:$S$494,$A540)</f>
        <v>#DIV/0!</v>
      </c>
      <c r="F540" t="e">
        <f>AVERAGEIFS('Region 19'!$W$2:$W$494,'Region 19'!$A$2:$A$494,F$1,'Region 19'!$X$2:$X$494,$D540,'Region 19'!$S$2:$S$494,$A540)</f>
        <v>#DIV/0!</v>
      </c>
      <c r="G540" t="e">
        <f>AVERAGEIFS('Region 19'!$W$2:$W$494,'Region 19'!$A$2:$A$494,G$1,'Region 19'!$X$2:$X$494,$D540,'Region 19'!$S$2:$S$494,$A540)</f>
        <v>#DIV/0!</v>
      </c>
      <c r="H540" t="e">
        <f>AVERAGEIFS('Region 19'!$W$2:$W$494,'Region 19'!$A$2:$A$494,H$1,'Region 19'!$X$2:$X$494,$D540,'Region 19'!$S$2:$S$494,$A540)</f>
        <v>#DIV/0!</v>
      </c>
      <c r="I540" t="e">
        <f>AVERAGEIFS('Region 19'!$W$2:$W$494,'Region 19'!$A$2:$A$494,I$1,'Region 19'!$X$2:$X$494,$D540,'Region 19'!$S$2:$S$494,$A540)</f>
        <v>#DIV/0!</v>
      </c>
      <c r="J540" t="e">
        <f>AVERAGEIFS('Region 19'!$W$2:$W$494,'Region 19'!$A$2:$A$494,J$1,'Region 19'!$X$2:$X$494,$D540,'Region 19'!$S$2:$S$494,$A540)</f>
        <v>#DIV/0!</v>
      </c>
      <c r="K540" t="e">
        <f>AVERAGEIFS('Region 19'!$W$2:$W$494,'Region 19'!$A$2:$A$494,K$1,'Region 19'!$X$2:$X$494,$D540,'Region 19'!$S$2:$S$494,$A540)</f>
        <v>#DIV/0!</v>
      </c>
      <c r="L540" t="e">
        <f>AVERAGEIFS('Region 19'!$W$2:$W$494,'Region 19'!$A$2:$A$494,L$1,'Region 19'!$X$2:$X$494,$D540,'Region 19'!$S$2:$S$494,$A540)</f>
        <v>#DIV/0!</v>
      </c>
      <c r="M540" t="e">
        <f>AVERAGEIFS('Region 19'!$W$2:$W$494,'Region 19'!$A$2:$A$494,M$1,'Region 19'!$X$2:$X$494,$D540,'Region 19'!$S$2:$S$494,$A540)</f>
        <v>#DIV/0!</v>
      </c>
      <c r="N540" t="e">
        <f>AVERAGEIFS('Region 19'!$W$2:$W$494,'Region 19'!$A$2:$A$494,N$1,'Region 19'!$X$2:$X$494,$D540,'Region 19'!$S$2:$S$494,$A540)</f>
        <v>#DIV/0!</v>
      </c>
      <c r="Q540" t="str">
        <f t="shared" si="535"/>
        <v>Glass</v>
      </c>
      <c r="R540" t="str">
        <f t="shared" si="536"/>
        <v>Detached</v>
      </c>
      <c r="S540">
        <f t="shared" si="537"/>
        <v>19</v>
      </c>
      <c r="T540" t="str">
        <f t="shared" si="518"/>
        <v>-</v>
      </c>
      <c r="U540" t="str">
        <f t="shared" si="519"/>
        <v>-</v>
      </c>
      <c r="V540" t="str">
        <f t="shared" si="520"/>
        <v>-</v>
      </c>
      <c r="W540" t="str">
        <f t="shared" si="521"/>
        <v>-</v>
      </c>
      <c r="X540" t="str">
        <f t="shared" si="522"/>
        <v>-</v>
      </c>
      <c r="Y540" t="str">
        <f t="shared" si="523"/>
        <v>-</v>
      </c>
      <c r="Z540" t="str">
        <f t="shared" si="524"/>
        <v>-</v>
      </c>
      <c r="AA540" t="str">
        <f t="shared" si="525"/>
        <v>-</v>
      </c>
      <c r="AB540" t="str">
        <f t="shared" si="526"/>
        <v>-</v>
      </c>
      <c r="AC540" t="str">
        <f t="shared" si="527"/>
        <v>-</v>
      </c>
    </row>
    <row r="541" spans="1:29" x14ac:dyDescent="0.3">
      <c r="A541" t="s">
        <v>437</v>
      </c>
      <c r="B541" t="str">
        <f t="shared" ref="B541:D541" si="555">B437</f>
        <v>Detached</v>
      </c>
      <c r="C541">
        <f t="shared" si="555"/>
        <v>20</v>
      </c>
      <c r="D541">
        <f t="shared" si="555"/>
        <v>1</v>
      </c>
      <c r="E541" t="e">
        <f>AVERAGEIFS('Region 20'!$W$2:$W$269,'Region 20'!$A$2:$A$269,E$1,'Region 20'!$X$2:$X$269,$D541,'Region 20'!$S$2:$S$269,$A541)</f>
        <v>#DIV/0!</v>
      </c>
      <c r="F541" t="e">
        <f>AVERAGEIFS('Region 20'!$W$2:$W$269,'Region 20'!$A$2:$A$269,F$1,'Region 20'!$X$2:$X$269,$D541,'Region 20'!$S$2:$S$269,$A541)</f>
        <v>#DIV/0!</v>
      </c>
      <c r="G541" t="e">
        <f>AVERAGEIFS('Region 20'!$W$2:$W$269,'Region 20'!$A$2:$A$269,G$1,'Region 20'!$X$2:$X$269,$D541,'Region 20'!$S$2:$S$269,$A541)</f>
        <v>#DIV/0!</v>
      </c>
      <c r="H541" t="e">
        <f>AVERAGEIFS('Region 20'!$W$2:$W$269,'Region 20'!$A$2:$A$269,H$1,'Region 20'!$X$2:$X$269,$D541,'Region 20'!$S$2:$S$269,$A541)</f>
        <v>#DIV/0!</v>
      </c>
      <c r="I541">
        <f>AVERAGEIFS('Region 20'!$W$2:$W$269,'Region 20'!$A$2:$A$269,I$1,'Region 20'!$X$2:$X$269,$D541,'Region 20'!$S$2:$S$269,$A541)</f>
        <v>7.816905474203538</v>
      </c>
      <c r="J541" t="e">
        <f>AVERAGEIFS('Region 20'!$W$2:$W$269,'Region 20'!$A$2:$A$269,J$1,'Region 20'!$X$2:$X$269,$D541,'Region 20'!$S$2:$S$269,$A541)</f>
        <v>#DIV/0!</v>
      </c>
      <c r="K541" t="e">
        <f>AVERAGEIFS('Region 20'!$W$2:$W$269,'Region 20'!$A$2:$A$269,K$1,'Region 20'!$X$2:$X$269,$D541,'Region 20'!$S$2:$S$269,$A541)</f>
        <v>#DIV/0!</v>
      </c>
      <c r="L541" t="e">
        <f>AVERAGEIFS('Region 20'!$W$2:$W$269,'Region 20'!$A$2:$A$269,L$1,'Region 20'!$X$2:$X$269,$D541,'Region 20'!$S$2:$S$269,$A541)</f>
        <v>#DIV/0!</v>
      </c>
      <c r="M541" t="e">
        <f>AVERAGEIFS('Region 20'!$W$2:$W$269,'Region 20'!$A$2:$A$269,M$1,'Region 20'!$X$2:$X$269,$D541,'Region 20'!$S$2:$S$269,$A541)</f>
        <v>#DIV/0!</v>
      </c>
      <c r="N541" t="e">
        <f>AVERAGEIFS('Region 20'!$W$2:$W$269,'Region 20'!$A$2:$A$269,N$1,'Region 20'!$X$2:$X$269,$D541,'Region 20'!$S$2:$S$269,$A541)</f>
        <v>#DIV/0!</v>
      </c>
      <c r="Q541" t="str">
        <f t="shared" si="535"/>
        <v>Glass</v>
      </c>
      <c r="R541" t="str">
        <f t="shared" si="536"/>
        <v>Detached</v>
      </c>
      <c r="S541">
        <f t="shared" si="537"/>
        <v>20</v>
      </c>
      <c r="T541" t="str">
        <f t="shared" si="518"/>
        <v>-</v>
      </c>
      <c r="U541" t="str">
        <f t="shared" si="519"/>
        <v>-</v>
      </c>
      <c r="V541" t="str">
        <f t="shared" si="520"/>
        <v>-</v>
      </c>
      <c r="W541" t="str">
        <f t="shared" si="521"/>
        <v>-</v>
      </c>
      <c r="X541">
        <f t="shared" si="522"/>
        <v>7.816905474203538</v>
      </c>
      <c r="Y541" t="str">
        <f t="shared" si="523"/>
        <v>-</v>
      </c>
      <c r="Z541" t="str">
        <f t="shared" si="524"/>
        <v>-</v>
      </c>
      <c r="AA541" t="str">
        <f t="shared" si="525"/>
        <v>-</v>
      </c>
      <c r="AB541" t="str">
        <f t="shared" si="526"/>
        <v>-</v>
      </c>
      <c r="AC541" t="str">
        <f t="shared" si="527"/>
        <v>-</v>
      </c>
    </row>
    <row r="542" spans="1:29" x14ac:dyDescent="0.3">
      <c r="A542" t="s">
        <v>437</v>
      </c>
      <c r="B542" t="str">
        <f t="shared" ref="B542:D542" si="556">B438</f>
        <v>Detached</v>
      </c>
      <c r="C542">
        <f t="shared" si="556"/>
        <v>21</v>
      </c>
      <c r="D542">
        <f t="shared" si="556"/>
        <v>1</v>
      </c>
      <c r="E542" t="e">
        <f>AVERAGEIFS('Region 21'!$W$2:$W$497,'Region 21'!$A$2:$A$497,E$1,'Region 21'!$X$2:$X$497,$D542,'Region 21'!$S$2:$S$497,$A542)</f>
        <v>#DIV/0!</v>
      </c>
      <c r="F542" t="e">
        <f>AVERAGEIFS('Region 21'!$W$2:$W$497,'Region 21'!$A$2:$A$497,F$1,'Region 21'!$X$2:$X$497,$D542,'Region 21'!$S$2:$S$497,$A542)</f>
        <v>#DIV/0!</v>
      </c>
      <c r="G542" t="e">
        <f>AVERAGEIFS('Region 21'!$W$2:$W$497,'Region 21'!$A$2:$A$497,G$1,'Region 21'!$X$2:$X$497,$D542,'Region 21'!$S$2:$S$497,$A542)</f>
        <v>#DIV/0!</v>
      </c>
      <c r="H542" t="e">
        <f>AVERAGEIFS('Region 21'!$W$2:$W$497,'Region 21'!$A$2:$A$497,H$1,'Region 21'!$X$2:$X$497,$D542,'Region 21'!$S$2:$S$497,$A542)</f>
        <v>#DIV/0!</v>
      </c>
      <c r="I542" t="e">
        <f>AVERAGEIFS('Region 21'!$W$2:$W$497,'Region 21'!$A$2:$A$497,I$1,'Region 21'!$X$2:$X$497,$D542,'Region 21'!$S$2:$S$497,$A542)</f>
        <v>#DIV/0!</v>
      </c>
      <c r="J542" t="e">
        <f>AVERAGEIFS('Region 21'!$W$2:$W$497,'Region 21'!$A$2:$A$497,J$1,'Region 21'!$X$2:$X$497,$D542,'Region 21'!$S$2:$S$497,$A542)</f>
        <v>#DIV/0!</v>
      </c>
      <c r="K542" t="e">
        <f>AVERAGEIFS('Region 21'!$W$2:$W$497,'Region 21'!$A$2:$A$497,K$1,'Region 21'!$X$2:$X$497,$D542,'Region 21'!$S$2:$S$497,$A542)</f>
        <v>#DIV/0!</v>
      </c>
      <c r="L542" t="e">
        <f>AVERAGEIFS('Region 21'!$W$2:$W$497,'Region 21'!$A$2:$A$497,L$1,'Region 21'!$X$2:$X$497,$D542,'Region 21'!$S$2:$S$497,$A542)</f>
        <v>#DIV/0!</v>
      </c>
      <c r="M542" t="e">
        <f>AVERAGEIFS('Region 21'!$W$2:$W$497,'Region 21'!$A$2:$A$497,M$1,'Region 21'!$X$2:$X$497,$D542,'Region 21'!$S$2:$S$497,$A542)</f>
        <v>#DIV/0!</v>
      </c>
      <c r="N542" t="e">
        <f>AVERAGEIFS('Region 21'!$W$2:$W$497,'Region 21'!$A$2:$A$497,N$1,'Region 21'!$X$2:$X$497,$D542,'Region 21'!$S$2:$S$497,$A542)</f>
        <v>#DIV/0!</v>
      </c>
      <c r="Q542" t="str">
        <f t="shared" si="535"/>
        <v>Glass</v>
      </c>
      <c r="R542" t="str">
        <f t="shared" si="536"/>
        <v>Detached</v>
      </c>
      <c r="S542">
        <f t="shared" si="537"/>
        <v>21</v>
      </c>
      <c r="T542" t="str">
        <f t="shared" si="518"/>
        <v>-</v>
      </c>
      <c r="U542" t="str">
        <f t="shared" si="519"/>
        <v>-</v>
      </c>
      <c r="V542" t="str">
        <f t="shared" si="520"/>
        <v>-</v>
      </c>
      <c r="W542" t="str">
        <f t="shared" si="521"/>
        <v>-</v>
      </c>
      <c r="X542" t="str">
        <f t="shared" si="522"/>
        <v>-</v>
      </c>
      <c r="Y542" t="str">
        <f t="shared" si="523"/>
        <v>-</v>
      </c>
      <c r="Z542" t="str">
        <f t="shared" si="524"/>
        <v>-</v>
      </c>
      <c r="AA542" t="str">
        <f t="shared" si="525"/>
        <v>-</v>
      </c>
      <c r="AB542" t="str">
        <f t="shared" si="526"/>
        <v>-</v>
      </c>
      <c r="AC542" t="str">
        <f t="shared" si="527"/>
        <v>-</v>
      </c>
    </row>
    <row r="543" spans="1:29" x14ac:dyDescent="0.3">
      <c r="A543" t="s">
        <v>437</v>
      </c>
      <c r="B543" t="str">
        <f t="shared" ref="B543:D543" si="557">B439</f>
        <v>Detached</v>
      </c>
      <c r="C543">
        <f t="shared" si="557"/>
        <v>22</v>
      </c>
      <c r="D543">
        <f t="shared" si="557"/>
        <v>1</v>
      </c>
      <c r="E543" t="e">
        <f>AVERAGEIFS('Region 22'!$W$2:$W$510,'Region 22'!$A$2:$A$510,E$1,'Region 22'!$X$2:$X$510,$D543,'Region 22'!$S$2:$S$510,$A543)</f>
        <v>#DIV/0!</v>
      </c>
      <c r="F543">
        <f>AVERAGEIFS('Region 22'!$W$2:$W$510,'Region 22'!$A$2:$A$510,F$1,'Region 22'!$X$2:$X$510,$D543,'Region 22'!$S$2:$S$510,$A543)</f>
        <v>0.82706896551724141</v>
      </c>
      <c r="G543">
        <f>AVERAGEIFS('Region 22'!$W$2:$W$510,'Region 22'!$A$2:$A$510,G$1,'Region 22'!$X$2:$X$510,$D543,'Region 22'!$S$2:$S$510,$A543)</f>
        <v>1.7875000000000001</v>
      </c>
      <c r="H543" t="e">
        <f>AVERAGEIFS('Region 22'!$W$2:$W$510,'Region 22'!$A$2:$A$510,H$1,'Region 22'!$X$2:$X$510,$D543,'Region 22'!$S$2:$S$510,$A543)</f>
        <v>#DIV/0!</v>
      </c>
      <c r="I543" t="e">
        <f>AVERAGEIFS('Region 22'!$W$2:$W$510,'Region 22'!$A$2:$A$510,I$1,'Region 22'!$X$2:$X$510,$D543,'Region 22'!$S$2:$S$510,$A543)</f>
        <v>#DIV/0!</v>
      </c>
      <c r="J543" t="e">
        <f>AVERAGEIFS('Region 22'!$W$2:$W$510,'Region 22'!$A$2:$A$510,J$1,'Region 22'!$X$2:$X$510,$D543,'Region 22'!$S$2:$S$510,$A543)</f>
        <v>#DIV/0!</v>
      </c>
      <c r="K543" t="e">
        <f>AVERAGEIFS('Region 22'!$W$2:$W$510,'Region 22'!$A$2:$A$510,K$1,'Region 22'!$X$2:$X$510,$D543,'Region 22'!$S$2:$S$510,$A543)</f>
        <v>#DIV/0!</v>
      </c>
      <c r="L543" t="e">
        <f>AVERAGEIFS('Region 22'!$W$2:$W$510,'Region 22'!$A$2:$A$510,L$1,'Region 22'!$X$2:$X$510,$D543,'Region 22'!$S$2:$S$510,$A543)</f>
        <v>#DIV/0!</v>
      </c>
      <c r="M543" t="e">
        <f>AVERAGEIFS('Region 22'!$W$2:$W$510,'Region 22'!$A$2:$A$510,M$1,'Region 22'!$X$2:$X$510,$D543,'Region 22'!$S$2:$S$510,$A543)</f>
        <v>#DIV/0!</v>
      </c>
      <c r="N543" t="e">
        <f>AVERAGEIFS('Region 22'!$W$2:$W$510,'Region 22'!$A$2:$A$510,N$1,'Region 22'!$X$2:$X$510,$D543,'Region 22'!$S$2:$S$510,$A543)</f>
        <v>#DIV/0!</v>
      </c>
      <c r="Q543" t="str">
        <f t="shared" si="535"/>
        <v>Glass</v>
      </c>
      <c r="R543" t="str">
        <f t="shared" si="536"/>
        <v>Detached</v>
      </c>
      <c r="S543">
        <f t="shared" si="537"/>
        <v>22</v>
      </c>
      <c r="T543" t="str">
        <f t="shared" si="518"/>
        <v>-</v>
      </c>
      <c r="U543">
        <f t="shared" si="519"/>
        <v>0.82706896551724141</v>
      </c>
      <c r="V543">
        <f t="shared" si="520"/>
        <v>1.7875000000000001</v>
      </c>
      <c r="W543" t="str">
        <f t="shared" si="521"/>
        <v>-</v>
      </c>
      <c r="X543" t="str">
        <f t="shared" si="522"/>
        <v>-</v>
      </c>
      <c r="Y543" t="str">
        <f t="shared" si="523"/>
        <v>-</v>
      </c>
      <c r="Z543" t="str">
        <f t="shared" si="524"/>
        <v>-</v>
      </c>
      <c r="AA543" t="str">
        <f t="shared" si="525"/>
        <v>-</v>
      </c>
      <c r="AB543" t="str">
        <f t="shared" si="526"/>
        <v>-</v>
      </c>
      <c r="AC543" t="str">
        <f t="shared" si="527"/>
        <v>-</v>
      </c>
    </row>
    <row r="544" spans="1:29" x14ac:dyDescent="0.3">
      <c r="A544" t="s">
        <v>437</v>
      </c>
      <c r="B544" t="str">
        <f t="shared" ref="B544:D544" si="558">B440</f>
        <v>Detached</v>
      </c>
      <c r="C544">
        <f t="shared" si="558"/>
        <v>23</v>
      </c>
      <c r="D544">
        <f t="shared" si="558"/>
        <v>1</v>
      </c>
      <c r="E544" t="e">
        <f>AVERAGEIFS('Region 23'!$W$2:$W$468,'Region 23'!$A$2:$A$468,E$1,'Region 23'!$X$2:$X$468,$D544,'Region 23'!$S$2:$S$468,$A544)</f>
        <v>#DIV/0!</v>
      </c>
      <c r="F544">
        <f>AVERAGEIFS('Region 23'!$W$2:$W$468,'Region 23'!$A$2:$A$468,F$1,'Region 23'!$X$2:$X$468,$D544,'Region 23'!$S$2:$S$468,$A544)</f>
        <v>3.5</v>
      </c>
      <c r="G544" t="e">
        <f>AVERAGEIFS('Region 23'!$W$2:$W$468,'Region 23'!$A$2:$A$468,G$1,'Region 23'!$X$2:$X$468,$D544,'Region 23'!$S$2:$S$468,$A544)</f>
        <v>#DIV/0!</v>
      </c>
      <c r="H544">
        <f>AVERAGEIFS('Region 23'!$W$2:$W$468,'Region 23'!$A$2:$A$468,H$1,'Region 23'!$X$2:$X$468,$D544,'Region 23'!$S$2:$S$468,$A544)</f>
        <v>5</v>
      </c>
      <c r="I544" t="e">
        <f>AVERAGEIFS('Region 23'!$W$2:$W$468,'Region 23'!$A$2:$A$468,I$1,'Region 23'!$X$2:$X$468,$D544,'Region 23'!$S$2:$S$468,$A544)</f>
        <v>#DIV/0!</v>
      </c>
      <c r="J544" t="e">
        <f>AVERAGEIFS('Region 23'!$W$2:$W$468,'Region 23'!$A$2:$A$468,J$1,'Region 23'!$X$2:$X$468,$D544,'Region 23'!$S$2:$S$468,$A544)</f>
        <v>#DIV/0!</v>
      </c>
      <c r="K544" t="e">
        <f>AVERAGEIFS('Region 23'!$W$2:$W$468,'Region 23'!$A$2:$A$468,K$1,'Region 23'!$X$2:$X$468,$D544,'Region 23'!$S$2:$S$468,$A544)</f>
        <v>#DIV/0!</v>
      </c>
      <c r="L544" t="e">
        <f>AVERAGEIFS('Region 23'!$W$2:$W$468,'Region 23'!$A$2:$A$468,L$1,'Region 23'!$X$2:$X$468,$D544,'Region 23'!$S$2:$S$468,$A544)</f>
        <v>#DIV/0!</v>
      </c>
      <c r="M544" t="e">
        <f>AVERAGEIFS('Region 23'!$W$2:$W$468,'Region 23'!$A$2:$A$468,M$1,'Region 23'!$X$2:$X$468,$D544,'Region 23'!$S$2:$S$468,$A544)</f>
        <v>#DIV/0!</v>
      </c>
      <c r="N544" t="e">
        <f>AVERAGEIFS('Region 23'!$W$2:$W$468,'Region 23'!$A$2:$A$468,N$1,'Region 23'!$X$2:$X$468,$D544,'Region 23'!$S$2:$S$468,$A544)</f>
        <v>#DIV/0!</v>
      </c>
      <c r="Q544" t="str">
        <f t="shared" si="535"/>
        <v>Glass</v>
      </c>
      <c r="R544" t="str">
        <f t="shared" si="536"/>
        <v>Detached</v>
      </c>
      <c r="S544">
        <f t="shared" si="537"/>
        <v>23</v>
      </c>
      <c r="T544" t="str">
        <f t="shared" si="518"/>
        <v>-</v>
      </c>
      <c r="U544">
        <f t="shared" si="519"/>
        <v>3.5</v>
      </c>
      <c r="V544" t="str">
        <f t="shared" si="520"/>
        <v>-</v>
      </c>
      <c r="W544">
        <f t="shared" si="521"/>
        <v>5</v>
      </c>
      <c r="X544" t="str">
        <f t="shared" si="522"/>
        <v>-</v>
      </c>
      <c r="Y544" t="str">
        <f t="shared" si="523"/>
        <v>-</v>
      </c>
      <c r="Z544" t="str">
        <f t="shared" si="524"/>
        <v>-</v>
      </c>
      <c r="AA544" t="str">
        <f t="shared" si="525"/>
        <v>-</v>
      </c>
      <c r="AB544" t="str">
        <f t="shared" si="526"/>
        <v>-</v>
      </c>
      <c r="AC544" t="str">
        <f t="shared" si="527"/>
        <v>-</v>
      </c>
    </row>
    <row r="545" spans="1:29" x14ac:dyDescent="0.3">
      <c r="A545" t="s">
        <v>437</v>
      </c>
      <c r="B545" t="str">
        <f t="shared" ref="B545:D545" si="559">B441</f>
        <v>Detached</v>
      </c>
      <c r="C545">
        <f t="shared" si="559"/>
        <v>24</v>
      </c>
      <c r="D545">
        <f t="shared" si="559"/>
        <v>1</v>
      </c>
      <c r="E545" t="e">
        <f>AVERAGEIFS('Region 24'!$W$2:$W$454,'Region 24'!$A$2:$A$454,E$1,'Region 24'!$X$2:$X$454,$D545,'Region 24'!$S$2:$S$454,$A545)</f>
        <v>#DIV/0!</v>
      </c>
      <c r="F545" t="e">
        <f>AVERAGEIFS('Region 24'!$W$2:$W$454,'Region 24'!$A$2:$A$454,F$1,'Region 24'!$X$2:$X$454,$D545,'Region 24'!$S$2:$S$454,$A545)</f>
        <v>#DIV/0!</v>
      </c>
      <c r="G545" t="e">
        <f>AVERAGEIFS('Region 24'!$W$2:$W$454,'Region 24'!$A$2:$A$454,G$1,'Region 24'!$X$2:$X$454,$D545,'Region 24'!$S$2:$S$454,$A545)</f>
        <v>#DIV/0!</v>
      </c>
      <c r="H545">
        <f>AVERAGEIFS('Region 24'!$W$2:$W$454,'Region 24'!$A$2:$A$454,H$1,'Region 24'!$X$2:$X$454,$D545,'Region 24'!$S$2:$S$454,$A545)</f>
        <v>1.2380516684607104</v>
      </c>
      <c r="I545" t="e">
        <f>AVERAGEIFS('Region 24'!$W$2:$W$454,'Region 24'!$A$2:$A$454,I$1,'Region 24'!$X$2:$X$454,$D545,'Region 24'!$S$2:$S$454,$A545)</f>
        <v>#DIV/0!</v>
      </c>
      <c r="J545">
        <f>AVERAGEIFS('Region 24'!$W$2:$W$454,'Region 24'!$A$2:$A$454,J$1,'Region 24'!$X$2:$X$454,$D545,'Region 24'!$S$2:$S$454,$A545)</f>
        <v>0.7</v>
      </c>
      <c r="K545" t="e">
        <f>AVERAGEIFS('Region 24'!$W$2:$W$454,'Region 24'!$A$2:$A$454,K$1,'Region 24'!$X$2:$X$454,$D545,'Region 24'!$S$2:$S$454,$A545)</f>
        <v>#DIV/0!</v>
      </c>
      <c r="L545" t="e">
        <f>AVERAGEIFS('Region 24'!$W$2:$W$454,'Region 24'!$A$2:$A$454,L$1,'Region 24'!$X$2:$X$454,$D545,'Region 24'!$S$2:$S$454,$A545)</f>
        <v>#DIV/0!</v>
      </c>
      <c r="M545" t="e">
        <f>AVERAGEIFS('Region 24'!$W$2:$W$454,'Region 24'!$A$2:$A$454,M$1,'Region 24'!$X$2:$X$454,$D545,'Region 24'!$S$2:$S$454,$A545)</f>
        <v>#DIV/0!</v>
      </c>
      <c r="N545" t="e">
        <f>AVERAGEIFS('Region 24'!$W$2:$W$454,'Region 24'!$A$2:$A$454,N$1,'Region 24'!$X$2:$X$454,$D545,'Region 24'!$S$2:$S$454,$A545)</f>
        <v>#DIV/0!</v>
      </c>
      <c r="Q545" t="str">
        <f t="shared" si="535"/>
        <v>Glass</v>
      </c>
      <c r="R545" t="str">
        <f t="shared" si="536"/>
        <v>Detached</v>
      </c>
      <c r="S545">
        <f t="shared" si="537"/>
        <v>24</v>
      </c>
      <c r="T545" t="str">
        <f t="shared" si="518"/>
        <v>-</v>
      </c>
      <c r="U545" t="str">
        <f t="shared" si="519"/>
        <v>-</v>
      </c>
      <c r="V545" t="str">
        <f t="shared" si="520"/>
        <v>-</v>
      </c>
      <c r="W545">
        <f t="shared" si="521"/>
        <v>1.2380516684607104</v>
      </c>
      <c r="X545" t="str">
        <f t="shared" si="522"/>
        <v>-</v>
      </c>
      <c r="Y545">
        <f t="shared" si="523"/>
        <v>0.7</v>
      </c>
      <c r="Z545" t="str">
        <f t="shared" si="524"/>
        <v>-</v>
      </c>
      <c r="AA545" t="str">
        <f t="shared" si="525"/>
        <v>-</v>
      </c>
      <c r="AB545" t="str">
        <f t="shared" si="526"/>
        <v>-</v>
      </c>
      <c r="AC545" t="str">
        <f t="shared" si="527"/>
        <v>-</v>
      </c>
    </row>
    <row r="546" spans="1:29" x14ac:dyDescent="0.3">
      <c r="A546" t="s">
        <v>437</v>
      </c>
      <c r="B546" t="str">
        <f t="shared" ref="B546:D546" si="560">B442</f>
        <v>Detached</v>
      </c>
      <c r="C546">
        <f t="shared" si="560"/>
        <v>25</v>
      </c>
      <c r="D546">
        <f t="shared" si="560"/>
        <v>1</v>
      </c>
      <c r="E546" t="e">
        <f>AVERAGEIFS('Region 25'!$W$2:$W$499,'Region 25'!$A$2:$A$499,E$1,'Region 25'!$X$2:$X$499,$D546,'Region 25'!$S$2:$S$499,$A546)</f>
        <v>#DIV/0!</v>
      </c>
      <c r="F546" t="e">
        <f>AVERAGEIFS('Region 25'!$W$2:$W$499,'Region 25'!$A$2:$A$499,F$1,'Region 25'!$X$2:$X$499,$D546,'Region 25'!$S$2:$S$499,$A546)</f>
        <v>#DIV/0!</v>
      </c>
      <c r="G546" t="e">
        <f>AVERAGEIFS('Region 25'!$W$2:$W$499,'Region 25'!$A$2:$A$499,G$1,'Region 25'!$X$2:$X$499,$D546,'Region 25'!$S$2:$S$499,$A546)</f>
        <v>#DIV/0!</v>
      </c>
      <c r="H546" t="e">
        <f>AVERAGEIFS('Region 25'!$W$2:$W$499,'Region 25'!$A$2:$A$499,H$1,'Region 25'!$X$2:$X$499,$D546,'Region 25'!$S$2:$S$499,$A546)</f>
        <v>#DIV/0!</v>
      </c>
      <c r="I546" t="e">
        <f>AVERAGEIFS('Region 25'!$W$2:$W$499,'Region 25'!$A$2:$A$499,I$1,'Region 25'!$X$2:$X$499,$D546,'Region 25'!$S$2:$S$499,$A546)</f>
        <v>#DIV/0!</v>
      </c>
      <c r="J546" t="e">
        <f>AVERAGEIFS('Region 25'!$W$2:$W$499,'Region 25'!$A$2:$A$499,J$1,'Region 25'!$X$2:$X$499,$D546,'Region 25'!$S$2:$S$499,$A546)</f>
        <v>#DIV/0!</v>
      </c>
      <c r="K546" t="e">
        <f>AVERAGEIFS('Region 25'!$W$2:$W$499,'Region 25'!$A$2:$A$499,K$1,'Region 25'!$X$2:$X$499,$D546,'Region 25'!$S$2:$S$499,$A546)</f>
        <v>#DIV/0!</v>
      </c>
      <c r="L546" t="e">
        <f>AVERAGEIFS('Region 25'!$W$2:$W$499,'Region 25'!$A$2:$A$499,L$1,'Region 25'!$X$2:$X$499,$D546,'Region 25'!$S$2:$S$499,$A546)</f>
        <v>#DIV/0!</v>
      </c>
      <c r="M546" t="e">
        <f>AVERAGEIFS('Region 25'!$W$2:$W$499,'Region 25'!$A$2:$A$499,M$1,'Region 25'!$X$2:$X$499,$D546,'Region 25'!$S$2:$S$499,$A546)</f>
        <v>#DIV/0!</v>
      </c>
      <c r="N546" t="e">
        <f>AVERAGEIFS('Region 25'!$W$2:$W$499,'Region 25'!$A$2:$A$499,N$1,'Region 25'!$X$2:$X$499,$D546,'Region 25'!$S$2:$S$499,$A546)</f>
        <v>#DIV/0!</v>
      </c>
      <c r="Q546" t="str">
        <f t="shared" si="535"/>
        <v>Glass</v>
      </c>
      <c r="R546" t="str">
        <f t="shared" si="536"/>
        <v>Detached</v>
      </c>
      <c r="S546">
        <f t="shared" si="537"/>
        <v>25</v>
      </c>
      <c r="T546" t="str">
        <f t="shared" si="518"/>
        <v>-</v>
      </c>
      <c r="U546" t="str">
        <f t="shared" si="519"/>
        <v>-</v>
      </c>
      <c r="V546" t="str">
        <f t="shared" si="520"/>
        <v>-</v>
      </c>
      <c r="W546" t="str">
        <f t="shared" si="521"/>
        <v>-</v>
      </c>
      <c r="X546" t="str">
        <f t="shared" si="522"/>
        <v>-</v>
      </c>
      <c r="Y546" t="str">
        <f t="shared" si="523"/>
        <v>-</v>
      </c>
      <c r="Z546" t="str">
        <f t="shared" si="524"/>
        <v>-</v>
      </c>
      <c r="AA546" t="str">
        <f t="shared" si="525"/>
        <v>-</v>
      </c>
      <c r="AB546" t="str">
        <f t="shared" si="526"/>
        <v>-</v>
      </c>
      <c r="AC546" t="str">
        <f t="shared" si="527"/>
        <v>-</v>
      </c>
    </row>
    <row r="547" spans="1:29" x14ac:dyDescent="0.3">
      <c r="A547" t="s">
        <v>437</v>
      </c>
      <c r="B547" t="str">
        <f t="shared" ref="B547:D547" si="561">B443</f>
        <v>Detached</v>
      </c>
      <c r="C547">
        <f t="shared" si="561"/>
        <v>26</v>
      </c>
      <c r="D547">
        <f t="shared" si="561"/>
        <v>1</v>
      </c>
      <c r="E547" t="e">
        <f ca="1">AVERAGEIFS('Region 26'!$W$2:$W$500,'Region 26'!$A$2:$A$500,E$1,'Region 26'!$X$2:$X$500,$D547,'Region 26'!$S$2:$S$500,$A547)</f>
        <v>#DIV/0!</v>
      </c>
      <c r="F547" t="e">
        <f ca="1">AVERAGEIFS('Region 26'!$W$2:$W$500,'Region 26'!$A$2:$A$500,F$1,'Region 26'!$X$2:$X$500,$D547,'Region 26'!$S$2:$S$500,$A547)</f>
        <v>#DIV/0!</v>
      </c>
      <c r="G547" t="e">
        <f ca="1">AVERAGEIFS('Region 26'!$W$2:$W$500,'Region 26'!$A$2:$A$500,G$1,'Region 26'!$X$2:$X$500,$D547,'Region 26'!$S$2:$S$500,$A547)</f>
        <v>#DIV/0!</v>
      </c>
      <c r="H547" t="e">
        <f ca="1">AVERAGEIFS('Region 26'!$W$2:$W$500,'Region 26'!$A$2:$A$500,H$1,'Region 26'!$X$2:$X$500,$D547,'Region 26'!$S$2:$S$500,$A547)</f>
        <v>#DIV/0!</v>
      </c>
      <c r="I547" t="e">
        <f ca="1">AVERAGEIFS('Region 26'!$W$2:$W$500,'Region 26'!$A$2:$A$500,I$1,'Region 26'!$X$2:$X$500,$D547,'Region 26'!$S$2:$S$500,$A547)</f>
        <v>#DIV/0!</v>
      </c>
      <c r="J547" t="e">
        <f ca="1">AVERAGEIFS('Region 26'!$W$2:$W$500,'Region 26'!$A$2:$A$500,J$1,'Region 26'!$X$2:$X$500,$D547,'Region 26'!$S$2:$S$500,$A547)</f>
        <v>#DIV/0!</v>
      </c>
      <c r="K547" t="e">
        <f ca="1">AVERAGEIFS('Region 26'!$W$2:$W$500,'Region 26'!$A$2:$A$500,K$1,'Region 26'!$X$2:$X$500,$D547,'Region 26'!$S$2:$S$500,$A547)</f>
        <v>#DIV/0!</v>
      </c>
      <c r="L547" t="e">
        <f ca="1">AVERAGEIFS('Region 26'!$W$2:$W$500,'Region 26'!$A$2:$A$500,L$1,'Region 26'!$X$2:$X$500,$D547,'Region 26'!$S$2:$S$500,$A547)</f>
        <v>#DIV/0!</v>
      </c>
      <c r="M547" t="e">
        <f ca="1">AVERAGEIFS('Region 26'!$W$2:$W$500,'Region 26'!$A$2:$A$500,M$1,'Region 26'!$X$2:$X$500,$D547,'Region 26'!$S$2:$S$500,$A547)</f>
        <v>#DIV/0!</v>
      </c>
      <c r="N547" t="e">
        <f ca="1">AVERAGEIFS('Region 26'!$W$2:$W$500,'Region 26'!$A$2:$A$500,N$1,'Region 26'!$X$2:$X$500,$D547,'Region 26'!$S$2:$S$500,$A547)</f>
        <v>#DIV/0!</v>
      </c>
      <c r="Q547" t="str">
        <f t="shared" si="535"/>
        <v>Glass</v>
      </c>
      <c r="R547" t="str">
        <f t="shared" si="536"/>
        <v>Detached</v>
      </c>
      <c r="S547">
        <f t="shared" si="537"/>
        <v>26</v>
      </c>
      <c r="T547" t="str">
        <f t="shared" ca="1" si="518"/>
        <v>-</v>
      </c>
      <c r="U547" t="str">
        <f t="shared" ca="1" si="519"/>
        <v>-</v>
      </c>
      <c r="V547" t="str">
        <f t="shared" ca="1" si="520"/>
        <v>-</v>
      </c>
      <c r="W547" t="str">
        <f t="shared" ca="1" si="521"/>
        <v>-</v>
      </c>
      <c r="X547" t="str">
        <f t="shared" ca="1" si="522"/>
        <v>-</v>
      </c>
      <c r="Y547" t="str">
        <f t="shared" ca="1" si="523"/>
        <v>-</v>
      </c>
      <c r="Z547" t="str">
        <f t="shared" ca="1" si="524"/>
        <v>-</v>
      </c>
      <c r="AA547" t="str">
        <f t="shared" ca="1" si="525"/>
        <v>-</v>
      </c>
      <c r="AB547" t="str">
        <f t="shared" ca="1" si="526"/>
        <v>-</v>
      </c>
      <c r="AC547" t="str">
        <f t="shared" ca="1" si="527"/>
        <v>-</v>
      </c>
    </row>
    <row r="548" spans="1:29" x14ac:dyDescent="0.3">
      <c r="A548" t="s">
        <v>437</v>
      </c>
      <c r="B548" t="str">
        <f t="shared" ref="B548:D548" si="562">B444</f>
        <v>Semi-detached</v>
      </c>
      <c r="C548">
        <f t="shared" si="562"/>
        <v>1</v>
      </c>
      <c r="D548">
        <f t="shared" si="562"/>
        <v>2</v>
      </c>
      <c r="E548" t="e">
        <f>AVERAGEIFS('Region 1'!$W$2:$W$498,'Region 1'!$A$2:$A$498,E$1,'Region 1'!$X$2:$X$498,$D548,'Region 1'!$S$2:$S$498,$A548)</f>
        <v>#DIV/0!</v>
      </c>
      <c r="F548" t="e">
        <f>AVERAGEIFS('Region 1'!$W$2:$W$498,'Region 1'!$A$2:$A$498,F$1,'Region 1'!$X$2:$X$498,$D548,'Region 1'!$S$2:$S$498,$A548)</f>
        <v>#DIV/0!</v>
      </c>
      <c r="G548" t="e">
        <f>AVERAGEIFS('Region 1'!$W$2:$W$498,'Region 1'!$A$2:$A$498,G$1,'Region 1'!$X$2:$X$498,$D548,'Region 1'!$S$2:$S$498,$A548)</f>
        <v>#DIV/0!</v>
      </c>
      <c r="H548" t="e">
        <f>AVERAGEIFS('Region 1'!$W$2:$W$498,'Region 1'!$A$2:$A$498,H$1,'Region 1'!$X$2:$X$498,$D548,'Region 1'!$S$2:$S$498,$A548)</f>
        <v>#DIV/0!</v>
      </c>
      <c r="I548" t="e">
        <f>AVERAGEIFS('Region 1'!$W$2:$W$498,'Region 1'!$A$2:$A$498,I$1,'Region 1'!$X$2:$X$498,$D548,'Region 1'!$S$2:$S$498,$A548)</f>
        <v>#DIV/0!</v>
      </c>
      <c r="J548" t="e">
        <f>AVERAGEIFS('Region 1'!$W$2:$W$498,'Region 1'!$A$2:$A$498,J$1,'Region 1'!$X$2:$X$498,$D548,'Region 1'!$S$2:$S$498,$A548)</f>
        <v>#DIV/0!</v>
      </c>
      <c r="K548" t="e">
        <f>AVERAGEIFS('Region 1'!$W$2:$W$498,'Region 1'!$A$2:$A$498,K$1,'Region 1'!$X$2:$X$498,$D548,'Region 1'!$S$2:$S$498,$A548)</f>
        <v>#DIV/0!</v>
      </c>
      <c r="L548" t="e">
        <f>AVERAGEIFS('Region 1'!$W$2:$W$498,'Region 1'!$A$2:$A$498,L$1,'Region 1'!$X$2:$X$498,$D548,'Region 1'!$S$2:$S$498,$A548)</f>
        <v>#DIV/0!</v>
      </c>
      <c r="M548" t="e">
        <f>AVERAGEIFS('Region 1'!$W$2:$W$498,'Region 1'!$A$2:$A$498,M$1,'Region 1'!$X$2:$X$498,$D548,'Region 1'!$S$2:$S$498,$A548)</f>
        <v>#DIV/0!</v>
      </c>
      <c r="N548" t="e">
        <f>AVERAGEIFS('Region 1'!$W$2:$W$498,'Region 1'!$A$2:$A$498,N$1,'Region 1'!$X$2:$X$498,$D548,'Region 1'!$S$2:$S$498,$A548)</f>
        <v>#DIV/0!</v>
      </c>
      <c r="Q548" t="str">
        <f t="shared" si="535"/>
        <v>Glass</v>
      </c>
      <c r="R548" t="str">
        <f t="shared" si="536"/>
        <v>Semi-detached</v>
      </c>
      <c r="S548">
        <f t="shared" si="537"/>
        <v>1</v>
      </c>
      <c r="T548" t="str">
        <f t="shared" si="518"/>
        <v>-</v>
      </c>
      <c r="U548" t="str">
        <f t="shared" si="519"/>
        <v>-</v>
      </c>
      <c r="V548" t="str">
        <f t="shared" si="520"/>
        <v>-</v>
      </c>
      <c r="W548" t="str">
        <f t="shared" si="521"/>
        <v>-</v>
      </c>
      <c r="X548" t="str">
        <f t="shared" si="522"/>
        <v>-</v>
      </c>
      <c r="Y548" t="str">
        <f t="shared" si="523"/>
        <v>-</v>
      </c>
      <c r="Z548" t="str">
        <f t="shared" si="524"/>
        <v>-</v>
      </c>
      <c r="AA548" t="str">
        <f t="shared" si="525"/>
        <v>-</v>
      </c>
      <c r="AB548" t="str">
        <f t="shared" si="526"/>
        <v>-</v>
      </c>
      <c r="AC548" t="str">
        <f t="shared" si="527"/>
        <v>-</v>
      </c>
    </row>
    <row r="549" spans="1:29" x14ac:dyDescent="0.3">
      <c r="A549" t="s">
        <v>437</v>
      </c>
      <c r="B549" t="str">
        <f t="shared" ref="B549:D549" si="563">B445</f>
        <v>Semi-detached</v>
      </c>
      <c r="C549">
        <f t="shared" si="563"/>
        <v>2</v>
      </c>
      <c r="D549">
        <f t="shared" si="563"/>
        <v>2</v>
      </c>
      <c r="E549" t="e">
        <f>AVERAGEIFS('Region 2'!$W$2:$W$498,'Region 2'!$A$2:$A$498,E$1,'Region 2'!$X$2:$X$498,$D549,'Region 2'!$S$2:$S$498,$A549)</f>
        <v>#DIV/0!</v>
      </c>
      <c r="F549" t="e">
        <f>AVERAGEIFS('Region 2'!$W$2:$W$498,'Region 2'!$A$2:$A$498,F$1,'Region 2'!$X$2:$X$498,$D549,'Region 2'!$S$2:$S$498,$A549)</f>
        <v>#DIV/0!</v>
      </c>
      <c r="G549" t="e">
        <f>AVERAGEIFS('Region 2'!$W$2:$W$498,'Region 2'!$A$2:$A$498,G$1,'Region 2'!$X$2:$X$498,$D549,'Region 2'!$S$2:$S$498,$A549)</f>
        <v>#DIV/0!</v>
      </c>
      <c r="H549" t="e">
        <f>AVERAGEIFS('Region 2'!$W$2:$W$498,'Region 2'!$A$2:$A$498,H$1,'Region 2'!$X$2:$X$498,$D549,'Region 2'!$S$2:$S$498,$A549)</f>
        <v>#DIV/0!</v>
      </c>
      <c r="I549" t="e">
        <f>AVERAGEIFS('Region 2'!$W$2:$W$498,'Region 2'!$A$2:$A$498,I$1,'Region 2'!$X$2:$X$498,$D549,'Region 2'!$S$2:$S$498,$A549)</f>
        <v>#DIV/0!</v>
      </c>
      <c r="J549" t="e">
        <f>AVERAGEIFS('Region 2'!$W$2:$W$498,'Region 2'!$A$2:$A$498,J$1,'Region 2'!$X$2:$X$498,$D549,'Region 2'!$S$2:$S$498,$A549)</f>
        <v>#DIV/0!</v>
      </c>
      <c r="K549" t="e">
        <f>AVERAGEIFS('Region 2'!$W$2:$W$498,'Region 2'!$A$2:$A$498,K$1,'Region 2'!$X$2:$X$498,$D549,'Region 2'!$S$2:$S$498,$A549)</f>
        <v>#DIV/0!</v>
      </c>
      <c r="L549" t="e">
        <f>AVERAGEIFS('Region 2'!$W$2:$W$498,'Region 2'!$A$2:$A$498,L$1,'Region 2'!$X$2:$X$498,$D549,'Region 2'!$S$2:$S$498,$A549)</f>
        <v>#DIV/0!</v>
      </c>
      <c r="M549" t="e">
        <f>AVERAGEIFS('Region 2'!$W$2:$W$498,'Region 2'!$A$2:$A$498,M$1,'Region 2'!$X$2:$X$498,$D549,'Region 2'!$S$2:$S$498,$A549)</f>
        <v>#DIV/0!</v>
      </c>
      <c r="N549" t="e">
        <f>AVERAGEIFS('Region 2'!$W$2:$W$498,'Region 2'!$A$2:$A$498,N$1,'Region 2'!$X$2:$X$498,$D549,'Region 2'!$S$2:$S$498,$A549)</f>
        <v>#DIV/0!</v>
      </c>
      <c r="Q549" t="str">
        <f t="shared" si="535"/>
        <v>Glass</v>
      </c>
      <c r="R549" t="str">
        <f t="shared" si="536"/>
        <v>Semi-detached</v>
      </c>
      <c r="S549">
        <f t="shared" si="537"/>
        <v>2</v>
      </c>
      <c r="T549" t="str">
        <f t="shared" si="518"/>
        <v>-</v>
      </c>
      <c r="U549" t="str">
        <f t="shared" si="519"/>
        <v>-</v>
      </c>
      <c r="V549" t="str">
        <f t="shared" si="520"/>
        <v>-</v>
      </c>
      <c r="W549" t="str">
        <f t="shared" si="521"/>
        <v>-</v>
      </c>
      <c r="X549" t="str">
        <f t="shared" si="522"/>
        <v>-</v>
      </c>
      <c r="Y549" t="str">
        <f t="shared" si="523"/>
        <v>-</v>
      </c>
      <c r="Z549" t="str">
        <f t="shared" si="524"/>
        <v>-</v>
      </c>
      <c r="AA549" t="str">
        <f t="shared" si="525"/>
        <v>-</v>
      </c>
      <c r="AB549" t="str">
        <f t="shared" si="526"/>
        <v>-</v>
      </c>
      <c r="AC549" t="str">
        <f t="shared" si="527"/>
        <v>-</v>
      </c>
    </row>
    <row r="550" spans="1:29" x14ac:dyDescent="0.3">
      <c r="A550" t="s">
        <v>437</v>
      </c>
      <c r="B550" t="str">
        <f t="shared" ref="B550:D550" si="564">B446</f>
        <v>Semi-detached</v>
      </c>
      <c r="C550">
        <f t="shared" si="564"/>
        <v>3</v>
      </c>
      <c r="D550">
        <f t="shared" si="564"/>
        <v>2</v>
      </c>
      <c r="E550" t="e">
        <f ca="1">AVERAGEIFS('Region 3'!$W$2:$W$500,'Region 3'!$A$2:$A$500,E$1,'Region 3'!$X$2:$X$500,$D550,'Region 3'!$S$2:$S$500,$A550)</f>
        <v>#DIV/0!</v>
      </c>
      <c r="F550" t="e">
        <f ca="1">AVERAGEIFS('Region 3'!$W$2:$W$500,'Region 3'!$A$2:$A$500,F$1,'Region 3'!$X$2:$X$500,$D550,'Region 3'!$S$2:$S$500,$A550)</f>
        <v>#DIV/0!</v>
      </c>
      <c r="G550" t="e">
        <f ca="1">AVERAGEIFS('Region 3'!$W$2:$W$500,'Region 3'!$A$2:$A$500,G$1,'Region 3'!$X$2:$X$500,$D550,'Region 3'!$S$2:$S$500,$A550)</f>
        <v>#DIV/0!</v>
      </c>
      <c r="H550" t="e">
        <f ca="1">AVERAGEIFS('Region 3'!$W$2:$W$500,'Region 3'!$A$2:$A$500,H$1,'Region 3'!$X$2:$X$500,$D550,'Region 3'!$S$2:$S$500,$A550)</f>
        <v>#DIV/0!</v>
      </c>
      <c r="I550" t="e">
        <f ca="1">AVERAGEIFS('Region 3'!$W$2:$W$500,'Region 3'!$A$2:$A$500,I$1,'Region 3'!$X$2:$X$500,$D550,'Region 3'!$S$2:$S$500,$A550)</f>
        <v>#DIV/0!</v>
      </c>
      <c r="J550" t="e">
        <f ca="1">AVERAGEIFS('Region 3'!$W$2:$W$500,'Region 3'!$A$2:$A$500,J$1,'Region 3'!$X$2:$X$500,$D550,'Region 3'!$S$2:$S$500,$A550)</f>
        <v>#DIV/0!</v>
      </c>
      <c r="K550" t="e">
        <f ca="1">AVERAGEIFS('Region 3'!$W$2:$W$500,'Region 3'!$A$2:$A$500,K$1,'Region 3'!$X$2:$X$500,$D550,'Region 3'!$S$2:$S$500,$A550)</f>
        <v>#DIV/0!</v>
      </c>
      <c r="L550" t="e">
        <f ca="1">AVERAGEIFS('Region 3'!$W$2:$W$500,'Region 3'!$A$2:$A$500,L$1,'Region 3'!$X$2:$X$500,$D550,'Region 3'!$S$2:$S$500,$A550)</f>
        <v>#DIV/0!</v>
      </c>
      <c r="M550" t="e">
        <f ca="1">AVERAGEIFS('Region 3'!$W$2:$W$500,'Region 3'!$A$2:$A$500,M$1,'Region 3'!$X$2:$X$500,$D550,'Region 3'!$S$2:$S$500,$A550)</f>
        <v>#DIV/0!</v>
      </c>
      <c r="N550" t="e">
        <f ca="1">AVERAGEIFS('Region 3'!$W$2:$W$500,'Region 3'!$A$2:$A$500,N$1,'Region 3'!$X$2:$X$500,$D550,'Region 3'!$S$2:$S$500,$A550)</f>
        <v>#DIV/0!</v>
      </c>
      <c r="Q550" t="str">
        <f t="shared" si="535"/>
        <v>Glass</v>
      </c>
      <c r="R550" t="str">
        <f t="shared" si="536"/>
        <v>Semi-detached</v>
      </c>
      <c r="S550">
        <f t="shared" si="537"/>
        <v>3</v>
      </c>
      <c r="T550" t="str">
        <f t="shared" ca="1" si="518"/>
        <v>-</v>
      </c>
      <c r="U550" t="str">
        <f t="shared" ca="1" si="519"/>
        <v>-</v>
      </c>
      <c r="V550" t="str">
        <f t="shared" ca="1" si="520"/>
        <v>-</v>
      </c>
      <c r="W550" t="str">
        <f t="shared" ca="1" si="521"/>
        <v>-</v>
      </c>
      <c r="X550" t="str">
        <f t="shared" ca="1" si="522"/>
        <v>-</v>
      </c>
      <c r="Y550" t="str">
        <f t="shared" ca="1" si="523"/>
        <v>-</v>
      </c>
      <c r="Z550" t="str">
        <f t="shared" ca="1" si="524"/>
        <v>-</v>
      </c>
      <c r="AA550" t="str">
        <f t="shared" ca="1" si="525"/>
        <v>-</v>
      </c>
      <c r="AB550" t="str">
        <f t="shared" ca="1" si="526"/>
        <v>-</v>
      </c>
      <c r="AC550" t="str">
        <f t="shared" ca="1" si="527"/>
        <v>-</v>
      </c>
    </row>
    <row r="551" spans="1:29" x14ac:dyDescent="0.3">
      <c r="A551" t="s">
        <v>437</v>
      </c>
      <c r="B551" t="str">
        <f t="shared" ref="B551:D551" si="565">B447</f>
        <v>Semi-detached</v>
      </c>
      <c r="C551">
        <f t="shared" si="565"/>
        <v>4</v>
      </c>
      <c r="D551">
        <f t="shared" si="565"/>
        <v>2</v>
      </c>
      <c r="E551" t="e">
        <f>AVERAGEIFS('Region 4'!$W$2:$W$10,'Region 4'!$A$2:$A$10,E$1,'Region 4'!$X$2:$X$10,$D551,'Region 4'!$S$2:$S$10,$A551)</f>
        <v>#DIV/0!</v>
      </c>
      <c r="F551" t="e">
        <f>AVERAGEIFS('Region 4'!$W$2:$W$10,'Region 4'!$A$2:$A$10,F$1,'Region 4'!$X$2:$X$10,$D551,'Region 4'!$S$2:$S$10,$A551)</f>
        <v>#DIV/0!</v>
      </c>
      <c r="G551" t="e">
        <f>AVERAGEIFS('Region 4'!$W$2:$W$10,'Region 4'!$A$2:$A$10,G$1,'Region 4'!$X$2:$X$10,$D551,'Region 4'!$S$2:$S$10,$A551)</f>
        <v>#DIV/0!</v>
      </c>
      <c r="H551" t="e">
        <f>AVERAGEIFS('Region 4'!$W$2:$W$10,'Region 4'!$A$2:$A$10,H$1,'Region 4'!$X$2:$X$10,$D551,'Region 4'!$S$2:$S$10,$A551)</f>
        <v>#DIV/0!</v>
      </c>
      <c r="I551" t="e">
        <f>AVERAGEIFS('Region 4'!$W$2:$W$10,'Region 4'!$A$2:$A$10,I$1,'Region 4'!$X$2:$X$10,$D551,'Region 4'!$S$2:$S$10,$A551)</f>
        <v>#DIV/0!</v>
      </c>
      <c r="J551" t="e">
        <f>AVERAGEIFS('Region 4'!$W$2:$W$10,'Region 4'!$A$2:$A$10,J$1,'Region 4'!$X$2:$X$10,$D551,'Region 4'!$S$2:$S$10,$A551)</f>
        <v>#DIV/0!</v>
      </c>
      <c r="K551" t="e">
        <f>AVERAGEIFS('Region 4'!$W$2:$W$10,'Region 4'!$A$2:$A$10,K$1,'Region 4'!$X$2:$X$10,$D551,'Region 4'!$S$2:$S$10,$A551)</f>
        <v>#DIV/0!</v>
      </c>
      <c r="L551" t="e">
        <f>AVERAGEIFS('Region 4'!$W$2:$W$10,'Region 4'!$A$2:$A$10,L$1,'Region 4'!$X$2:$X$10,$D551,'Region 4'!$S$2:$S$10,$A551)</f>
        <v>#DIV/0!</v>
      </c>
      <c r="M551" t="e">
        <f>AVERAGEIFS('Region 4'!$W$2:$W$10,'Region 4'!$A$2:$A$10,M$1,'Region 4'!$X$2:$X$10,$D551,'Region 4'!$S$2:$S$10,$A551)</f>
        <v>#DIV/0!</v>
      </c>
      <c r="N551" t="e">
        <f>AVERAGEIFS('Region 4'!$W$2:$W$10,'Region 4'!$A$2:$A$10,N$1,'Region 4'!$X$2:$X$10,$D551,'Region 4'!$S$2:$S$10,$A551)</f>
        <v>#DIV/0!</v>
      </c>
      <c r="Q551" t="str">
        <f t="shared" si="535"/>
        <v>Glass</v>
      </c>
      <c r="R551" t="str">
        <f t="shared" si="536"/>
        <v>Semi-detached</v>
      </c>
      <c r="S551">
        <f t="shared" si="537"/>
        <v>4</v>
      </c>
      <c r="T551" t="str">
        <f t="shared" si="518"/>
        <v>-</v>
      </c>
      <c r="U551" t="str">
        <f t="shared" si="519"/>
        <v>-</v>
      </c>
      <c r="V551" t="str">
        <f t="shared" si="520"/>
        <v>-</v>
      </c>
      <c r="W551" t="str">
        <f t="shared" si="521"/>
        <v>-</v>
      </c>
      <c r="X551" t="str">
        <f t="shared" si="522"/>
        <v>-</v>
      </c>
      <c r="Y551" t="str">
        <f t="shared" si="523"/>
        <v>-</v>
      </c>
      <c r="Z551" t="str">
        <f t="shared" si="524"/>
        <v>-</v>
      </c>
      <c r="AA551" t="str">
        <f t="shared" si="525"/>
        <v>-</v>
      </c>
      <c r="AB551" t="str">
        <f t="shared" si="526"/>
        <v>-</v>
      </c>
      <c r="AC551" t="str">
        <f t="shared" si="527"/>
        <v>-</v>
      </c>
    </row>
    <row r="552" spans="1:29" x14ac:dyDescent="0.3">
      <c r="A552" t="s">
        <v>437</v>
      </c>
      <c r="B552" t="str">
        <f t="shared" ref="B552:D552" si="566">B448</f>
        <v>Semi-detached</v>
      </c>
      <c r="C552">
        <f t="shared" si="566"/>
        <v>5</v>
      </c>
      <c r="D552">
        <f t="shared" si="566"/>
        <v>2</v>
      </c>
      <c r="E552" t="e">
        <f>AVERAGEIFS('Region 5'!$W$2:$W$496,'Region 5'!$A$2:$A$496,E$1,'Region 5'!$X$2:$X$496,$D552,'Region 5'!$S$2:$S$496,$A552)</f>
        <v>#DIV/0!</v>
      </c>
      <c r="F552" t="e">
        <f>AVERAGEIFS('Region 5'!$W$2:$W$496,'Region 5'!$A$2:$A$496,F$1,'Region 5'!$X$2:$X$496,$D552,'Region 5'!$S$2:$S$496,$A552)</f>
        <v>#DIV/0!</v>
      </c>
      <c r="G552" t="e">
        <f>AVERAGEIFS('Region 5'!$W$2:$W$496,'Region 5'!$A$2:$A$496,G$1,'Region 5'!$X$2:$X$496,$D552,'Region 5'!$S$2:$S$496,$A552)</f>
        <v>#DIV/0!</v>
      </c>
      <c r="H552" t="e">
        <f>AVERAGEIFS('Region 5'!$W$2:$W$496,'Region 5'!$A$2:$A$496,H$1,'Region 5'!$X$2:$X$496,$D552,'Region 5'!$S$2:$S$496,$A552)</f>
        <v>#DIV/0!</v>
      </c>
      <c r="I552" t="e">
        <f>AVERAGEIFS('Region 5'!$W$2:$W$496,'Region 5'!$A$2:$A$496,I$1,'Region 5'!$X$2:$X$496,$D552,'Region 5'!$S$2:$S$496,$A552)</f>
        <v>#DIV/0!</v>
      </c>
      <c r="J552" t="e">
        <f>AVERAGEIFS('Region 5'!$W$2:$W$496,'Region 5'!$A$2:$A$496,J$1,'Region 5'!$X$2:$X$496,$D552,'Region 5'!$S$2:$S$496,$A552)</f>
        <v>#DIV/0!</v>
      </c>
      <c r="K552" t="e">
        <f>AVERAGEIFS('Region 5'!$W$2:$W$496,'Region 5'!$A$2:$A$496,K$1,'Region 5'!$X$2:$X$496,$D552,'Region 5'!$S$2:$S$496,$A552)</f>
        <v>#DIV/0!</v>
      </c>
      <c r="L552" t="e">
        <f>AVERAGEIFS('Region 5'!$W$2:$W$496,'Region 5'!$A$2:$A$496,L$1,'Region 5'!$X$2:$X$496,$D552,'Region 5'!$S$2:$S$496,$A552)</f>
        <v>#DIV/0!</v>
      </c>
      <c r="M552" t="e">
        <f>AVERAGEIFS('Region 5'!$W$2:$W$496,'Region 5'!$A$2:$A$496,M$1,'Region 5'!$X$2:$X$496,$D552,'Region 5'!$S$2:$S$496,$A552)</f>
        <v>#DIV/0!</v>
      </c>
      <c r="N552" t="e">
        <f>AVERAGEIFS('Region 5'!$W$2:$W$496,'Region 5'!$A$2:$A$496,N$1,'Region 5'!$X$2:$X$496,$D552,'Region 5'!$S$2:$S$496,$A552)</f>
        <v>#DIV/0!</v>
      </c>
      <c r="Q552" t="str">
        <f t="shared" si="535"/>
        <v>Glass</v>
      </c>
      <c r="R552" t="str">
        <f t="shared" si="536"/>
        <v>Semi-detached</v>
      </c>
      <c r="S552">
        <f t="shared" si="537"/>
        <v>5</v>
      </c>
      <c r="T552" t="str">
        <f t="shared" si="518"/>
        <v>-</v>
      </c>
      <c r="U552" t="str">
        <f t="shared" si="519"/>
        <v>-</v>
      </c>
      <c r="V552" t="str">
        <f t="shared" si="520"/>
        <v>-</v>
      </c>
      <c r="W552" t="str">
        <f t="shared" si="521"/>
        <v>-</v>
      </c>
      <c r="X552" t="str">
        <f t="shared" si="522"/>
        <v>-</v>
      </c>
      <c r="Y552" t="str">
        <f t="shared" si="523"/>
        <v>-</v>
      </c>
      <c r="Z552" t="str">
        <f t="shared" si="524"/>
        <v>-</v>
      </c>
      <c r="AA552" t="str">
        <f t="shared" si="525"/>
        <v>-</v>
      </c>
      <c r="AB552" t="str">
        <f t="shared" si="526"/>
        <v>-</v>
      </c>
      <c r="AC552" t="str">
        <f t="shared" si="527"/>
        <v>-</v>
      </c>
    </row>
    <row r="553" spans="1:29" x14ac:dyDescent="0.3">
      <c r="A553" t="s">
        <v>437</v>
      </c>
      <c r="B553" t="str">
        <f t="shared" ref="B553:D553" si="567">B449</f>
        <v>Semi-detached</v>
      </c>
      <c r="C553">
        <f t="shared" si="567"/>
        <v>6</v>
      </c>
      <c r="D553">
        <f t="shared" si="567"/>
        <v>2</v>
      </c>
      <c r="E553" t="e">
        <f>AVERAGEIFS('Region 6'!$W$2:$W$496,'Region 6'!$A$2:$A$496,E$1,'Region 6'!$X$2:$X$496,$D553,'Region 6'!$S$2:$S$496,$A553)</f>
        <v>#DIV/0!</v>
      </c>
      <c r="F553" t="e">
        <f>AVERAGEIFS('Region 6'!$W$2:$W$496,'Region 6'!$A$2:$A$496,F$1,'Region 6'!$X$2:$X$496,$D553,'Region 6'!$S$2:$S$496,$A553)</f>
        <v>#DIV/0!</v>
      </c>
      <c r="G553">
        <f>AVERAGEIFS('Region 6'!$W$2:$W$496,'Region 6'!$A$2:$A$496,G$1,'Region 6'!$X$2:$X$496,$D553,'Region 6'!$S$2:$S$496,$A553)</f>
        <v>1.0714285714285714</v>
      </c>
      <c r="H553" t="e">
        <f>AVERAGEIFS('Region 6'!$W$2:$W$496,'Region 6'!$A$2:$A$496,H$1,'Region 6'!$X$2:$X$496,$D553,'Region 6'!$S$2:$S$496,$A553)</f>
        <v>#DIV/0!</v>
      </c>
      <c r="I553" t="e">
        <f>AVERAGEIFS('Region 6'!$W$2:$W$496,'Region 6'!$A$2:$A$496,I$1,'Region 6'!$X$2:$X$496,$D553,'Region 6'!$S$2:$S$496,$A553)</f>
        <v>#DIV/0!</v>
      </c>
      <c r="J553" t="e">
        <f>AVERAGEIFS('Region 6'!$W$2:$W$496,'Region 6'!$A$2:$A$496,J$1,'Region 6'!$X$2:$X$496,$D553,'Region 6'!$S$2:$S$496,$A553)</f>
        <v>#DIV/0!</v>
      </c>
      <c r="K553" t="e">
        <f>AVERAGEIFS('Region 6'!$W$2:$W$496,'Region 6'!$A$2:$A$496,K$1,'Region 6'!$X$2:$X$496,$D553,'Region 6'!$S$2:$S$496,$A553)</f>
        <v>#DIV/0!</v>
      </c>
      <c r="L553" t="e">
        <f>AVERAGEIFS('Region 6'!$W$2:$W$496,'Region 6'!$A$2:$A$496,L$1,'Region 6'!$X$2:$X$496,$D553,'Region 6'!$S$2:$S$496,$A553)</f>
        <v>#DIV/0!</v>
      </c>
      <c r="M553" t="e">
        <f>AVERAGEIFS('Region 6'!$W$2:$W$496,'Region 6'!$A$2:$A$496,M$1,'Region 6'!$X$2:$X$496,$D553,'Region 6'!$S$2:$S$496,$A553)</f>
        <v>#DIV/0!</v>
      </c>
      <c r="N553" t="e">
        <f>AVERAGEIFS('Region 6'!$W$2:$W$496,'Region 6'!$A$2:$A$496,N$1,'Region 6'!$X$2:$X$496,$D553,'Region 6'!$S$2:$S$496,$A553)</f>
        <v>#DIV/0!</v>
      </c>
      <c r="Q553" t="str">
        <f t="shared" si="535"/>
        <v>Glass</v>
      </c>
      <c r="R553" t="str">
        <f t="shared" si="536"/>
        <v>Semi-detached</v>
      </c>
      <c r="S553">
        <f t="shared" si="537"/>
        <v>6</v>
      </c>
      <c r="T553" t="str">
        <f t="shared" si="518"/>
        <v>-</v>
      </c>
      <c r="U553" t="str">
        <f t="shared" si="519"/>
        <v>-</v>
      </c>
      <c r="V553">
        <f>IF(ISNUMBER(G553),G553,"-")</f>
        <v>1.0714285714285714</v>
      </c>
      <c r="W553" t="str">
        <f t="shared" si="521"/>
        <v>-</v>
      </c>
      <c r="X553" t="str">
        <f t="shared" si="522"/>
        <v>-</v>
      </c>
      <c r="Y553" t="str">
        <f t="shared" si="523"/>
        <v>-</v>
      </c>
      <c r="Z553" t="str">
        <f t="shared" si="524"/>
        <v>-</v>
      </c>
      <c r="AA553" t="str">
        <f t="shared" si="525"/>
        <v>-</v>
      </c>
      <c r="AB553" t="str">
        <f t="shared" si="526"/>
        <v>-</v>
      </c>
      <c r="AC553" t="str">
        <f t="shared" si="527"/>
        <v>-</v>
      </c>
    </row>
    <row r="554" spans="1:29" x14ac:dyDescent="0.3">
      <c r="A554" t="s">
        <v>437</v>
      </c>
      <c r="B554" t="str">
        <f t="shared" ref="B554:D554" si="568">B450</f>
        <v>Semi-detached</v>
      </c>
      <c r="C554">
        <f t="shared" si="568"/>
        <v>7</v>
      </c>
      <c r="D554">
        <f t="shared" si="568"/>
        <v>2</v>
      </c>
      <c r="E554" t="e">
        <f ca="1">AVERAGEIFS('Region 7'!$W$2:$W$500,'Region 7'!$A$2:$A$500,E$1,'Region 7'!$X$2:$X$500,$D554,'Region 7'!$S$2:$S$500,$A554)</f>
        <v>#DIV/0!</v>
      </c>
      <c r="F554" t="e">
        <f ca="1">AVERAGEIFS('Region 7'!$W$2:$W$500,'Region 7'!$A$2:$A$500,F$1,'Region 7'!$X$2:$X$500,$D554,'Region 7'!$S$2:$S$500,$A554)</f>
        <v>#DIV/0!</v>
      </c>
      <c r="G554" t="e">
        <f ca="1">AVERAGEIFS('Region 7'!$W$2:$W$500,'Region 7'!$A$2:$A$500,G$1,'Region 7'!$X$2:$X$500,$D554,'Region 7'!$S$2:$S$500,$A554)</f>
        <v>#DIV/0!</v>
      </c>
      <c r="H554" t="e">
        <f ca="1">AVERAGEIFS('Region 7'!$W$2:$W$500,'Region 7'!$A$2:$A$500,H$1,'Region 7'!$X$2:$X$500,$D554,'Region 7'!$S$2:$S$500,$A554)</f>
        <v>#DIV/0!</v>
      </c>
      <c r="I554" t="e">
        <f ca="1">AVERAGEIFS('Region 7'!$W$2:$W$500,'Region 7'!$A$2:$A$500,I$1,'Region 7'!$X$2:$X$500,$D554,'Region 7'!$S$2:$S$500,$A554)</f>
        <v>#DIV/0!</v>
      </c>
      <c r="J554" t="e">
        <f ca="1">AVERAGEIFS('Region 7'!$W$2:$W$500,'Region 7'!$A$2:$A$500,J$1,'Region 7'!$X$2:$X$500,$D554,'Region 7'!$S$2:$S$500,$A554)</f>
        <v>#DIV/0!</v>
      </c>
      <c r="K554" t="e">
        <f ca="1">AVERAGEIFS('Region 7'!$W$2:$W$500,'Region 7'!$A$2:$A$500,K$1,'Region 7'!$X$2:$X$500,$D554,'Region 7'!$S$2:$S$500,$A554)</f>
        <v>#DIV/0!</v>
      </c>
      <c r="L554" t="e">
        <f ca="1">AVERAGEIFS('Region 7'!$W$2:$W$500,'Region 7'!$A$2:$A$500,L$1,'Region 7'!$X$2:$X$500,$D554,'Region 7'!$S$2:$S$500,$A554)</f>
        <v>#DIV/0!</v>
      </c>
      <c r="M554" t="e">
        <f ca="1">AVERAGEIFS('Region 7'!$W$2:$W$500,'Region 7'!$A$2:$A$500,M$1,'Region 7'!$X$2:$X$500,$D554,'Region 7'!$S$2:$S$500,$A554)</f>
        <v>#DIV/0!</v>
      </c>
      <c r="N554" t="e">
        <f ca="1">AVERAGEIFS('Region 7'!$W$2:$W$500,'Region 7'!$A$2:$A$500,N$1,'Region 7'!$X$2:$X$500,$D554,'Region 7'!$S$2:$S$500,$A554)</f>
        <v>#DIV/0!</v>
      </c>
      <c r="Q554" t="str">
        <f t="shared" si="535"/>
        <v>Glass</v>
      </c>
      <c r="R554" t="str">
        <f t="shared" si="536"/>
        <v>Semi-detached</v>
      </c>
      <c r="S554">
        <f t="shared" si="537"/>
        <v>7</v>
      </c>
      <c r="T554" t="str">
        <f t="shared" ca="1" si="518"/>
        <v>-</v>
      </c>
      <c r="U554" t="str">
        <f t="shared" ca="1" si="519"/>
        <v>-</v>
      </c>
      <c r="V554" t="str">
        <f t="shared" ca="1" si="520"/>
        <v>-</v>
      </c>
      <c r="W554" t="str">
        <f t="shared" ca="1" si="521"/>
        <v>-</v>
      </c>
      <c r="X554" t="str">
        <f t="shared" ca="1" si="522"/>
        <v>-</v>
      </c>
      <c r="Y554" t="str">
        <f t="shared" ca="1" si="523"/>
        <v>-</v>
      </c>
      <c r="Z554" t="str">
        <f t="shared" ca="1" si="524"/>
        <v>-</v>
      </c>
      <c r="AA554" t="str">
        <f t="shared" ca="1" si="525"/>
        <v>-</v>
      </c>
      <c r="AB554" t="str">
        <f t="shared" ca="1" si="526"/>
        <v>-</v>
      </c>
      <c r="AC554" t="str">
        <f t="shared" ca="1" si="527"/>
        <v>-</v>
      </c>
    </row>
    <row r="555" spans="1:29" x14ac:dyDescent="0.3">
      <c r="A555" t="s">
        <v>437</v>
      </c>
      <c r="B555" t="str">
        <f t="shared" ref="B555:D555" si="569">B451</f>
        <v>Semi-detached</v>
      </c>
      <c r="C555">
        <f t="shared" si="569"/>
        <v>8</v>
      </c>
      <c r="D555">
        <f t="shared" si="569"/>
        <v>2</v>
      </c>
      <c r="E555" t="e">
        <f>AVERAGEIFS('Region 8'!$W$2:$W$497,'Region 8'!$A$2:$A$497,E$1,'Region 8'!$X$2:$X$497,$D555,'Region 8'!$S$2:$S$497,$A555)</f>
        <v>#DIV/0!</v>
      </c>
      <c r="F555" t="e">
        <f>AVERAGEIFS('Region 8'!$W$2:$W$497,'Region 8'!$A$2:$A$497,F$1,'Region 8'!$X$2:$X$497,$D555,'Region 8'!$S$2:$S$497,$A555)</f>
        <v>#DIV/0!</v>
      </c>
      <c r="G555" t="e">
        <f>AVERAGEIFS('Region 8'!$W$2:$W$497,'Region 8'!$A$2:$A$497,G$1,'Region 8'!$X$2:$X$497,$D555,'Region 8'!$S$2:$S$497,$A555)</f>
        <v>#DIV/0!</v>
      </c>
      <c r="H555" t="e">
        <f>AVERAGEIFS('Region 8'!$W$2:$W$497,'Region 8'!$A$2:$A$497,H$1,'Region 8'!$X$2:$X$497,$D555,'Region 8'!$S$2:$S$497,$A555)</f>
        <v>#DIV/0!</v>
      </c>
      <c r="I555" t="e">
        <f>AVERAGEIFS('Region 8'!$W$2:$W$497,'Region 8'!$A$2:$A$497,I$1,'Region 8'!$X$2:$X$497,$D555,'Region 8'!$S$2:$S$497,$A555)</f>
        <v>#DIV/0!</v>
      </c>
      <c r="J555" t="e">
        <f>AVERAGEIFS('Region 8'!$W$2:$W$497,'Region 8'!$A$2:$A$497,J$1,'Region 8'!$X$2:$X$497,$D555,'Region 8'!$S$2:$S$497,$A555)</f>
        <v>#DIV/0!</v>
      </c>
      <c r="K555" t="e">
        <f>AVERAGEIFS('Region 8'!$W$2:$W$497,'Region 8'!$A$2:$A$497,K$1,'Region 8'!$X$2:$X$497,$D555,'Region 8'!$S$2:$S$497,$A555)</f>
        <v>#DIV/0!</v>
      </c>
      <c r="L555" t="e">
        <f>AVERAGEIFS('Region 8'!$W$2:$W$497,'Region 8'!$A$2:$A$497,L$1,'Region 8'!$X$2:$X$497,$D555,'Region 8'!$S$2:$S$497,$A555)</f>
        <v>#DIV/0!</v>
      </c>
      <c r="M555" t="e">
        <f>AVERAGEIFS('Region 8'!$W$2:$W$497,'Region 8'!$A$2:$A$497,M$1,'Region 8'!$X$2:$X$497,$D555,'Region 8'!$S$2:$S$497,$A555)</f>
        <v>#DIV/0!</v>
      </c>
      <c r="N555" t="e">
        <f>AVERAGEIFS('Region 8'!$W$2:$W$497,'Region 8'!$A$2:$A$497,N$1,'Region 8'!$X$2:$X$497,$D555,'Region 8'!$S$2:$S$497,$A555)</f>
        <v>#DIV/0!</v>
      </c>
      <c r="Q555" t="str">
        <f t="shared" si="535"/>
        <v>Glass</v>
      </c>
      <c r="R555" t="str">
        <f t="shared" si="536"/>
        <v>Semi-detached</v>
      </c>
      <c r="S555">
        <f t="shared" si="537"/>
        <v>8</v>
      </c>
      <c r="T555" t="str">
        <f t="shared" si="518"/>
        <v>-</v>
      </c>
      <c r="U555" t="str">
        <f t="shared" si="519"/>
        <v>-</v>
      </c>
      <c r="V555" t="str">
        <f t="shared" si="520"/>
        <v>-</v>
      </c>
      <c r="W555" t="str">
        <f t="shared" si="521"/>
        <v>-</v>
      </c>
      <c r="X555" t="str">
        <f t="shared" si="522"/>
        <v>-</v>
      </c>
      <c r="Y555" t="str">
        <f t="shared" si="523"/>
        <v>-</v>
      </c>
      <c r="Z555" t="str">
        <f t="shared" si="524"/>
        <v>-</v>
      </c>
      <c r="AA555" t="str">
        <f t="shared" si="525"/>
        <v>-</v>
      </c>
      <c r="AB555" t="str">
        <f t="shared" si="526"/>
        <v>-</v>
      </c>
      <c r="AC555" t="str">
        <f t="shared" si="527"/>
        <v>-</v>
      </c>
    </row>
    <row r="556" spans="1:29" x14ac:dyDescent="0.3">
      <c r="A556" t="s">
        <v>437</v>
      </c>
      <c r="B556" t="str">
        <f t="shared" ref="B556:D556" si="570">B452</f>
        <v>Semi-detached</v>
      </c>
      <c r="C556">
        <f t="shared" si="570"/>
        <v>9</v>
      </c>
      <c r="D556">
        <f t="shared" si="570"/>
        <v>2</v>
      </c>
      <c r="E556" t="e">
        <f ca="1">AVERAGEIFS('Region 9'!$W$2:$W$500,'Region 9'!$A$2:$A$500,E$1,'Region 9'!$X$2:$X$500,$D556,'Region 9'!$S$2:$S$500,$A556)</f>
        <v>#DIV/0!</v>
      </c>
      <c r="F556" t="e">
        <f ca="1">AVERAGEIFS('Region 9'!$W$2:$W$500,'Region 9'!$A$2:$A$500,F$1,'Region 9'!$X$2:$X$500,$D556,'Region 9'!$S$2:$S$500,$A556)</f>
        <v>#DIV/0!</v>
      </c>
      <c r="G556" t="e">
        <f ca="1">AVERAGEIFS('Region 9'!$W$2:$W$500,'Region 9'!$A$2:$A$500,G$1,'Region 9'!$X$2:$X$500,$D556,'Region 9'!$S$2:$S$500,$A556)</f>
        <v>#DIV/0!</v>
      </c>
      <c r="H556" t="e">
        <f ca="1">AVERAGEIFS('Region 9'!$W$2:$W$500,'Region 9'!$A$2:$A$500,H$1,'Region 9'!$X$2:$X$500,$D556,'Region 9'!$S$2:$S$500,$A556)</f>
        <v>#DIV/0!</v>
      </c>
      <c r="I556" t="e">
        <f ca="1">AVERAGEIFS('Region 9'!$W$2:$W$500,'Region 9'!$A$2:$A$500,I$1,'Region 9'!$X$2:$X$500,$D556,'Region 9'!$S$2:$S$500,$A556)</f>
        <v>#DIV/0!</v>
      </c>
      <c r="J556" t="e">
        <f ca="1">AVERAGEIFS('Region 9'!$W$2:$W$500,'Region 9'!$A$2:$A$500,J$1,'Region 9'!$X$2:$X$500,$D556,'Region 9'!$S$2:$S$500,$A556)</f>
        <v>#DIV/0!</v>
      </c>
      <c r="K556" t="e">
        <f ca="1">AVERAGEIFS('Region 9'!$W$2:$W$500,'Region 9'!$A$2:$A$500,K$1,'Region 9'!$X$2:$X$500,$D556,'Region 9'!$S$2:$S$500,$A556)</f>
        <v>#DIV/0!</v>
      </c>
      <c r="L556" t="e">
        <f ca="1">AVERAGEIFS('Region 9'!$W$2:$W$500,'Region 9'!$A$2:$A$500,L$1,'Region 9'!$X$2:$X$500,$D556,'Region 9'!$S$2:$S$500,$A556)</f>
        <v>#DIV/0!</v>
      </c>
      <c r="M556" t="e">
        <f ca="1">AVERAGEIFS('Region 9'!$W$2:$W$500,'Region 9'!$A$2:$A$500,M$1,'Region 9'!$X$2:$X$500,$D556,'Region 9'!$S$2:$S$500,$A556)</f>
        <v>#DIV/0!</v>
      </c>
      <c r="N556" t="e">
        <f ca="1">AVERAGEIFS('Region 9'!$W$2:$W$500,'Region 9'!$A$2:$A$500,N$1,'Region 9'!$X$2:$X$500,$D556,'Region 9'!$S$2:$S$500,$A556)</f>
        <v>#DIV/0!</v>
      </c>
      <c r="Q556" t="str">
        <f t="shared" si="535"/>
        <v>Glass</v>
      </c>
      <c r="R556" t="str">
        <f t="shared" si="536"/>
        <v>Semi-detached</v>
      </c>
      <c r="S556">
        <f t="shared" si="537"/>
        <v>9</v>
      </c>
      <c r="T556" t="str">
        <f t="shared" ca="1" si="518"/>
        <v>-</v>
      </c>
      <c r="U556" t="str">
        <f t="shared" ca="1" si="519"/>
        <v>-</v>
      </c>
      <c r="V556" t="str">
        <f t="shared" ca="1" si="520"/>
        <v>-</v>
      </c>
      <c r="W556" t="str">
        <f t="shared" ca="1" si="521"/>
        <v>-</v>
      </c>
      <c r="X556" t="str">
        <f t="shared" ca="1" si="522"/>
        <v>-</v>
      </c>
      <c r="Y556" t="str">
        <f t="shared" ca="1" si="523"/>
        <v>-</v>
      </c>
      <c r="Z556" t="str">
        <f t="shared" ca="1" si="524"/>
        <v>-</v>
      </c>
      <c r="AA556" t="str">
        <f t="shared" ca="1" si="525"/>
        <v>-</v>
      </c>
      <c r="AB556" t="str">
        <f t="shared" ca="1" si="526"/>
        <v>-</v>
      </c>
      <c r="AC556" t="str">
        <f t="shared" ca="1" si="527"/>
        <v>-</v>
      </c>
    </row>
    <row r="557" spans="1:29" x14ac:dyDescent="0.3">
      <c r="A557" t="s">
        <v>437</v>
      </c>
      <c r="B557" t="str">
        <f t="shared" ref="B557:D557" si="571">B453</f>
        <v>Semi-detached</v>
      </c>
      <c r="C557">
        <f t="shared" si="571"/>
        <v>10</v>
      </c>
      <c r="D557">
        <f t="shared" si="571"/>
        <v>2</v>
      </c>
      <c r="E557" t="e">
        <f>AVERAGEIFS('Region 10'!$W$2:$W$500,'Region 10'!$A$2:$A$500,E$1,'Region 10'!$X$2:$X$500,$D557,'Region 10'!$S$2:$S$500,$A557)</f>
        <v>#DIV/0!</v>
      </c>
      <c r="F557" t="e">
        <f>AVERAGEIFS('Region 10'!$W$2:$W$500,'Region 10'!$A$2:$A$500,F$1,'Region 10'!$X$2:$X$500,$D557,'Region 10'!$S$2:$S$500,$A557)</f>
        <v>#DIV/0!</v>
      </c>
      <c r="G557" t="e">
        <f>AVERAGEIFS('Region 10'!$W$2:$W$500,'Region 10'!$A$2:$A$500,G$1,'Region 10'!$X$2:$X$500,$D557,'Region 10'!$S$2:$S$500,$A557)</f>
        <v>#DIV/0!</v>
      </c>
      <c r="H557" t="e">
        <f>AVERAGEIFS('Region 10'!$W$2:$W$500,'Region 10'!$A$2:$A$500,H$1,'Region 10'!$X$2:$X$500,$D557,'Region 10'!$S$2:$S$500,$A557)</f>
        <v>#DIV/0!</v>
      </c>
      <c r="I557" t="e">
        <f>AVERAGEIFS('Region 10'!$W$2:$W$500,'Region 10'!$A$2:$A$500,I$1,'Region 10'!$X$2:$X$500,$D557,'Region 10'!$S$2:$S$500,$A557)</f>
        <v>#DIV/0!</v>
      </c>
      <c r="J557" t="e">
        <f>AVERAGEIFS('Region 10'!$W$2:$W$500,'Region 10'!$A$2:$A$500,J$1,'Region 10'!$X$2:$X$500,$D557,'Region 10'!$S$2:$S$500,$A557)</f>
        <v>#DIV/0!</v>
      </c>
      <c r="K557" t="e">
        <f>AVERAGEIFS('Region 10'!$W$2:$W$500,'Region 10'!$A$2:$A$500,K$1,'Region 10'!$X$2:$X$500,$D557,'Region 10'!$S$2:$S$500,$A557)</f>
        <v>#DIV/0!</v>
      </c>
      <c r="L557" t="e">
        <f>AVERAGEIFS('Region 10'!$W$2:$W$500,'Region 10'!$A$2:$A$500,L$1,'Region 10'!$X$2:$X$500,$D557,'Region 10'!$S$2:$S$500,$A557)</f>
        <v>#DIV/0!</v>
      </c>
      <c r="M557" t="e">
        <f>AVERAGEIFS('Region 10'!$W$2:$W$500,'Region 10'!$A$2:$A$500,M$1,'Region 10'!$X$2:$X$500,$D557,'Region 10'!$S$2:$S$500,$A557)</f>
        <v>#DIV/0!</v>
      </c>
      <c r="N557" t="e">
        <f>AVERAGEIFS('Region 10'!$W$2:$W$500,'Region 10'!$A$2:$A$500,N$1,'Region 10'!$X$2:$X$500,$D557,'Region 10'!$S$2:$S$500,$A557)</f>
        <v>#DIV/0!</v>
      </c>
      <c r="Q557" t="str">
        <f t="shared" si="535"/>
        <v>Glass</v>
      </c>
      <c r="R557" t="str">
        <f t="shared" si="536"/>
        <v>Semi-detached</v>
      </c>
      <c r="S557">
        <f t="shared" si="537"/>
        <v>10</v>
      </c>
      <c r="T557" t="str">
        <f t="shared" si="518"/>
        <v>-</v>
      </c>
      <c r="U557" t="str">
        <f t="shared" si="519"/>
        <v>-</v>
      </c>
      <c r="V557" t="str">
        <f t="shared" si="520"/>
        <v>-</v>
      </c>
      <c r="W557" t="str">
        <f t="shared" si="521"/>
        <v>-</v>
      </c>
      <c r="X557" t="str">
        <f t="shared" si="522"/>
        <v>-</v>
      </c>
      <c r="Y557" t="str">
        <f t="shared" si="523"/>
        <v>-</v>
      </c>
      <c r="Z557" t="str">
        <f t="shared" si="524"/>
        <v>-</v>
      </c>
      <c r="AA557" t="str">
        <f t="shared" si="525"/>
        <v>-</v>
      </c>
      <c r="AB557" t="str">
        <f t="shared" si="526"/>
        <v>-</v>
      </c>
      <c r="AC557" t="str">
        <f t="shared" si="527"/>
        <v>-</v>
      </c>
    </row>
    <row r="558" spans="1:29" x14ac:dyDescent="0.3">
      <c r="A558" t="s">
        <v>437</v>
      </c>
      <c r="B558" t="str">
        <f t="shared" ref="B558:D558" si="572">B454</f>
        <v>Semi-detached</v>
      </c>
      <c r="C558">
        <f t="shared" si="572"/>
        <v>11</v>
      </c>
      <c r="D558">
        <f t="shared" si="572"/>
        <v>2</v>
      </c>
      <c r="E558" t="e">
        <f>AVERAGEIFS('Region 11'!$W$2:$W$391,'Region 11'!$A$2:$A$391,E$1,'Region 11'!$X$2:$X$391,$D558,'Region 11'!$S$2:$S$391,$A558)</f>
        <v>#DIV/0!</v>
      </c>
      <c r="F558" t="e">
        <f>AVERAGEIFS('Region 11'!$W$2:$W$391,'Region 11'!$A$2:$A$391,F$1,'Region 11'!$X$2:$X$391,$D558,'Region 11'!$S$2:$S$391,$A558)</f>
        <v>#DIV/0!</v>
      </c>
      <c r="G558" t="e">
        <f>AVERAGEIFS('Region 11'!$W$2:$W$391,'Region 11'!$A$2:$A$391,G$1,'Region 11'!$X$2:$X$391,$D558,'Region 11'!$S$2:$S$391,$A558)</f>
        <v>#DIV/0!</v>
      </c>
      <c r="H558" t="e">
        <f>AVERAGEIFS('Region 11'!$W$2:$W$391,'Region 11'!$A$2:$A$391,H$1,'Region 11'!$X$2:$X$391,$D558,'Region 11'!$S$2:$S$391,$A558)</f>
        <v>#DIV/0!</v>
      </c>
      <c r="I558" t="e">
        <f>AVERAGEIFS('Region 11'!$W$2:$W$391,'Region 11'!$A$2:$A$391,I$1,'Region 11'!$X$2:$X$391,$D558,'Region 11'!$S$2:$S$391,$A558)</f>
        <v>#DIV/0!</v>
      </c>
      <c r="J558" t="e">
        <f>AVERAGEIFS('Region 11'!$W$2:$W$391,'Region 11'!$A$2:$A$391,J$1,'Region 11'!$X$2:$X$391,$D558,'Region 11'!$S$2:$S$391,$A558)</f>
        <v>#DIV/0!</v>
      </c>
      <c r="K558" t="e">
        <f>AVERAGEIFS('Region 11'!$W$2:$W$391,'Region 11'!$A$2:$A$391,K$1,'Region 11'!$X$2:$X$391,$D558,'Region 11'!$S$2:$S$391,$A558)</f>
        <v>#DIV/0!</v>
      </c>
      <c r="L558" t="e">
        <f>AVERAGEIFS('Region 11'!$W$2:$W$391,'Region 11'!$A$2:$A$391,L$1,'Region 11'!$X$2:$X$391,$D558,'Region 11'!$S$2:$S$391,$A558)</f>
        <v>#DIV/0!</v>
      </c>
      <c r="M558" t="e">
        <f>AVERAGEIFS('Region 11'!$W$2:$W$391,'Region 11'!$A$2:$A$391,M$1,'Region 11'!$X$2:$X$391,$D558,'Region 11'!$S$2:$S$391,$A558)</f>
        <v>#DIV/0!</v>
      </c>
      <c r="N558" t="e">
        <f>AVERAGEIFS('Region 11'!$W$2:$W$391,'Region 11'!$A$2:$A$391,N$1,'Region 11'!$X$2:$X$391,$D558,'Region 11'!$S$2:$S$391,$A558)</f>
        <v>#DIV/0!</v>
      </c>
      <c r="Q558" t="str">
        <f t="shared" si="535"/>
        <v>Glass</v>
      </c>
      <c r="R558" t="str">
        <f t="shared" si="536"/>
        <v>Semi-detached</v>
      </c>
      <c r="S558">
        <f t="shared" si="537"/>
        <v>11</v>
      </c>
      <c r="T558" t="str">
        <f t="shared" si="518"/>
        <v>-</v>
      </c>
      <c r="U558" t="str">
        <f t="shared" si="519"/>
        <v>-</v>
      </c>
      <c r="V558" t="str">
        <f t="shared" si="520"/>
        <v>-</v>
      </c>
      <c r="W558" t="str">
        <f t="shared" si="521"/>
        <v>-</v>
      </c>
      <c r="X558" t="str">
        <f t="shared" si="522"/>
        <v>-</v>
      </c>
      <c r="Y558" t="str">
        <f t="shared" si="523"/>
        <v>-</v>
      </c>
      <c r="Z558" t="str">
        <f t="shared" si="524"/>
        <v>-</v>
      </c>
      <c r="AA558" t="str">
        <f t="shared" si="525"/>
        <v>-</v>
      </c>
      <c r="AB558" t="str">
        <f t="shared" si="526"/>
        <v>-</v>
      </c>
      <c r="AC558" t="str">
        <f t="shared" si="527"/>
        <v>-</v>
      </c>
    </row>
    <row r="559" spans="1:29" x14ac:dyDescent="0.3">
      <c r="A559" t="s">
        <v>437</v>
      </c>
      <c r="B559" t="str">
        <f t="shared" ref="B559:D559" si="573">B455</f>
        <v>Semi-detached</v>
      </c>
      <c r="C559">
        <f t="shared" si="573"/>
        <v>12</v>
      </c>
      <c r="D559">
        <f t="shared" si="573"/>
        <v>2</v>
      </c>
      <c r="E559" t="e">
        <f>AVERAGEIFS('Region 12'!$W$2:$W$459,'Region 12'!$A$2:$A$459,E$1,'Region 12'!$X$2:$X$459,$D559,'Region 12'!$S$2:$S$459,$A559)</f>
        <v>#DIV/0!</v>
      </c>
      <c r="F559" t="e">
        <f>AVERAGEIFS('Region 12'!$W$2:$W$459,'Region 12'!$A$2:$A$459,F$1,'Region 12'!$X$2:$X$459,$D559,'Region 12'!$S$2:$S$459,$A559)</f>
        <v>#DIV/0!</v>
      </c>
      <c r="G559" t="e">
        <f>AVERAGEIFS('Region 12'!$W$2:$W$459,'Region 12'!$A$2:$A$459,G$1,'Region 12'!$X$2:$X$459,$D559,'Region 12'!$S$2:$S$459,$A559)</f>
        <v>#DIV/0!</v>
      </c>
      <c r="H559" t="e">
        <f>AVERAGEIFS('Region 12'!$W$2:$W$459,'Region 12'!$A$2:$A$459,H$1,'Region 12'!$X$2:$X$459,$D559,'Region 12'!$S$2:$S$459,$A559)</f>
        <v>#DIV/0!</v>
      </c>
      <c r="I559" t="e">
        <f>AVERAGEIFS('Region 12'!$W$2:$W$459,'Region 12'!$A$2:$A$459,I$1,'Region 12'!$X$2:$X$459,$D559,'Region 12'!$S$2:$S$459,$A559)</f>
        <v>#DIV/0!</v>
      </c>
      <c r="J559" t="e">
        <f>AVERAGEIFS('Region 12'!$W$2:$W$459,'Region 12'!$A$2:$A$459,J$1,'Region 12'!$X$2:$X$459,$D559,'Region 12'!$S$2:$S$459,$A559)</f>
        <v>#DIV/0!</v>
      </c>
      <c r="K559" t="e">
        <f>AVERAGEIFS('Region 12'!$W$2:$W$459,'Region 12'!$A$2:$A$459,K$1,'Region 12'!$X$2:$X$459,$D559,'Region 12'!$S$2:$S$459,$A559)</f>
        <v>#DIV/0!</v>
      </c>
      <c r="L559" t="e">
        <f>AVERAGEIFS('Region 12'!$W$2:$W$459,'Region 12'!$A$2:$A$459,L$1,'Region 12'!$X$2:$X$459,$D559,'Region 12'!$S$2:$S$459,$A559)</f>
        <v>#DIV/0!</v>
      </c>
      <c r="M559" t="e">
        <f>AVERAGEIFS('Region 12'!$W$2:$W$459,'Region 12'!$A$2:$A$459,M$1,'Region 12'!$X$2:$X$459,$D559,'Region 12'!$S$2:$S$459,$A559)</f>
        <v>#DIV/0!</v>
      </c>
      <c r="N559" t="e">
        <f>AVERAGEIFS('Region 12'!$W$2:$W$459,'Region 12'!$A$2:$A$459,N$1,'Region 12'!$X$2:$X$459,$D559,'Region 12'!$S$2:$S$459,$A559)</f>
        <v>#DIV/0!</v>
      </c>
      <c r="Q559" t="str">
        <f t="shared" si="535"/>
        <v>Glass</v>
      </c>
      <c r="R559" t="str">
        <f t="shared" si="536"/>
        <v>Semi-detached</v>
      </c>
      <c r="S559">
        <f t="shared" si="537"/>
        <v>12</v>
      </c>
      <c r="T559" t="str">
        <f t="shared" si="518"/>
        <v>-</v>
      </c>
      <c r="U559" t="str">
        <f t="shared" si="519"/>
        <v>-</v>
      </c>
      <c r="V559" t="str">
        <f t="shared" si="520"/>
        <v>-</v>
      </c>
      <c r="W559" t="str">
        <f t="shared" si="521"/>
        <v>-</v>
      </c>
      <c r="X559" t="str">
        <f t="shared" si="522"/>
        <v>-</v>
      </c>
      <c r="Y559" t="str">
        <f t="shared" si="523"/>
        <v>-</v>
      </c>
      <c r="Z559" t="str">
        <f t="shared" si="524"/>
        <v>-</v>
      </c>
      <c r="AA559" t="str">
        <f t="shared" si="525"/>
        <v>-</v>
      </c>
      <c r="AB559" t="str">
        <f t="shared" si="526"/>
        <v>-</v>
      </c>
      <c r="AC559" t="str">
        <f t="shared" si="527"/>
        <v>-</v>
      </c>
    </row>
    <row r="560" spans="1:29" x14ac:dyDescent="0.3">
      <c r="A560" t="s">
        <v>437</v>
      </c>
      <c r="B560" t="str">
        <f t="shared" ref="B560:D560" si="574">B456</f>
        <v>Semi-detached</v>
      </c>
      <c r="C560">
        <f t="shared" si="574"/>
        <v>13</v>
      </c>
      <c r="D560">
        <f t="shared" si="574"/>
        <v>2</v>
      </c>
      <c r="E560" t="e">
        <f>AVERAGEIFS('Region 13'!$W$2:$W$500,'Region 13'!$A$2:$A$500,E$1,'Region 13'!$X$2:$X$500,$D560,'Region 13'!$S$2:$S$500,$A560)</f>
        <v>#DIV/0!</v>
      </c>
      <c r="F560" t="e">
        <f>AVERAGEIFS('Region 13'!$W$2:$W$500,'Region 13'!$A$2:$A$500,F$1,'Region 13'!$X$2:$X$500,$D560,'Region 13'!$S$2:$S$500,$A560)</f>
        <v>#DIV/0!</v>
      </c>
      <c r="G560" t="e">
        <f>AVERAGEIFS('Region 13'!$W$2:$W$500,'Region 13'!$A$2:$A$500,G$1,'Region 13'!$X$2:$X$500,$D560,'Region 13'!$S$2:$S$500,$A560)</f>
        <v>#DIV/0!</v>
      </c>
      <c r="H560" t="e">
        <f>AVERAGEIFS('Region 13'!$W$2:$W$500,'Region 13'!$A$2:$A$500,H$1,'Region 13'!$X$2:$X$500,$D560,'Region 13'!$S$2:$S$500,$A560)</f>
        <v>#DIV/0!</v>
      </c>
      <c r="I560" t="e">
        <f>AVERAGEIFS('Region 13'!$W$2:$W$500,'Region 13'!$A$2:$A$500,I$1,'Region 13'!$X$2:$X$500,$D560,'Region 13'!$S$2:$S$500,$A560)</f>
        <v>#DIV/0!</v>
      </c>
      <c r="J560" t="e">
        <f>AVERAGEIFS('Region 13'!$W$2:$W$500,'Region 13'!$A$2:$A$500,J$1,'Region 13'!$X$2:$X$500,$D560,'Region 13'!$S$2:$S$500,$A560)</f>
        <v>#DIV/0!</v>
      </c>
      <c r="K560" t="e">
        <f>AVERAGEIFS('Region 13'!$W$2:$W$500,'Region 13'!$A$2:$A$500,K$1,'Region 13'!$X$2:$X$500,$D560,'Region 13'!$S$2:$S$500,$A560)</f>
        <v>#DIV/0!</v>
      </c>
      <c r="L560" t="e">
        <f>AVERAGEIFS('Region 13'!$W$2:$W$500,'Region 13'!$A$2:$A$500,L$1,'Region 13'!$X$2:$X$500,$D560,'Region 13'!$S$2:$S$500,$A560)</f>
        <v>#DIV/0!</v>
      </c>
      <c r="M560" t="e">
        <f>AVERAGEIFS('Region 13'!$W$2:$W$500,'Region 13'!$A$2:$A$500,M$1,'Region 13'!$X$2:$X$500,$D560,'Region 13'!$S$2:$S$500,$A560)</f>
        <v>#DIV/0!</v>
      </c>
      <c r="N560" t="e">
        <f>AVERAGEIFS('Region 13'!$W$2:$W$500,'Region 13'!$A$2:$A$500,N$1,'Region 13'!$X$2:$X$500,$D560,'Region 13'!$S$2:$S$500,$A560)</f>
        <v>#DIV/0!</v>
      </c>
      <c r="Q560" t="str">
        <f t="shared" si="535"/>
        <v>Glass</v>
      </c>
      <c r="R560" t="str">
        <f t="shared" si="536"/>
        <v>Semi-detached</v>
      </c>
      <c r="S560">
        <f t="shared" si="537"/>
        <v>13</v>
      </c>
      <c r="T560" t="str">
        <f t="shared" si="518"/>
        <v>-</v>
      </c>
      <c r="U560" t="str">
        <f t="shared" si="519"/>
        <v>-</v>
      </c>
      <c r="V560" t="str">
        <f t="shared" si="520"/>
        <v>-</v>
      </c>
      <c r="W560" t="str">
        <f t="shared" si="521"/>
        <v>-</v>
      </c>
      <c r="X560" t="str">
        <f t="shared" si="522"/>
        <v>-</v>
      </c>
      <c r="Y560" t="str">
        <f t="shared" si="523"/>
        <v>-</v>
      </c>
      <c r="Z560" t="str">
        <f t="shared" si="524"/>
        <v>-</v>
      </c>
      <c r="AA560" t="str">
        <f t="shared" si="525"/>
        <v>-</v>
      </c>
      <c r="AB560" t="str">
        <f t="shared" si="526"/>
        <v>-</v>
      </c>
      <c r="AC560" t="str">
        <f t="shared" si="527"/>
        <v>-</v>
      </c>
    </row>
    <row r="561" spans="1:29" x14ac:dyDescent="0.3">
      <c r="A561" t="s">
        <v>437</v>
      </c>
      <c r="B561" t="str">
        <f t="shared" ref="B561:D561" si="575">B457</f>
        <v>Semi-detached</v>
      </c>
      <c r="C561">
        <f t="shared" si="575"/>
        <v>14</v>
      </c>
      <c r="D561">
        <f t="shared" si="575"/>
        <v>2</v>
      </c>
      <c r="E561" t="e">
        <f ca="1">AVERAGEIFS('Region 14'!$W$2:$W$500,'Region 14'!$A$2:$A$500,E$1,'Region 14'!$X$2:$X$500,$D561,'Region 14'!$S$2:$S$500,$A561)</f>
        <v>#DIV/0!</v>
      </c>
      <c r="F561" t="e">
        <f ca="1">AVERAGEIFS('Region 14'!$W$2:$W$500,'Region 14'!$A$2:$A$500,F$1,'Region 14'!$X$2:$X$500,$D561,'Region 14'!$S$2:$S$500,$A561)</f>
        <v>#DIV/0!</v>
      </c>
      <c r="G561" t="e">
        <f ca="1">AVERAGEIFS('Region 14'!$W$2:$W$500,'Region 14'!$A$2:$A$500,G$1,'Region 14'!$X$2:$X$500,$D561,'Region 14'!$S$2:$S$500,$A561)</f>
        <v>#DIV/0!</v>
      </c>
      <c r="H561" t="e">
        <f ca="1">AVERAGEIFS('Region 14'!$W$2:$W$500,'Region 14'!$A$2:$A$500,H$1,'Region 14'!$X$2:$X$500,$D561,'Region 14'!$S$2:$S$500,$A561)</f>
        <v>#DIV/0!</v>
      </c>
      <c r="I561" t="e">
        <f ca="1">AVERAGEIFS('Region 14'!$W$2:$W$500,'Region 14'!$A$2:$A$500,I$1,'Region 14'!$X$2:$X$500,$D561,'Region 14'!$S$2:$S$500,$A561)</f>
        <v>#DIV/0!</v>
      </c>
      <c r="J561" t="e">
        <f ca="1">AVERAGEIFS('Region 14'!$W$2:$W$500,'Region 14'!$A$2:$A$500,J$1,'Region 14'!$X$2:$X$500,$D561,'Region 14'!$S$2:$S$500,$A561)</f>
        <v>#DIV/0!</v>
      </c>
      <c r="K561" t="e">
        <f ca="1">AVERAGEIFS('Region 14'!$W$2:$W$500,'Region 14'!$A$2:$A$500,K$1,'Region 14'!$X$2:$X$500,$D561,'Region 14'!$S$2:$S$500,$A561)</f>
        <v>#DIV/0!</v>
      </c>
      <c r="L561" t="e">
        <f ca="1">AVERAGEIFS('Region 14'!$W$2:$W$500,'Region 14'!$A$2:$A$500,L$1,'Region 14'!$X$2:$X$500,$D561,'Region 14'!$S$2:$S$500,$A561)</f>
        <v>#DIV/0!</v>
      </c>
      <c r="M561" t="e">
        <f ca="1">AVERAGEIFS('Region 14'!$W$2:$W$500,'Region 14'!$A$2:$A$500,M$1,'Region 14'!$X$2:$X$500,$D561,'Region 14'!$S$2:$S$500,$A561)</f>
        <v>#DIV/0!</v>
      </c>
      <c r="N561" t="e">
        <f ca="1">AVERAGEIFS('Region 14'!$W$2:$W$500,'Region 14'!$A$2:$A$500,N$1,'Region 14'!$X$2:$X$500,$D561,'Region 14'!$S$2:$S$500,$A561)</f>
        <v>#DIV/0!</v>
      </c>
      <c r="Q561" t="str">
        <f t="shared" si="535"/>
        <v>Glass</v>
      </c>
      <c r="R561" t="str">
        <f t="shared" si="536"/>
        <v>Semi-detached</v>
      </c>
      <c r="S561">
        <f t="shared" si="537"/>
        <v>14</v>
      </c>
      <c r="T561" t="str">
        <f t="shared" ca="1" si="518"/>
        <v>-</v>
      </c>
      <c r="U561" t="str">
        <f t="shared" ca="1" si="519"/>
        <v>-</v>
      </c>
      <c r="V561" t="str">
        <f t="shared" ca="1" si="520"/>
        <v>-</v>
      </c>
      <c r="W561" t="str">
        <f t="shared" ca="1" si="521"/>
        <v>-</v>
      </c>
      <c r="X561" t="str">
        <f t="shared" ca="1" si="522"/>
        <v>-</v>
      </c>
      <c r="Y561" t="str">
        <f t="shared" ca="1" si="523"/>
        <v>-</v>
      </c>
      <c r="Z561" t="str">
        <f t="shared" ca="1" si="524"/>
        <v>-</v>
      </c>
      <c r="AA561" t="str">
        <f t="shared" ca="1" si="525"/>
        <v>-</v>
      </c>
      <c r="AB561" t="str">
        <f t="shared" ca="1" si="526"/>
        <v>-</v>
      </c>
      <c r="AC561" t="str">
        <f t="shared" ca="1" si="527"/>
        <v>-</v>
      </c>
    </row>
    <row r="562" spans="1:29" x14ac:dyDescent="0.3">
      <c r="A562" t="s">
        <v>437</v>
      </c>
      <c r="B562" t="str">
        <f t="shared" ref="B562:D562" si="576">B458</f>
        <v>Semi-detached</v>
      </c>
      <c r="C562">
        <f t="shared" si="576"/>
        <v>15</v>
      </c>
      <c r="D562">
        <f t="shared" si="576"/>
        <v>2</v>
      </c>
      <c r="E562" t="e">
        <f ca="1">AVERAGEIFS('Region 15'!$W$2:$W$500,'Region 15'!$A$2:$A$500,E$1,'Region 15'!$X$2:$X$500,$D562,'Region 15'!$S$2:$S$500,$A562)</f>
        <v>#DIV/0!</v>
      </c>
      <c r="F562" t="e">
        <f ca="1">AVERAGEIFS('Region 15'!$W$2:$W$500,'Region 15'!$A$2:$A$500,F$1,'Region 15'!$X$2:$X$500,$D562,'Region 15'!$S$2:$S$500,$A562)</f>
        <v>#DIV/0!</v>
      </c>
      <c r="G562" t="e">
        <f ca="1">AVERAGEIFS('Region 15'!$W$2:$W$500,'Region 15'!$A$2:$A$500,G$1,'Region 15'!$X$2:$X$500,$D562,'Region 15'!$S$2:$S$500,$A562)</f>
        <v>#DIV/0!</v>
      </c>
      <c r="H562" t="e">
        <f ca="1">AVERAGEIFS('Region 15'!$W$2:$W$500,'Region 15'!$A$2:$A$500,H$1,'Region 15'!$X$2:$X$500,$D562,'Region 15'!$S$2:$S$500,$A562)</f>
        <v>#DIV/0!</v>
      </c>
      <c r="I562" t="e">
        <f ca="1">AVERAGEIFS('Region 15'!$W$2:$W$500,'Region 15'!$A$2:$A$500,I$1,'Region 15'!$X$2:$X$500,$D562,'Region 15'!$S$2:$S$500,$A562)</f>
        <v>#DIV/0!</v>
      </c>
      <c r="J562" t="e">
        <f ca="1">AVERAGEIFS('Region 15'!$W$2:$W$500,'Region 15'!$A$2:$A$500,J$1,'Region 15'!$X$2:$X$500,$D562,'Region 15'!$S$2:$S$500,$A562)</f>
        <v>#DIV/0!</v>
      </c>
      <c r="K562" t="e">
        <f ca="1">AVERAGEIFS('Region 15'!$W$2:$W$500,'Region 15'!$A$2:$A$500,K$1,'Region 15'!$X$2:$X$500,$D562,'Region 15'!$S$2:$S$500,$A562)</f>
        <v>#DIV/0!</v>
      </c>
      <c r="L562" t="e">
        <f ca="1">AVERAGEIFS('Region 15'!$W$2:$W$500,'Region 15'!$A$2:$A$500,L$1,'Region 15'!$X$2:$X$500,$D562,'Region 15'!$S$2:$S$500,$A562)</f>
        <v>#DIV/0!</v>
      </c>
      <c r="M562" t="e">
        <f ca="1">AVERAGEIFS('Region 15'!$W$2:$W$500,'Region 15'!$A$2:$A$500,M$1,'Region 15'!$X$2:$X$500,$D562,'Region 15'!$S$2:$S$500,$A562)</f>
        <v>#DIV/0!</v>
      </c>
      <c r="N562" t="e">
        <f ca="1">AVERAGEIFS('Region 15'!$W$2:$W$500,'Region 15'!$A$2:$A$500,N$1,'Region 15'!$X$2:$X$500,$D562,'Region 15'!$S$2:$S$500,$A562)</f>
        <v>#DIV/0!</v>
      </c>
      <c r="Q562" t="str">
        <f t="shared" si="535"/>
        <v>Glass</v>
      </c>
      <c r="R562" t="str">
        <f t="shared" si="536"/>
        <v>Semi-detached</v>
      </c>
      <c r="S562">
        <f t="shared" si="537"/>
        <v>15</v>
      </c>
      <c r="T562" t="str">
        <f t="shared" ca="1" si="518"/>
        <v>-</v>
      </c>
      <c r="U562" t="str">
        <f t="shared" ca="1" si="519"/>
        <v>-</v>
      </c>
      <c r="V562" t="str">
        <f t="shared" ca="1" si="520"/>
        <v>-</v>
      </c>
      <c r="W562" t="str">
        <f t="shared" ca="1" si="521"/>
        <v>-</v>
      </c>
      <c r="X562" t="str">
        <f t="shared" ca="1" si="522"/>
        <v>-</v>
      </c>
      <c r="Y562" t="str">
        <f t="shared" ca="1" si="523"/>
        <v>-</v>
      </c>
      <c r="Z562" t="str">
        <f t="shared" ca="1" si="524"/>
        <v>-</v>
      </c>
      <c r="AA562" t="str">
        <f t="shared" ca="1" si="525"/>
        <v>-</v>
      </c>
      <c r="AB562" t="str">
        <f t="shared" ca="1" si="526"/>
        <v>-</v>
      </c>
      <c r="AC562" t="str">
        <f t="shared" ca="1" si="527"/>
        <v>-</v>
      </c>
    </row>
    <row r="563" spans="1:29" x14ac:dyDescent="0.3">
      <c r="A563" t="s">
        <v>437</v>
      </c>
      <c r="B563" t="str">
        <f t="shared" ref="B563:D563" si="577">B459</f>
        <v>Semi-detached</v>
      </c>
      <c r="C563">
        <f t="shared" si="577"/>
        <v>16</v>
      </c>
      <c r="D563">
        <f t="shared" si="577"/>
        <v>2</v>
      </c>
      <c r="E563" t="e">
        <f ca="1">AVERAGEIFS('Region 16'!$W$2:$W$500,'Region 16'!$A$2:$A$500,E$1,'Region 16'!$X$2:$X$500,$D563,'Region 16'!$S$2:$S$500,$A563)</f>
        <v>#DIV/0!</v>
      </c>
      <c r="F563" t="e">
        <f ca="1">AVERAGEIFS('Region 16'!$W$2:$W$500,'Region 16'!$A$2:$A$500,F$1,'Region 16'!$X$2:$X$500,$D563,'Region 16'!$S$2:$S$500,$A563)</f>
        <v>#DIV/0!</v>
      </c>
      <c r="G563" t="e">
        <f ca="1">AVERAGEIFS('Region 16'!$W$2:$W$500,'Region 16'!$A$2:$A$500,G$1,'Region 16'!$X$2:$X$500,$D563,'Region 16'!$S$2:$S$500,$A563)</f>
        <v>#DIV/0!</v>
      </c>
      <c r="H563" t="e">
        <f ca="1">AVERAGEIFS('Region 16'!$W$2:$W$500,'Region 16'!$A$2:$A$500,H$1,'Region 16'!$X$2:$X$500,$D563,'Region 16'!$S$2:$S$500,$A563)</f>
        <v>#DIV/0!</v>
      </c>
      <c r="I563" t="e">
        <f ca="1">AVERAGEIFS('Region 16'!$W$2:$W$500,'Region 16'!$A$2:$A$500,I$1,'Region 16'!$X$2:$X$500,$D563,'Region 16'!$S$2:$S$500,$A563)</f>
        <v>#DIV/0!</v>
      </c>
      <c r="J563" t="e">
        <f ca="1">AVERAGEIFS('Region 16'!$W$2:$W$500,'Region 16'!$A$2:$A$500,J$1,'Region 16'!$X$2:$X$500,$D563,'Region 16'!$S$2:$S$500,$A563)</f>
        <v>#DIV/0!</v>
      </c>
      <c r="K563" t="e">
        <f ca="1">AVERAGEIFS('Region 16'!$W$2:$W$500,'Region 16'!$A$2:$A$500,K$1,'Region 16'!$X$2:$X$500,$D563,'Region 16'!$S$2:$S$500,$A563)</f>
        <v>#DIV/0!</v>
      </c>
      <c r="L563" t="e">
        <f ca="1">AVERAGEIFS('Region 16'!$W$2:$W$500,'Region 16'!$A$2:$A$500,L$1,'Region 16'!$X$2:$X$500,$D563,'Region 16'!$S$2:$S$500,$A563)</f>
        <v>#DIV/0!</v>
      </c>
      <c r="M563" t="e">
        <f ca="1">AVERAGEIFS('Region 16'!$W$2:$W$500,'Region 16'!$A$2:$A$500,M$1,'Region 16'!$X$2:$X$500,$D563,'Region 16'!$S$2:$S$500,$A563)</f>
        <v>#DIV/0!</v>
      </c>
      <c r="N563" t="e">
        <f ca="1">AVERAGEIFS('Region 16'!$W$2:$W$500,'Region 16'!$A$2:$A$500,N$1,'Region 16'!$X$2:$X$500,$D563,'Region 16'!$S$2:$S$500,$A563)</f>
        <v>#DIV/0!</v>
      </c>
      <c r="Q563" t="str">
        <f t="shared" si="535"/>
        <v>Glass</v>
      </c>
      <c r="R563" t="str">
        <f t="shared" si="536"/>
        <v>Semi-detached</v>
      </c>
      <c r="S563">
        <f t="shared" si="537"/>
        <v>16</v>
      </c>
      <c r="T563" t="str">
        <f t="shared" ca="1" si="518"/>
        <v>-</v>
      </c>
      <c r="U563" t="str">
        <f t="shared" ca="1" si="519"/>
        <v>-</v>
      </c>
      <c r="V563" t="str">
        <f t="shared" ca="1" si="520"/>
        <v>-</v>
      </c>
      <c r="W563" t="str">
        <f t="shared" ca="1" si="521"/>
        <v>-</v>
      </c>
      <c r="X563" t="str">
        <f t="shared" ca="1" si="522"/>
        <v>-</v>
      </c>
      <c r="Y563" t="str">
        <f t="shared" ca="1" si="523"/>
        <v>-</v>
      </c>
      <c r="Z563" t="str">
        <f t="shared" ca="1" si="524"/>
        <v>-</v>
      </c>
      <c r="AA563" t="str">
        <f t="shared" ca="1" si="525"/>
        <v>-</v>
      </c>
      <c r="AB563" t="str">
        <f t="shared" ca="1" si="526"/>
        <v>-</v>
      </c>
      <c r="AC563" t="str">
        <f t="shared" ca="1" si="527"/>
        <v>-</v>
      </c>
    </row>
    <row r="564" spans="1:29" x14ac:dyDescent="0.3">
      <c r="A564" t="s">
        <v>437</v>
      </c>
      <c r="B564" t="str">
        <f t="shared" ref="B564:D564" si="578">B460</f>
        <v>Semi-detached</v>
      </c>
      <c r="C564">
        <f t="shared" si="578"/>
        <v>17</v>
      </c>
      <c r="D564">
        <f t="shared" si="578"/>
        <v>2</v>
      </c>
      <c r="E564" t="e">
        <f>AVERAGEIFS('Region 17'!$W$2:$W$498,'Region 17'!$A$2:$A$498,E$1,'Region 17'!$X$2:$X$498,$D564,'Region 17'!$S$2:$S$498,$A564)</f>
        <v>#DIV/0!</v>
      </c>
      <c r="F564" t="e">
        <f>AVERAGEIFS('Region 17'!$W$2:$W$498,'Region 17'!$A$2:$A$498,F$1,'Region 17'!$X$2:$X$498,$D564,'Region 17'!$S$2:$S$498,$A564)</f>
        <v>#DIV/0!</v>
      </c>
      <c r="G564" t="e">
        <f>AVERAGEIFS('Region 17'!$W$2:$W$498,'Region 17'!$A$2:$A$498,G$1,'Region 17'!$X$2:$X$498,$D564,'Region 17'!$S$2:$S$498,$A564)</f>
        <v>#DIV/0!</v>
      </c>
      <c r="H564" t="e">
        <f>AVERAGEIFS('Region 17'!$W$2:$W$498,'Region 17'!$A$2:$A$498,H$1,'Region 17'!$X$2:$X$498,$D564,'Region 17'!$S$2:$S$498,$A564)</f>
        <v>#DIV/0!</v>
      </c>
      <c r="I564" t="e">
        <f>AVERAGEIFS('Region 17'!$W$2:$W$498,'Region 17'!$A$2:$A$498,I$1,'Region 17'!$X$2:$X$498,$D564,'Region 17'!$S$2:$S$498,$A564)</f>
        <v>#DIV/0!</v>
      </c>
      <c r="J564" t="e">
        <f>AVERAGEIFS('Region 17'!$W$2:$W$498,'Region 17'!$A$2:$A$498,J$1,'Region 17'!$X$2:$X$498,$D564,'Region 17'!$S$2:$S$498,$A564)</f>
        <v>#DIV/0!</v>
      </c>
      <c r="K564" t="e">
        <f>AVERAGEIFS('Region 17'!$W$2:$W$498,'Region 17'!$A$2:$A$498,K$1,'Region 17'!$X$2:$X$498,$D564,'Region 17'!$S$2:$S$498,$A564)</f>
        <v>#DIV/0!</v>
      </c>
      <c r="L564" t="e">
        <f>AVERAGEIFS('Region 17'!$W$2:$W$498,'Region 17'!$A$2:$A$498,L$1,'Region 17'!$X$2:$X$498,$D564,'Region 17'!$S$2:$S$498,$A564)</f>
        <v>#DIV/0!</v>
      </c>
      <c r="M564" t="e">
        <f>AVERAGEIFS('Region 17'!$W$2:$W$498,'Region 17'!$A$2:$A$498,M$1,'Region 17'!$X$2:$X$498,$D564,'Region 17'!$S$2:$S$498,$A564)</f>
        <v>#DIV/0!</v>
      </c>
      <c r="N564" t="e">
        <f>AVERAGEIFS('Region 17'!$W$2:$W$498,'Region 17'!$A$2:$A$498,N$1,'Region 17'!$X$2:$X$498,$D564,'Region 17'!$S$2:$S$498,$A564)</f>
        <v>#DIV/0!</v>
      </c>
      <c r="Q564" t="str">
        <f t="shared" si="535"/>
        <v>Glass</v>
      </c>
      <c r="R564" t="str">
        <f t="shared" si="536"/>
        <v>Semi-detached</v>
      </c>
      <c r="S564">
        <f t="shared" si="537"/>
        <v>17</v>
      </c>
      <c r="T564" t="str">
        <f t="shared" si="518"/>
        <v>-</v>
      </c>
      <c r="U564" t="str">
        <f t="shared" si="519"/>
        <v>-</v>
      </c>
      <c r="V564" t="str">
        <f t="shared" si="520"/>
        <v>-</v>
      </c>
      <c r="W564" t="str">
        <f t="shared" si="521"/>
        <v>-</v>
      </c>
      <c r="X564" t="str">
        <f t="shared" si="522"/>
        <v>-</v>
      </c>
      <c r="Y564" t="str">
        <f t="shared" si="523"/>
        <v>-</v>
      </c>
      <c r="Z564" t="str">
        <f t="shared" si="524"/>
        <v>-</v>
      </c>
      <c r="AA564" t="str">
        <f t="shared" si="525"/>
        <v>-</v>
      </c>
      <c r="AB564" t="str">
        <f t="shared" si="526"/>
        <v>-</v>
      </c>
      <c r="AC564" t="str">
        <f t="shared" si="527"/>
        <v>-</v>
      </c>
    </row>
    <row r="565" spans="1:29" x14ac:dyDescent="0.3">
      <c r="A565" t="s">
        <v>437</v>
      </c>
      <c r="B565" t="str">
        <f t="shared" ref="B565:D565" si="579">B461</f>
        <v>Semi-detached</v>
      </c>
      <c r="C565">
        <f t="shared" si="579"/>
        <v>18</v>
      </c>
      <c r="D565">
        <f t="shared" si="579"/>
        <v>2</v>
      </c>
      <c r="E565" t="e">
        <f>AVERAGEIFS('Region 18'!$W$2:$W$468,'Region 18'!$A$2:$A$468,E$1,'Region 18'!$X$2:$X$468,$D565,'Region 18'!$S$2:$S$468,$A565)</f>
        <v>#DIV/0!</v>
      </c>
      <c r="F565" t="e">
        <f>AVERAGEIFS('Region 18'!$W$2:$W$468,'Region 18'!$A$2:$A$468,F$1,'Region 18'!$X$2:$X$468,$D565,'Region 18'!$S$2:$S$468,$A565)</f>
        <v>#DIV/0!</v>
      </c>
      <c r="G565" t="e">
        <f>AVERAGEIFS('Region 18'!$W$2:$W$468,'Region 18'!$A$2:$A$468,G$1,'Region 18'!$X$2:$X$468,$D565,'Region 18'!$S$2:$S$468,$A565)</f>
        <v>#DIV/0!</v>
      </c>
      <c r="H565" t="e">
        <f>AVERAGEIFS('Region 18'!$W$2:$W$468,'Region 18'!$A$2:$A$468,H$1,'Region 18'!$X$2:$X$468,$D565,'Region 18'!$S$2:$S$468,$A565)</f>
        <v>#DIV/0!</v>
      </c>
      <c r="I565" t="e">
        <f>AVERAGEIFS('Region 18'!$W$2:$W$468,'Region 18'!$A$2:$A$468,I$1,'Region 18'!$X$2:$X$468,$D565,'Region 18'!$S$2:$S$468,$A565)</f>
        <v>#DIV/0!</v>
      </c>
      <c r="J565" t="e">
        <f>AVERAGEIFS('Region 18'!$W$2:$W$468,'Region 18'!$A$2:$A$468,J$1,'Region 18'!$X$2:$X$468,$D565,'Region 18'!$S$2:$S$468,$A565)</f>
        <v>#DIV/0!</v>
      </c>
      <c r="K565" t="e">
        <f>AVERAGEIFS('Region 18'!$W$2:$W$468,'Region 18'!$A$2:$A$468,K$1,'Region 18'!$X$2:$X$468,$D565,'Region 18'!$S$2:$S$468,$A565)</f>
        <v>#DIV/0!</v>
      </c>
      <c r="L565" t="e">
        <f>AVERAGEIFS('Region 18'!$W$2:$W$468,'Region 18'!$A$2:$A$468,L$1,'Region 18'!$X$2:$X$468,$D565,'Region 18'!$S$2:$S$468,$A565)</f>
        <v>#DIV/0!</v>
      </c>
      <c r="M565" t="e">
        <f>AVERAGEIFS('Region 18'!$W$2:$W$468,'Region 18'!$A$2:$A$468,M$1,'Region 18'!$X$2:$X$468,$D565,'Region 18'!$S$2:$S$468,$A565)</f>
        <v>#DIV/0!</v>
      </c>
      <c r="N565" t="e">
        <f>AVERAGEIFS('Region 18'!$W$2:$W$468,'Region 18'!$A$2:$A$468,N$1,'Region 18'!$X$2:$X$468,$D565,'Region 18'!$S$2:$S$468,$A565)</f>
        <v>#DIV/0!</v>
      </c>
      <c r="Q565" t="str">
        <f t="shared" si="535"/>
        <v>Glass</v>
      </c>
      <c r="R565" t="str">
        <f t="shared" si="536"/>
        <v>Semi-detached</v>
      </c>
      <c r="S565">
        <f t="shared" si="537"/>
        <v>18</v>
      </c>
      <c r="T565" t="str">
        <f t="shared" si="518"/>
        <v>-</v>
      </c>
      <c r="U565" t="str">
        <f t="shared" si="519"/>
        <v>-</v>
      </c>
      <c r="V565" t="str">
        <f t="shared" si="520"/>
        <v>-</v>
      </c>
      <c r="W565" t="str">
        <f t="shared" si="521"/>
        <v>-</v>
      </c>
      <c r="X565" t="str">
        <f t="shared" si="522"/>
        <v>-</v>
      </c>
      <c r="Y565" t="str">
        <f t="shared" si="523"/>
        <v>-</v>
      </c>
      <c r="Z565" t="str">
        <f t="shared" si="524"/>
        <v>-</v>
      </c>
      <c r="AA565" t="str">
        <f t="shared" si="525"/>
        <v>-</v>
      </c>
      <c r="AB565" t="str">
        <f t="shared" si="526"/>
        <v>-</v>
      </c>
      <c r="AC565" t="str">
        <f t="shared" si="527"/>
        <v>-</v>
      </c>
    </row>
    <row r="566" spans="1:29" x14ac:dyDescent="0.3">
      <c r="A566" t="s">
        <v>437</v>
      </c>
      <c r="B566" t="str">
        <f t="shared" ref="B566:D566" si="580">B462</f>
        <v>Semi-detached</v>
      </c>
      <c r="C566">
        <f t="shared" si="580"/>
        <v>19</v>
      </c>
      <c r="D566">
        <f t="shared" si="580"/>
        <v>2</v>
      </c>
      <c r="E566" t="e">
        <f>AVERAGEIFS('Region 19'!$W$2:$W$494,'Region 19'!$A$2:$A$494,E$1,'Region 19'!$X$2:$X$494,$D566,'Region 19'!$S$2:$S$494,$A566)</f>
        <v>#DIV/0!</v>
      </c>
      <c r="F566" t="e">
        <f>AVERAGEIFS('Region 19'!$W$2:$W$494,'Region 19'!$A$2:$A$494,F$1,'Region 19'!$X$2:$X$494,$D566,'Region 19'!$S$2:$S$494,$A566)</f>
        <v>#DIV/0!</v>
      </c>
      <c r="G566" t="e">
        <f>AVERAGEIFS('Region 19'!$W$2:$W$494,'Region 19'!$A$2:$A$494,G$1,'Region 19'!$X$2:$X$494,$D566,'Region 19'!$S$2:$S$494,$A566)</f>
        <v>#DIV/0!</v>
      </c>
      <c r="H566" t="e">
        <f>AVERAGEIFS('Region 19'!$W$2:$W$494,'Region 19'!$A$2:$A$494,H$1,'Region 19'!$X$2:$X$494,$D566,'Region 19'!$S$2:$S$494,$A566)</f>
        <v>#DIV/0!</v>
      </c>
      <c r="I566" t="e">
        <f>AVERAGEIFS('Region 19'!$W$2:$W$494,'Region 19'!$A$2:$A$494,I$1,'Region 19'!$X$2:$X$494,$D566,'Region 19'!$S$2:$S$494,$A566)</f>
        <v>#DIV/0!</v>
      </c>
      <c r="J566" t="e">
        <f>AVERAGEIFS('Region 19'!$W$2:$W$494,'Region 19'!$A$2:$A$494,J$1,'Region 19'!$X$2:$X$494,$D566,'Region 19'!$S$2:$S$494,$A566)</f>
        <v>#DIV/0!</v>
      </c>
      <c r="K566" t="e">
        <f>AVERAGEIFS('Region 19'!$W$2:$W$494,'Region 19'!$A$2:$A$494,K$1,'Region 19'!$X$2:$X$494,$D566,'Region 19'!$S$2:$S$494,$A566)</f>
        <v>#DIV/0!</v>
      </c>
      <c r="L566" t="e">
        <f>AVERAGEIFS('Region 19'!$W$2:$W$494,'Region 19'!$A$2:$A$494,L$1,'Region 19'!$X$2:$X$494,$D566,'Region 19'!$S$2:$S$494,$A566)</f>
        <v>#DIV/0!</v>
      </c>
      <c r="M566" t="e">
        <f>AVERAGEIFS('Region 19'!$W$2:$W$494,'Region 19'!$A$2:$A$494,M$1,'Region 19'!$X$2:$X$494,$D566,'Region 19'!$S$2:$S$494,$A566)</f>
        <v>#DIV/0!</v>
      </c>
      <c r="N566" t="e">
        <f>AVERAGEIFS('Region 19'!$W$2:$W$494,'Region 19'!$A$2:$A$494,N$1,'Region 19'!$X$2:$X$494,$D566,'Region 19'!$S$2:$S$494,$A566)</f>
        <v>#DIV/0!</v>
      </c>
      <c r="Q566" t="str">
        <f t="shared" si="535"/>
        <v>Glass</v>
      </c>
      <c r="R566" t="str">
        <f t="shared" si="536"/>
        <v>Semi-detached</v>
      </c>
      <c r="S566">
        <f t="shared" si="537"/>
        <v>19</v>
      </c>
      <c r="T566" t="str">
        <f t="shared" si="518"/>
        <v>-</v>
      </c>
      <c r="U566" t="str">
        <f t="shared" si="519"/>
        <v>-</v>
      </c>
      <c r="V566" t="str">
        <f t="shared" si="520"/>
        <v>-</v>
      </c>
      <c r="W566" t="str">
        <f t="shared" si="521"/>
        <v>-</v>
      </c>
      <c r="X566" t="str">
        <f t="shared" si="522"/>
        <v>-</v>
      </c>
      <c r="Y566" t="str">
        <f t="shared" si="523"/>
        <v>-</v>
      </c>
      <c r="Z566" t="str">
        <f t="shared" si="524"/>
        <v>-</v>
      </c>
      <c r="AA566" t="str">
        <f t="shared" si="525"/>
        <v>-</v>
      </c>
      <c r="AB566" t="str">
        <f t="shared" si="526"/>
        <v>-</v>
      </c>
      <c r="AC566" t="str">
        <f t="shared" si="527"/>
        <v>-</v>
      </c>
    </row>
    <row r="567" spans="1:29" x14ac:dyDescent="0.3">
      <c r="A567" t="s">
        <v>437</v>
      </c>
      <c r="B567" t="str">
        <f t="shared" ref="B567:D567" si="581">B463</f>
        <v>Semi-detached</v>
      </c>
      <c r="C567">
        <f t="shared" si="581"/>
        <v>20</v>
      </c>
      <c r="D567">
        <f t="shared" si="581"/>
        <v>2</v>
      </c>
      <c r="E567" t="e">
        <f>AVERAGEIFS('Region 20'!$W$2:$W$269,'Region 20'!$A$2:$A$269,E$1,'Region 20'!$X$2:$X$269,$D567,'Region 20'!$S$2:$S$269,$A567)</f>
        <v>#DIV/0!</v>
      </c>
      <c r="F567" t="e">
        <f>AVERAGEIFS('Region 20'!$W$2:$W$269,'Region 20'!$A$2:$A$269,F$1,'Region 20'!$X$2:$X$269,$D567,'Region 20'!$S$2:$S$269,$A567)</f>
        <v>#DIV/0!</v>
      </c>
      <c r="G567" t="e">
        <f>AVERAGEIFS('Region 20'!$W$2:$W$269,'Region 20'!$A$2:$A$269,G$1,'Region 20'!$X$2:$X$269,$D567,'Region 20'!$S$2:$S$269,$A567)</f>
        <v>#DIV/0!</v>
      </c>
      <c r="H567" t="e">
        <f>AVERAGEIFS('Region 20'!$W$2:$W$269,'Region 20'!$A$2:$A$269,H$1,'Region 20'!$X$2:$X$269,$D567,'Region 20'!$S$2:$S$269,$A567)</f>
        <v>#DIV/0!</v>
      </c>
      <c r="I567" t="e">
        <f>AVERAGEIFS('Region 20'!$W$2:$W$269,'Region 20'!$A$2:$A$269,I$1,'Region 20'!$X$2:$X$269,$D567,'Region 20'!$S$2:$S$269,$A567)</f>
        <v>#DIV/0!</v>
      </c>
      <c r="J567" t="e">
        <f>AVERAGEIFS('Region 20'!$W$2:$W$269,'Region 20'!$A$2:$A$269,J$1,'Region 20'!$X$2:$X$269,$D567,'Region 20'!$S$2:$S$269,$A567)</f>
        <v>#DIV/0!</v>
      </c>
      <c r="K567" t="e">
        <f>AVERAGEIFS('Region 20'!$W$2:$W$269,'Region 20'!$A$2:$A$269,K$1,'Region 20'!$X$2:$X$269,$D567,'Region 20'!$S$2:$S$269,$A567)</f>
        <v>#DIV/0!</v>
      </c>
      <c r="L567" t="e">
        <f>AVERAGEIFS('Region 20'!$W$2:$W$269,'Region 20'!$A$2:$A$269,L$1,'Region 20'!$X$2:$X$269,$D567,'Region 20'!$S$2:$S$269,$A567)</f>
        <v>#DIV/0!</v>
      </c>
      <c r="M567" t="e">
        <f>AVERAGEIFS('Region 20'!$W$2:$W$269,'Region 20'!$A$2:$A$269,M$1,'Region 20'!$X$2:$X$269,$D567,'Region 20'!$S$2:$S$269,$A567)</f>
        <v>#DIV/0!</v>
      </c>
      <c r="N567" t="e">
        <f>AVERAGEIFS('Region 20'!$W$2:$W$269,'Region 20'!$A$2:$A$269,N$1,'Region 20'!$X$2:$X$269,$D567,'Region 20'!$S$2:$S$269,$A567)</f>
        <v>#DIV/0!</v>
      </c>
      <c r="Q567" t="str">
        <f t="shared" si="535"/>
        <v>Glass</v>
      </c>
      <c r="R567" t="str">
        <f t="shared" si="536"/>
        <v>Semi-detached</v>
      </c>
      <c r="S567">
        <f t="shared" si="537"/>
        <v>20</v>
      </c>
      <c r="T567" t="str">
        <f t="shared" si="518"/>
        <v>-</v>
      </c>
      <c r="U567" t="str">
        <f t="shared" si="519"/>
        <v>-</v>
      </c>
      <c r="V567" t="str">
        <f t="shared" si="520"/>
        <v>-</v>
      </c>
      <c r="W567" t="str">
        <f t="shared" si="521"/>
        <v>-</v>
      </c>
      <c r="X567" t="str">
        <f t="shared" si="522"/>
        <v>-</v>
      </c>
      <c r="Y567" t="str">
        <f t="shared" si="523"/>
        <v>-</v>
      </c>
      <c r="Z567" t="str">
        <f t="shared" si="524"/>
        <v>-</v>
      </c>
      <c r="AA567" t="str">
        <f t="shared" si="525"/>
        <v>-</v>
      </c>
      <c r="AB567" t="str">
        <f t="shared" si="526"/>
        <v>-</v>
      </c>
      <c r="AC567" t="str">
        <f t="shared" si="527"/>
        <v>-</v>
      </c>
    </row>
    <row r="568" spans="1:29" x14ac:dyDescent="0.3">
      <c r="A568" t="s">
        <v>437</v>
      </c>
      <c r="B568" t="str">
        <f t="shared" ref="B568:D568" si="582">B464</f>
        <v>Semi-detached</v>
      </c>
      <c r="C568">
        <f t="shared" si="582"/>
        <v>21</v>
      </c>
      <c r="D568">
        <f t="shared" si="582"/>
        <v>2</v>
      </c>
      <c r="E568" t="e">
        <f>AVERAGEIFS('Region 21'!$W$2:$W$497,'Region 21'!$A$2:$A$497,E$1,'Region 21'!$X$2:$X$497,$D568,'Region 21'!$S$2:$S$497,$A568)</f>
        <v>#DIV/0!</v>
      </c>
      <c r="F568" t="e">
        <f>AVERAGEIFS('Region 21'!$W$2:$W$497,'Region 21'!$A$2:$A$497,F$1,'Region 21'!$X$2:$X$497,$D568,'Region 21'!$S$2:$S$497,$A568)</f>
        <v>#DIV/0!</v>
      </c>
      <c r="G568" t="e">
        <f>AVERAGEIFS('Region 21'!$W$2:$W$497,'Region 21'!$A$2:$A$497,G$1,'Region 21'!$X$2:$X$497,$D568,'Region 21'!$S$2:$S$497,$A568)</f>
        <v>#DIV/0!</v>
      </c>
      <c r="H568" t="e">
        <f>AVERAGEIFS('Region 21'!$W$2:$W$497,'Region 21'!$A$2:$A$497,H$1,'Region 21'!$X$2:$X$497,$D568,'Region 21'!$S$2:$S$497,$A568)</f>
        <v>#DIV/0!</v>
      </c>
      <c r="I568" t="e">
        <f>AVERAGEIFS('Region 21'!$W$2:$W$497,'Region 21'!$A$2:$A$497,I$1,'Region 21'!$X$2:$X$497,$D568,'Region 21'!$S$2:$S$497,$A568)</f>
        <v>#DIV/0!</v>
      </c>
      <c r="J568" t="e">
        <f>AVERAGEIFS('Region 21'!$W$2:$W$497,'Region 21'!$A$2:$A$497,J$1,'Region 21'!$X$2:$X$497,$D568,'Region 21'!$S$2:$S$497,$A568)</f>
        <v>#DIV/0!</v>
      </c>
      <c r="K568" t="e">
        <f>AVERAGEIFS('Region 21'!$W$2:$W$497,'Region 21'!$A$2:$A$497,K$1,'Region 21'!$X$2:$X$497,$D568,'Region 21'!$S$2:$S$497,$A568)</f>
        <v>#DIV/0!</v>
      </c>
      <c r="L568" t="e">
        <f>AVERAGEIFS('Region 21'!$W$2:$W$497,'Region 21'!$A$2:$A$497,L$1,'Region 21'!$X$2:$X$497,$D568,'Region 21'!$S$2:$S$497,$A568)</f>
        <v>#DIV/0!</v>
      </c>
      <c r="M568" t="e">
        <f>AVERAGEIFS('Region 21'!$W$2:$W$497,'Region 21'!$A$2:$A$497,M$1,'Region 21'!$X$2:$X$497,$D568,'Region 21'!$S$2:$S$497,$A568)</f>
        <v>#DIV/0!</v>
      </c>
      <c r="N568" t="e">
        <f>AVERAGEIFS('Region 21'!$W$2:$W$497,'Region 21'!$A$2:$A$497,N$1,'Region 21'!$X$2:$X$497,$D568,'Region 21'!$S$2:$S$497,$A568)</f>
        <v>#DIV/0!</v>
      </c>
      <c r="Q568" t="str">
        <f t="shared" si="535"/>
        <v>Glass</v>
      </c>
      <c r="R568" t="str">
        <f t="shared" si="536"/>
        <v>Semi-detached</v>
      </c>
      <c r="S568">
        <f t="shared" si="537"/>
        <v>21</v>
      </c>
      <c r="T568" t="str">
        <f t="shared" si="518"/>
        <v>-</v>
      </c>
      <c r="U568" t="str">
        <f t="shared" si="519"/>
        <v>-</v>
      </c>
      <c r="V568" t="str">
        <f t="shared" si="520"/>
        <v>-</v>
      </c>
      <c r="W568" t="str">
        <f t="shared" si="521"/>
        <v>-</v>
      </c>
      <c r="X568" t="str">
        <f t="shared" si="522"/>
        <v>-</v>
      </c>
      <c r="Y568" t="str">
        <f t="shared" si="523"/>
        <v>-</v>
      </c>
      <c r="Z568" t="str">
        <f t="shared" si="524"/>
        <v>-</v>
      </c>
      <c r="AA568" t="str">
        <f t="shared" si="525"/>
        <v>-</v>
      </c>
      <c r="AB568" t="str">
        <f t="shared" si="526"/>
        <v>-</v>
      </c>
      <c r="AC568" t="str">
        <f t="shared" si="527"/>
        <v>-</v>
      </c>
    </row>
    <row r="569" spans="1:29" x14ac:dyDescent="0.3">
      <c r="A569" t="s">
        <v>437</v>
      </c>
      <c r="B569" t="str">
        <f t="shared" ref="B569:D569" si="583">B465</f>
        <v>Semi-detached</v>
      </c>
      <c r="C569">
        <f t="shared" si="583"/>
        <v>22</v>
      </c>
      <c r="D569">
        <f t="shared" si="583"/>
        <v>2</v>
      </c>
      <c r="E569" t="e">
        <f>AVERAGEIFS('Region 22'!$W$2:$W$510,'Region 22'!$A$2:$A$510,E$1,'Region 22'!$X$2:$X$510,$D569,'Region 22'!$S$2:$S$510,$A569)</f>
        <v>#DIV/0!</v>
      </c>
      <c r="F569" t="e">
        <f>AVERAGEIFS('Region 22'!$W$2:$W$510,'Region 22'!$A$2:$A$510,F$1,'Region 22'!$X$2:$X$510,$D569,'Region 22'!$S$2:$S$510,$A569)</f>
        <v>#DIV/0!</v>
      </c>
      <c r="G569" t="e">
        <f>AVERAGEIFS('Region 22'!$W$2:$W$510,'Region 22'!$A$2:$A$510,G$1,'Region 22'!$X$2:$X$510,$D569,'Region 22'!$S$2:$S$510,$A569)</f>
        <v>#DIV/0!</v>
      </c>
      <c r="H569" t="e">
        <f>AVERAGEIFS('Region 22'!$W$2:$W$510,'Region 22'!$A$2:$A$510,H$1,'Region 22'!$X$2:$X$510,$D569,'Region 22'!$S$2:$S$510,$A569)</f>
        <v>#DIV/0!</v>
      </c>
      <c r="I569" t="e">
        <f>AVERAGEIFS('Region 22'!$W$2:$W$510,'Region 22'!$A$2:$A$510,I$1,'Region 22'!$X$2:$X$510,$D569,'Region 22'!$S$2:$S$510,$A569)</f>
        <v>#DIV/0!</v>
      </c>
      <c r="J569" t="e">
        <f>AVERAGEIFS('Region 22'!$W$2:$W$510,'Region 22'!$A$2:$A$510,J$1,'Region 22'!$X$2:$X$510,$D569,'Region 22'!$S$2:$S$510,$A569)</f>
        <v>#DIV/0!</v>
      </c>
      <c r="K569" t="e">
        <f>AVERAGEIFS('Region 22'!$W$2:$W$510,'Region 22'!$A$2:$A$510,K$1,'Region 22'!$X$2:$X$510,$D569,'Region 22'!$S$2:$S$510,$A569)</f>
        <v>#DIV/0!</v>
      </c>
      <c r="L569" t="e">
        <f>AVERAGEIFS('Region 22'!$W$2:$W$510,'Region 22'!$A$2:$A$510,L$1,'Region 22'!$X$2:$X$510,$D569,'Region 22'!$S$2:$S$510,$A569)</f>
        <v>#DIV/0!</v>
      </c>
      <c r="M569" t="e">
        <f>AVERAGEIFS('Region 22'!$W$2:$W$510,'Region 22'!$A$2:$A$510,M$1,'Region 22'!$X$2:$X$510,$D569,'Region 22'!$S$2:$S$510,$A569)</f>
        <v>#DIV/0!</v>
      </c>
      <c r="N569" t="e">
        <f>AVERAGEIFS('Region 22'!$W$2:$W$510,'Region 22'!$A$2:$A$510,N$1,'Region 22'!$X$2:$X$510,$D569,'Region 22'!$S$2:$S$510,$A569)</f>
        <v>#DIV/0!</v>
      </c>
      <c r="Q569" t="str">
        <f t="shared" si="535"/>
        <v>Glass</v>
      </c>
      <c r="R569" t="str">
        <f t="shared" si="536"/>
        <v>Semi-detached</v>
      </c>
      <c r="S569">
        <f t="shared" si="537"/>
        <v>22</v>
      </c>
      <c r="T569" t="str">
        <f t="shared" si="518"/>
        <v>-</v>
      </c>
      <c r="U569" t="str">
        <f t="shared" si="519"/>
        <v>-</v>
      </c>
      <c r="V569" t="str">
        <f t="shared" si="520"/>
        <v>-</v>
      </c>
      <c r="W569" t="str">
        <f t="shared" si="521"/>
        <v>-</v>
      </c>
      <c r="X569" t="str">
        <f t="shared" si="522"/>
        <v>-</v>
      </c>
      <c r="Y569" t="str">
        <f t="shared" si="523"/>
        <v>-</v>
      </c>
      <c r="Z569" t="str">
        <f t="shared" si="524"/>
        <v>-</v>
      </c>
      <c r="AA569" t="str">
        <f t="shared" si="525"/>
        <v>-</v>
      </c>
      <c r="AB569" t="str">
        <f t="shared" si="526"/>
        <v>-</v>
      </c>
      <c r="AC569" t="str">
        <f t="shared" si="527"/>
        <v>-</v>
      </c>
    </row>
    <row r="570" spans="1:29" x14ac:dyDescent="0.3">
      <c r="A570" t="s">
        <v>437</v>
      </c>
      <c r="B570" t="str">
        <f t="shared" ref="B570:D570" si="584">B466</f>
        <v>Semi-detached</v>
      </c>
      <c r="C570">
        <f t="shared" si="584"/>
        <v>23</v>
      </c>
      <c r="D570">
        <f t="shared" si="584"/>
        <v>2</v>
      </c>
      <c r="E570" t="e">
        <f>AVERAGEIFS('Region 23'!$W$2:$W$468,'Region 23'!$A$2:$A$468,E$1,'Region 23'!$X$2:$X$468,$D570,'Region 23'!$S$2:$S$468,$A570)</f>
        <v>#DIV/0!</v>
      </c>
      <c r="F570" t="e">
        <f>AVERAGEIFS('Region 23'!$W$2:$W$468,'Region 23'!$A$2:$A$468,F$1,'Region 23'!$X$2:$X$468,$D570,'Region 23'!$S$2:$S$468,$A570)</f>
        <v>#DIV/0!</v>
      </c>
      <c r="G570" t="e">
        <f>AVERAGEIFS('Region 23'!$W$2:$W$468,'Region 23'!$A$2:$A$468,G$1,'Region 23'!$X$2:$X$468,$D570,'Region 23'!$S$2:$S$468,$A570)</f>
        <v>#DIV/0!</v>
      </c>
      <c r="H570" t="e">
        <f>AVERAGEIFS('Region 23'!$W$2:$W$468,'Region 23'!$A$2:$A$468,H$1,'Region 23'!$X$2:$X$468,$D570,'Region 23'!$S$2:$S$468,$A570)</f>
        <v>#DIV/0!</v>
      </c>
      <c r="I570" t="e">
        <f>AVERAGEIFS('Region 23'!$W$2:$W$468,'Region 23'!$A$2:$A$468,I$1,'Region 23'!$X$2:$X$468,$D570,'Region 23'!$S$2:$S$468,$A570)</f>
        <v>#DIV/0!</v>
      </c>
      <c r="J570" t="e">
        <f>AVERAGEIFS('Region 23'!$W$2:$W$468,'Region 23'!$A$2:$A$468,J$1,'Region 23'!$X$2:$X$468,$D570,'Region 23'!$S$2:$S$468,$A570)</f>
        <v>#DIV/0!</v>
      </c>
      <c r="K570" t="e">
        <f>AVERAGEIFS('Region 23'!$W$2:$W$468,'Region 23'!$A$2:$A$468,K$1,'Region 23'!$X$2:$X$468,$D570,'Region 23'!$S$2:$S$468,$A570)</f>
        <v>#DIV/0!</v>
      </c>
      <c r="L570" t="e">
        <f>AVERAGEIFS('Region 23'!$W$2:$W$468,'Region 23'!$A$2:$A$468,L$1,'Region 23'!$X$2:$X$468,$D570,'Region 23'!$S$2:$S$468,$A570)</f>
        <v>#DIV/0!</v>
      </c>
      <c r="M570" t="e">
        <f>AVERAGEIFS('Region 23'!$W$2:$W$468,'Region 23'!$A$2:$A$468,M$1,'Region 23'!$X$2:$X$468,$D570,'Region 23'!$S$2:$S$468,$A570)</f>
        <v>#DIV/0!</v>
      </c>
      <c r="N570" t="e">
        <f>AVERAGEIFS('Region 23'!$W$2:$W$468,'Region 23'!$A$2:$A$468,N$1,'Region 23'!$X$2:$X$468,$D570,'Region 23'!$S$2:$S$468,$A570)</f>
        <v>#DIV/0!</v>
      </c>
      <c r="Q570" t="str">
        <f t="shared" si="535"/>
        <v>Glass</v>
      </c>
      <c r="R570" t="str">
        <f t="shared" si="536"/>
        <v>Semi-detached</v>
      </c>
      <c r="S570">
        <f t="shared" si="537"/>
        <v>23</v>
      </c>
      <c r="T570" t="str">
        <f t="shared" si="518"/>
        <v>-</v>
      </c>
      <c r="U570" t="str">
        <f t="shared" si="519"/>
        <v>-</v>
      </c>
      <c r="V570" t="str">
        <f t="shared" si="520"/>
        <v>-</v>
      </c>
      <c r="W570" t="str">
        <f t="shared" si="521"/>
        <v>-</v>
      </c>
      <c r="X570" t="str">
        <f t="shared" si="522"/>
        <v>-</v>
      </c>
      <c r="Y570" t="str">
        <f t="shared" si="523"/>
        <v>-</v>
      </c>
      <c r="Z570" t="str">
        <f t="shared" si="524"/>
        <v>-</v>
      </c>
      <c r="AA570" t="str">
        <f t="shared" si="525"/>
        <v>-</v>
      </c>
      <c r="AB570" t="str">
        <f t="shared" si="526"/>
        <v>-</v>
      </c>
      <c r="AC570" t="str">
        <f t="shared" si="527"/>
        <v>-</v>
      </c>
    </row>
    <row r="571" spans="1:29" x14ac:dyDescent="0.3">
      <c r="A571" t="s">
        <v>437</v>
      </c>
      <c r="B571" t="str">
        <f t="shared" ref="B571:D571" si="585">B467</f>
        <v>Semi-detached</v>
      </c>
      <c r="C571">
        <f t="shared" si="585"/>
        <v>24</v>
      </c>
      <c r="D571">
        <f t="shared" si="585"/>
        <v>2</v>
      </c>
      <c r="E571" t="e">
        <f>AVERAGEIFS('Region 24'!$W$2:$W$454,'Region 24'!$A$2:$A$454,E$1,'Region 24'!$X$2:$X$454,$D571,'Region 24'!$S$2:$S$454,$A571)</f>
        <v>#DIV/0!</v>
      </c>
      <c r="F571" t="e">
        <f>AVERAGEIFS('Region 24'!$W$2:$W$454,'Region 24'!$A$2:$A$454,F$1,'Region 24'!$X$2:$X$454,$D571,'Region 24'!$S$2:$S$454,$A571)</f>
        <v>#DIV/0!</v>
      </c>
      <c r="G571" t="e">
        <f>AVERAGEIFS('Region 24'!$W$2:$W$454,'Region 24'!$A$2:$A$454,G$1,'Region 24'!$X$2:$X$454,$D571,'Region 24'!$S$2:$S$454,$A571)</f>
        <v>#DIV/0!</v>
      </c>
      <c r="H571" t="e">
        <f>AVERAGEIFS('Region 24'!$W$2:$W$454,'Region 24'!$A$2:$A$454,H$1,'Region 24'!$X$2:$X$454,$D571,'Region 24'!$S$2:$S$454,$A571)</f>
        <v>#DIV/0!</v>
      </c>
      <c r="I571" t="e">
        <f>AVERAGEIFS('Region 24'!$W$2:$W$454,'Region 24'!$A$2:$A$454,I$1,'Region 24'!$X$2:$X$454,$D571,'Region 24'!$S$2:$S$454,$A571)</f>
        <v>#DIV/0!</v>
      </c>
      <c r="J571" t="e">
        <f>AVERAGEIFS('Region 24'!$W$2:$W$454,'Region 24'!$A$2:$A$454,J$1,'Region 24'!$X$2:$X$454,$D571,'Region 24'!$S$2:$S$454,$A571)</f>
        <v>#DIV/0!</v>
      </c>
      <c r="K571" t="e">
        <f>AVERAGEIFS('Region 24'!$W$2:$W$454,'Region 24'!$A$2:$A$454,K$1,'Region 24'!$X$2:$X$454,$D571,'Region 24'!$S$2:$S$454,$A571)</f>
        <v>#DIV/0!</v>
      </c>
      <c r="L571" t="e">
        <f>AVERAGEIFS('Region 24'!$W$2:$W$454,'Region 24'!$A$2:$A$454,L$1,'Region 24'!$X$2:$X$454,$D571,'Region 24'!$S$2:$S$454,$A571)</f>
        <v>#DIV/0!</v>
      </c>
      <c r="M571" t="e">
        <f>AVERAGEIFS('Region 24'!$W$2:$W$454,'Region 24'!$A$2:$A$454,M$1,'Region 24'!$X$2:$X$454,$D571,'Region 24'!$S$2:$S$454,$A571)</f>
        <v>#DIV/0!</v>
      </c>
      <c r="N571" t="e">
        <f>AVERAGEIFS('Region 24'!$W$2:$W$454,'Region 24'!$A$2:$A$454,N$1,'Region 24'!$X$2:$X$454,$D571,'Region 24'!$S$2:$S$454,$A571)</f>
        <v>#DIV/0!</v>
      </c>
      <c r="Q571" t="str">
        <f t="shared" si="535"/>
        <v>Glass</v>
      </c>
      <c r="R571" t="str">
        <f t="shared" si="536"/>
        <v>Semi-detached</v>
      </c>
      <c r="S571">
        <f t="shared" si="537"/>
        <v>24</v>
      </c>
      <c r="T571" t="str">
        <f t="shared" si="518"/>
        <v>-</v>
      </c>
      <c r="U571" t="str">
        <f t="shared" si="519"/>
        <v>-</v>
      </c>
      <c r="V571" t="str">
        <f t="shared" si="520"/>
        <v>-</v>
      </c>
      <c r="W571" t="str">
        <f t="shared" si="521"/>
        <v>-</v>
      </c>
      <c r="X571" t="str">
        <f t="shared" si="522"/>
        <v>-</v>
      </c>
      <c r="Y571" t="str">
        <f t="shared" si="523"/>
        <v>-</v>
      </c>
      <c r="Z571" t="str">
        <f t="shared" si="524"/>
        <v>-</v>
      </c>
      <c r="AA571" t="str">
        <f t="shared" si="525"/>
        <v>-</v>
      </c>
      <c r="AB571" t="str">
        <f t="shared" si="526"/>
        <v>-</v>
      </c>
      <c r="AC571" t="str">
        <f t="shared" si="527"/>
        <v>-</v>
      </c>
    </row>
    <row r="572" spans="1:29" x14ac:dyDescent="0.3">
      <c r="A572" t="s">
        <v>437</v>
      </c>
      <c r="B572" t="str">
        <f t="shared" ref="B572:D572" si="586">B468</f>
        <v>Semi-detached</v>
      </c>
      <c r="C572">
        <f t="shared" si="586"/>
        <v>25</v>
      </c>
      <c r="D572">
        <f t="shared" si="586"/>
        <v>2</v>
      </c>
      <c r="E572" t="e">
        <f>AVERAGEIFS('Region 25'!$W$2:$W$499,'Region 25'!$A$2:$A$499,E$1,'Region 25'!$X$2:$X$499,$D572,'Region 25'!$S$2:$S$499,$A572)</f>
        <v>#DIV/0!</v>
      </c>
      <c r="F572" t="e">
        <f>AVERAGEIFS('Region 25'!$W$2:$W$499,'Region 25'!$A$2:$A$499,F$1,'Region 25'!$X$2:$X$499,$D572,'Region 25'!$S$2:$S$499,$A572)</f>
        <v>#DIV/0!</v>
      </c>
      <c r="G572" t="e">
        <f>AVERAGEIFS('Region 25'!$W$2:$W$499,'Region 25'!$A$2:$A$499,G$1,'Region 25'!$X$2:$X$499,$D572,'Region 25'!$S$2:$S$499,$A572)</f>
        <v>#DIV/0!</v>
      </c>
      <c r="H572" t="e">
        <f>AVERAGEIFS('Region 25'!$W$2:$W$499,'Region 25'!$A$2:$A$499,H$1,'Region 25'!$X$2:$X$499,$D572,'Region 25'!$S$2:$S$499,$A572)</f>
        <v>#DIV/0!</v>
      </c>
      <c r="I572" t="e">
        <f>AVERAGEIFS('Region 25'!$W$2:$W$499,'Region 25'!$A$2:$A$499,I$1,'Region 25'!$X$2:$X$499,$D572,'Region 25'!$S$2:$S$499,$A572)</f>
        <v>#DIV/0!</v>
      </c>
      <c r="J572" t="e">
        <f>AVERAGEIFS('Region 25'!$W$2:$W$499,'Region 25'!$A$2:$A$499,J$1,'Region 25'!$X$2:$X$499,$D572,'Region 25'!$S$2:$S$499,$A572)</f>
        <v>#DIV/0!</v>
      </c>
      <c r="K572" t="e">
        <f>AVERAGEIFS('Region 25'!$W$2:$W$499,'Region 25'!$A$2:$A$499,K$1,'Region 25'!$X$2:$X$499,$D572,'Region 25'!$S$2:$S$499,$A572)</f>
        <v>#DIV/0!</v>
      </c>
      <c r="L572" t="e">
        <f>AVERAGEIFS('Region 25'!$W$2:$W$499,'Region 25'!$A$2:$A$499,L$1,'Region 25'!$X$2:$X$499,$D572,'Region 25'!$S$2:$S$499,$A572)</f>
        <v>#DIV/0!</v>
      </c>
      <c r="M572" t="e">
        <f>AVERAGEIFS('Region 25'!$W$2:$W$499,'Region 25'!$A$2:$A$499,M$1,'Region 25'!$X$2:$X$499,$D572,'Region 25'!$S$2:$S$499,$A572)</f>
        <v>#DIV/0!</v>
      </c>
      <c r="N572" t="e">
        <f>AVERAGEIFS('Region 25'!$W$2:$W$499,'Region 25'!$A$2:$A$499,N$1,'Region 25'!$X$2:$X$499,$D572,'Region 25'!$S$2:$S$499,$A572)</f>
        <v>#DIV/0!</v>
      </c>
      <c r="Q572" t="str">
        <f t="shared" si="535"/>
        <v>Glass</v>
      </c>
      <c r="R572" t="str">
        <f t="shared" si="536"/>
        <v>Semi-detached</v>
      </c>
      <c r="S572">
        <f t="shared" si="537"/>
        <v>25</v>
      </c>
      <c r="T572" t="str">
        <f t="shared" si="518"/>
        <v>-</v>
      </c>
      <c r="U572" t="str">
        <f t="shared" si="519"/>
        <v>-</v>
      </c>
      <c r="V572" t="str">
        <f t="shared" si="520"/>
        <v>-</v>
      </c>
      <c r="W572" t="str">
        <f t="shared" si="521"/>
        <v>-</v>
      </c>
      <c r="X572" t="str">
        <f t="shared" si="522"/>
        <v>-</v>
      </c>
      <c r="Y572" t="str">
        <f t="shared" si="523"/>
        <v>-</v>
      </c>
      <c r="Z572" t="str">
        <f t="shared" si="524"/>
        <v>-</v>
      </c>
      <c r="AA572" t="str">
        <f t="shared" si="525"/>
        <v>-</v>
      </c>
      <c r="AB572" t="str">
        <f t="shared" si="526"/>
        <v>-</v>
      </c>
      <c r="AC572" t="str">
        <f t="shared" si="527"/>
        <v>-</v>
      </c>
    </row>
    <row r="573" spans="1:29" x14ac:dyDescent="0.3">
      <c r="A573" t="s">
        <v>437</v>
      </c>
      <c r="B573" t="str">
        <f t="shared" ref="B573:D573" si="587">B469</f>
        <v>Semi-detached</v>
      </c>
      <c r="C573">
        <f t="shared" si="587"/>
        <v>26</v>
      </c>
      <c r="D573">
        <f t="shared" si="587"/>
        <v>2</v>
      </c>
      <c r="E573" t="e">
        <f ca="1">AVERAGEIFS('Region 26'!$W$2:$W$500,'Region 26'!$A$2:$A$500,E$1,'Region 26'!$X$2:$X$500,$D573,'Region 26'!$S$2:$S$500,$A573)</f>
        <v>#DIV/0!</v>
      </c>
      <c r="F573" t="e">
        <f ca="1">AVERAGEIFS('Region 26'!$W$2:$W$500,'Region 26'!$A$2:$A$500,F$1,'Region 26'!$X$2:$X$500,$D573,'Region 26'!$S$2:$S$500,$A573)</f>
        <v>#DIV/0!</v>
      </c>
      <c r="G573" t="e">
        <f ca="1">AVERAGEIFS('Region 26'!$W$2:$W$500,'Region 26'!$A$2:$A$500,G$1,'Region 26'!$X$2:$X$500,$D573,'Region 26'!$S$2:$S$500,$A573)</f>
        <v>#DIV/0!</v>
      </c>
      <c r="H573" t="e">
        <f ca="1">AVERAGEIFS('Region 26'!$W$2:$W$500,'Region 26'!$A$2:$A$500,H$1,'Region 26'!$X$2:$X$500,$D573,'Region 26'!$S$2:$S$500,$A573)</f>
        <v>#DIV/0!</v>
      </c>
      <c r="I573" t="e">
        <f ca="1">AVERAGEIFS('Region 26'!$W$2:$W$500,'Region 26'!$A$2:$A$500,I$1,'Region 26'!$X$2:$X$500,$D573,'Region 26'!$S$2:$S$500,$A573)</f>
        <v>#DIV/0!</v>
      </c>
      <c r="J573" t="e">
        <f ca="1">AVERAGEIFS('Region 26'!$W$2:$W$500,'Region 26'!$A$2:$A$500,J$1,'Region 26'!$X$2:$X$500,$D573,'Region 26'!$S$2:$S$500,$A573)</f>
        <v>#DIV/0!</v>
      </c>
      <c r="K573" t="e">
        <f ca="1">AVERAGEIFS('Region 26'!$W$2:$W$500,'Region 26'!$A$2:$A$500,K$1,'Region 26'!$X$2:$X$500,$D573,'Region 26'!$S$2:$S$500,$A573)</f>
        <v>#DIV/0!</v>
      </c>
      <c r="L573" t="e">
        <f ca="1">AVERAGEIFS('Region 26'!$W$2:$W$500,'Region 26'!$A$2:$A$500,L$1,'Region 26'!$X$2:$X$500,$D573,'Region 26'!$S$2:$S$500,$A573)</f>
        <v>#DIV/0!</v>
      </c>
      <c r="M573" t="e">
        <f ca="1">AVERAGEIFS('Region 26'!$W$2:$W$500,'Region 26'!$A$2:$A$500,M$1,'Region 26'!$X$2:$X$500,$D573,'Region 26'!$S$2:$S$500,$A573)</f>
        <v>#DIV/0!</v>
      </c>
      <c r="N573" t="e">
        <f ca="1">AVERAGEIFS('Region 26'!$W$2:$W$500,'Region 26'!$A$2:$A$500,N$1,'Region 26'!$X$2:$X$500,$D573,'Region 26'!$S$2:$S$500,$A573)</f>
        <v>#DIV/0!</v>
      </c>
      <c r="Q573" t="str">
        <f t="shared" si="535"/>
        <v>Glass</v>
      </c>
      <c r="R573" t="str">
        <f t="shared" si="536"/>
        <v>Semi-detached</v>
      </c>
      <c r="S573">
        <f t="shared" si="537"/>
        <v>26</v>
      </c>
      <c r="T573" t="str">
        <f t="shared" ca="1" si="518"/>
        <v>-</v>
      </c>
      <c r="U573" t="str">
        <f t="shared" ca="1" si="519"/>
        <v>-</v>
      </c>
      <c r="V573" t="str">
        <f t="shared" ca="1" si="520"/>
        <v>-</v>
      </c>
      <c r="W573" t="str">
        <f t="shared" ca="1" si="521"/>
        <v>-</v>
      </c>
      <c r="X573" t="str">
        <f t="shared" ca="1" si="522"/>
        <v>-</v>
      </c>
      <c r="Y573" t="str">
        <f t="shared" ca="1" si="523"/>
        <v>-</v>
      </c>
      <c r="Z573" t="str">
        <f t="shared" ca="1" si="524"/>
        <v>-</v>
      </c>
      <c r="AA573" t="str">
        <f t="shared" ca="1" si="525"/>
        <v>-</v>
      </c>
      <c r="AB573" t="str">
        <f t="shared" ca="1" si="526"/>
        <v>-</v>
      </c>
      <c r="AC573" t="str">
        <f t="shared" ca="1" si="527"/>
        <v>-</v>
      </c>
    </row>
    <row r="574" spans="1:29" x14ac:dyDescent="0.3">
      <c r="A574" t="s">
        <v>437</v>
      </c>
      <c r="B574" t="str">
        <f t="shared" ref="B574:D574" si="588">B470</f>
        <v>Appartments</v>
      </c>
      <c r="C574">
        <f t="shared" si="588"/>
        <v>1</v>
      </c>
      <c r="D574">
        <f t="shared" si="588"/>
        <v>3</v>
      </c>
      <c r="E574" t="e">
        <f>AVERAGEIFS('Region 1'!$W$2:$W$498,'Region 1'!$A$2:$A$498,E$1,'Region 1'!$X$2:$X$498,$D574,'Region 1'!$S$2:$S$498,$A574)</f>
        <v>#DIV/0!</v>
      </c>
      <c r="F574" t="e">
        <f>AVERAGEIFS('Region 1'!$W$2:$W$498,'Region 1'!$A$2:$A$498,F$1,'Region 1'!$X$2:$X$498,$D574,'Region 1'!$S$2:$S$498,$A574)</f>
        <v>#DIV/0!</v>
      </c>
      <c r="G574" t="e">
        <f>AVERAGEIFS('Region 1'!$W$2:$W$498,'Region 1'!$A$2:$A$498,G$1,'Region 1'!$X$2:$X$498,$D574,'Region 1'!$S$2:$S$498,$A574)</f>
        <v>#DIV/0!</v>
      </c>
      <c r="H574" t="e">
        <f>AVERAGEIFS('Region 1'!$W$2:$W$498,'Region 1'!$A$2:$A$498,H$1,'Region 1'!$X$2:$X$498,$D574,'Region 1'!$S$2:$S$498,$A574)</f>
        <v>#DIV/0!</v>
      </c>
      <c r="I574" t="e">
        <f>AVERAGEIFS('Region 1'!$W$2:$W$498,'Region 1'!$A$2:$A$498,I$1,'Region 1'!$X$2:$X$498,$D574,'Region 1'!$S$2:$S$498,$A574)</f>
        <v>#DIV/0!</v>
      </c>
      <c r="J574" t="e">
        <f>AVERAGEIFS('Region 1'!$W$2:$W$498,'Region 1'!$A$2:$A$498,J$1,'Region 1'!$X$2:$X$498,$D574,'Region 1'!$S$2:$S$498,$A574)</f>
        <v>#DIV/0!</v>
      </c>
      <c r="K574" t="e">
        <f>AVERAGEIFS('Region 1'!$W$2:$W$498,'Region 1'!$A$2:$A$498,K$1,'Region 1'!$X$2:$X$498,$D574,'Region 1'!$S$2:$S$498,$A574)</f>
        <v>#DIV/0!</v>
      </c>
      <c r="L574" t="e">
        <f>AVERAGEIFS('Region 1'!$W$2:$W$498,'Region 1'!$A$2:$A$498,L$1,'Region 1'!$X$2:$X$498,$D574,'Region 1'!$S$2:$S$498,$A574)</f>
        <v>#DIV/0!</v>
      </c>
      <c r="M574" t="e">
        <f>AVERAGEIFS('Region 1'!$W$2:$W$498,'Region 1'!$A$2:$A$498,M$1,'Region 1'!$X$2:$X$498,$D574,'Region 1'!$S$2:$S$498,$A574)</f>
        <v>#DIV/0!</v>
      </c>
      <c r="N574" t="e">
        <f>AVERAGEIFS('Region 1'!$W$2:$W$498,'Region 1'!$A$2:$A$498,N$1,'Region 1'!$X$2:$X$498,$D574,'Region 1'!$S$2:$S$498,$A574)</f>
        <v>#DIV/0!</v>
      </c>
      <c r="Q574" t="str">
        <f t="shared" si="535"/>
        <v>Glass</v>
      </c>
      <c r="R574" t="str">
        <f t="shared" si="536"/>
        <v>Appartments</v>
      </c>
      <c r="S574">
        <f t="shared" si="537"/>
        <v>1</v>
      </c>
      <c r="T574" t="str">
        <f t="shared" si="518"/>
        <v>-</v>
      </c>
      <c r="U574" t="str">
        <f t="shared" si="519"/>
        <v>-</v>
      </c>
      <c r="V574" t="str">
        <f t="shared" si="520"/>
        <v>-</v>
      </c>
      <c r="W574" t="str">
        <f t="shared" si="521"/>
        <v>-</v>
      </c>
      <c r="X574" t="str">
        <f t="shared" si="522"/>
        <v>-</v>
      </c>
      <c r="Y574" t="str">
        <f t="shared" si="523"/>
        <v>-</v>
      </c>
      <c r="Z574" t="str">
        <f t="shared" si="524"/>
        <v>-</v>
      </c>
      <c r="AA574" t="str">
        <f t="shared" si="525"/>
        <v>-</v>
      </c>
      <c r="AB574" t="str">
        <f t="shared" si="526"/>
        <v>-</v>
      </c>
      <c r="AC574" t="str">
        <f t="shared" si="527"/>
        <v>-</v>
      </c>
    </row>
    <row r="575" spans="1:29" x14ac:dyDescent="0.3">
      <c r="A575" t="s">
        <v>437</v>
      </c>
      <c r="B575" t="str">
        <f t="shared" ref="B575:D575" si="589">B471</f>
        <v>Appartments</v>
      </c>
      <c r="C575">
        <f t="shared" si="589"/>
        <v>2</v>
      </c>
      <c r="D575">
        <f t="shared" si="589"/>
        <v>3</v>
      </c>
      <c r="E575" t="e">
        <f>AVERAGEIFS('Region 2'!$W$2:$W$498,'Region 2'!$A$2:$A$498,E$1,'Region 2'!$X$2:$X$498,$D575,'Region 2'!$S$2:$S$498,$A575)</f>
        <v>#DIV/0!</v>
      </c>
      <c r="F575" t="e">
        <f>AVERAGEIFS('Region 2'!$W$2:$W$498,'Region 2'!$A$2:$A$498,F$1,'Region 2'!$X$2:$X$498,$D575,'Region 2'!$S$2:$S$498,$A575)</f>
        <v>#DIV/0!</v>
      </c>
      <c r="G575" t="e">
        <f>AVERAGEIFS('Region 2'!$W$2:$W$498,'Region 2'!$A$2:$A$498,G$1,'Region 2'!$X$2:$X$498,$D575,'Region 2'!$S$2:$S$498,$A575)</f>
        <v>#DIV/0!</v>
      </c>
      <c r="H575" t="e">
        <f>AVERAGEIFS('Region 2'!$W$2:$W$498,'Region 2'!$A$2:$A$498,H$1,'Region 2'!$X$2:$X$498,$D575,'Region 2'!$S$2:$S$498,$A575)</f>
        <v>#DIV/0!</v>
      </c>
      <c r="I575" t="e">
        <f>AVERAGEIFS('Region 2'!$W$2:$W$498,'Region 2'!$A$2:$A$498,I$1,'Region 2'!$X$2:$X$498,$D575,'Region 2'!$S$2:$S$498,$A575)</f>
        <v>#DIV/0!</v>
      </c>
      <c r="J575" t="e">
        <f>AVERAGEIFS('Region 2'!$W$2:$W$498,'Region 2'!$A$2:$A$498,J$1,'Region 2'!$X$2:$X$498,$D575,'Region 2'!$S$2:$S$498,$A575)</f>
        <v>#DIV/0!</v>
      </c>
      <c r="K575" t="e">
        <f>AVERAGEIFS('Region 2'!$W$2:$W$498,'Region 2'!$A$2:$A$498,K$1,'Region 2'!$X$2:$X$498,$D575,'Region 2'!$S$2:$S$498,$A575)</f>
        <v>#DIV/0!</v>
      </c>
      <c r="L575" t="e">
        <f>AVERAGEIFS('Region 2'!$W$2:$W$498,'Region 2'!$A$2:$A$498,L$1,'Region 2'!$X$2:$X$498,$D575,'Region 2'!$S$2:$S$498,$A575)</f>
        <v>#DIV/0!</v>
      </c>
      <c r="M575" t="e">
        <f>AVERAGEIFS('Region 2'!$W$2:$W$498,'Region 2'!$A$2:$A$498,M$1,'Region 2'!$X$2:$X$498,$D575,'Region 2'!$S$2:$S$498,$A575)</f>
        <v>#DIV/0!</v>
      </c>
      <c r="N575" t="e">
        <f>AVERAGEIFS('Region 2'!$W$2:$W$498,'Region 2'!$A$2:$A$498,N$1,'Region 2'!$X$2:$X$498,$D575,'Region 2'!$S$2:$S$498,$A575)</f>
        <v>#DIV/0!</v>
      </c>
      <c r="Q575" t="str">
        <f t="shared" si="535"/>
        <v>Glass</v>
      </c>
      <c r="R575" t="str">
        <f t="shared" si="536"/>
        <v>Appartments</v>
      </c>
      <c r="S575">
        <f t="shared" si="537"/>
        <v>2</v>
      </c>
      <c r="T575" t="str">
        <f t="shared" si="518"/>
        <v>-</v>
      </c>
      <c r="U575" t="str">
        <f t="shared" si="519"/>
        <v>-</v>
      </c>
      <c r="V575" t="str">
        <f t="shared" si="520"/>
        <v>-</v>
      </c>
      <c r="W575" t="str">
        <f t="shared" si="521"/>
        <v>-</v>
      </c>
      <c r="X575" t="str">
        <f t="shared" si="522"/>
        <v>-</v>
      </c>
      <c r="Y575" t="str">
        <f t="shared" si="523"/>
        <v>-</v>
      </c>
      <c r="Z575" t="str">
        <f t="shared" si="524"/>
        <v>-</v>
      </c>
      <c r="AA575" t="str">
        <f t="shared" si="525"/>
        <v>-</v>
      </c>
      <c r="AB575" t="str">
        <f t="shared" si="526"/>
        <v>-</v>
      </c>
      <c r="AC575" t="str">
        <f t="shared" si="527"/>
        <v>-</v>
      </c>
    </row>
    <row r="576" spans="1:29" x14ac:dyDescent="0.3">
      <c r="A576" t="s">
        <v>437</v>
      </c>
      <c r="B576" t="str">
        <f t="shared" ref="B576:D576" si="590">B472</f>
        <v>Appartments</v>
      </c>
      <c r="C576">
        <f t="shared" si="590"/>
        <v>3</v>
      </c>
      <c r="D576">
        <f t="shared" si="590"/>
        <v>3</v>
      </c>
      <c r="E576" t="e">
        <f ca="1">AVERAGEIFS('Region 3'!$W$2:$W$500,'Region 3'!$A$2:$A$500,E$1,'Region 3'!$X$2:$X$500,$D576,'Region 3'!$S$2:$S$500,$A576)</f>
        <v>#DIV/0!</v>
      </c>
      <c r="F576" t="e">
        <f ca="1">AVERAGEIFS('Region 3'!$W$2:$W$500,'Region 3'!$A$2:$A$500,F$1,'Region 3'!$X$2:$X$500,$D576,'Region 3'!$S$2:$S$500,$A576)</f>
        <v>#DIV/0!</v>
      </c>
      <c r="G576" t="e">
        <f ca="1">AVERAGEIFS('Region 3'!$W$2:$W$500,'Region 3'!$A$2:$A$500,G$1,'Region 3'!$X$2:$X$500,$D576,'Region 3'!$S$2:$S$500,$A576)</f>
        <v>#DIV/0!</v>
      </c>
      <c r="H576" t="e">
        <f ca="1">AVERAGEIFS('Region 3'!$W$2:$W$500,'Region 3'!$A$2:$A$500,H$1,'Region 3'!$X$2:$X$500,$D576,'Region 3'!$S$2:$S$500,$A576)</f>
        <v>#DIV/0!</v>
      </c>
      <c r="I576" t="e">
        <f ca="1">AVERAGEIFS('Region 3'!$W$2:$W$500,'Region 3'!$A$2:$A$500,I$1,'Region 3'!$X$2:$X$500,$D576,'Region 3'!$S$2:$S$500,$A576)</f>
        <v>#DIV/0!</v>
      </c>
      <c r="J576" t="e">
        <f ca="1">AVERAGEIFS('Region 3'!$W$2:$W$500,'Region 3'!$A$2:$A$500,J$1,'Region 3'!$X$2:$X$500,$D576,'Region 3'!$S$2:$S$500,$A576)</f>
        <v>#DIV/0!</v>
      </c>
      <c r="K576" t="e">
        <f ca="1">AVERAGEIFS('Region 3'!$W$2:$W$500,'Region 3'!$A$2:$A$500,K$1,'Region 3'!$X$2:$X$500,$D576,'Region 3'!$S$2:$S$500,$A576)</f>
        <v>#DIV/0!</v>
      </c>
      <c r="L576" t="e">
        <f ca="1">AVERAGEIFS('Region 3'!$W$2:$W$500,'Region 3'!$A$2:$A$500,L$1,'Region 3'!$X$2:$X$500,$D576,'Region 3'!$S$2:$S$500,$A576)</f>
        <v>#DIV/0!</v>
      </c>
      <c r="M576" t="e">
        <f ca="1">AVERAGEIFS('Region 3'!$W$2:$W$500,'Region 3'!$A$2:$A$500,M$1,'Region 3'!$X$2:$X$500,$D576,'Region 3'!$S$2:$S$500,$A576)</f>
        <v>#DIV/0!</v>
      </c>
      <c r="N576" t="e">
        <f ca="1">AVERAGEIFS('Region 3'!$W$2:$W$500,'Region 3'!$A$2:$A$500,N$1,'Region 3'!$X$2:$X$500,$D576,'Region 3'!$S$2:$S$500,$A576)</f>
        <v>#DIV/0!</v>
      </c>
      <c r="Q576" t="str">
        <f t="shared" si="535"/>
        <v>Glass</v>
      </c>
      <c r="R576" t="str">
        <f t="shared" si="536"/>
        <v>Appartments</v>
      </c>
      <c r="S576">
        <f t="shared" si="537"/>
        <v>3</v>
      </c>
      <c r="T576" t="str">
        <f t="shared" ca="1" si="518"/>
        <v>-</v>
      </c>
      <c r="U576" t="str">
        <f t="shared" ca="1" si="519"/>
        <v>-</v>
      </c>
      <c r="V576" t="str">
        <f t="shared" ca="1" si="520"/>
        <v>-</v>
      </c>
      <c r="W576" t="str">
        <f t="shared" ca="1" si="521"/>
        <v>-</v>
      </c>
      <c r="X576" t="str">
        <f t="shared" ca="1" si="522"/>
        <v>-</v>
      </c>
      <c r="Y576" t="str">
        <f t="shared" ca="1" si="523"/>
        <v>-</v>
      </c>
      <c r="Z576" t="str">
        <f t="shared" ca="1" si="524"/>
        <v>-</v>
      </c>
      <c r="AA576" t="str">
        <f t="shared" ca="1" si="525"/>
        <v>-</v>
      </c>
      <c r="AB576" t="str">
        <f t="shared" ca="1" si="526"/>
        <v>-</v>
      </c>
      <c r="AC576" t="str">
        <f t="shared" ca="1" si="527"/>
        <v>-</v>
      </c>
    </row>
    <row r="577" spans="1:29" x14ac:dyDescent="0.3">
      <c r="A577" t="s">
        <v>437</v>
      </c>
      <c r="B577" t="str">
        <f t="shared" ref="B577:D577" si="591">B473</f>
        <v>Appartments</v>
      </c>
      <c r="C577">
        <f t="shared" si="591"/>
        <v>4</v>
      </c>
      <c r="D577">
        <f t="shared" si="591"/>
        <v>3</v>
      </c>
      <c r="E577" t="e">
        <f>AVERAGEIFS('Region 4'!$W$2:$W$10,'Region 4'!$A$2:$A$10,E$1,'Region 4'!$X$2:$X$10,$D577,'Region 4'!$S$2:$S$10,$A577)</f>
        <v>#DIV/0!</v>
      </c>
      <c r="F577" t="e">
        <f>AVERAGEIFS('Region 4'!$W$2:$W$10,'Region 4'!$A$2:$A$10,F$1,'Region 4'!$X$2:$X$10,$D577,'Region 4'!$S$2:$S$10,$A577)</f>
        <v>#DIV/0!</v>
      </c>
      <c r="G577" t="e">
        <f>AVERAGEIFS('Region 4'!$W$2:$W$10,'Region 4'!$A$2:$A$10,G$1,'Region 4'!$X$2:$X$10,$D577,'Region 4'!$S$2:$S$10,$A577)</f>
        <v>#DIV/0!</v>
      </c>
      <c r="H577" t="e">
        <f>AVERAGEIFS('Region 4'!$W$2:$W$10,'Region 4'!$A$2:$A$10,H$1,'Region 4'!$X$2:$X$10,$D577,'Region 4'!$S$2:$S$10,$A577)</f>
        <v>#DIV/0!</v>
      </c>
      <c r="I577" t="e">
        <f>AVERAGEIFS('Region 4'!$W$2:$W$10,'Region 4'!$A$2:$A$10,I$1,'Region 4'!$X$2:$X$10,$D577,'Region 4'!$S$2:$S$10,$A577)</f>
        <v>#DIV/0!</v>
      </c>
      <c r="J577" t="e">
        <f>AVERAGEIFS('Region 4'!$W$2:$W$10,'Region 4'!$A$2:$A$10,J$1,'Region 4'!$X$2:$X$10,$D577,'Region 4'!$S$2:$S$10,$A577)</f>
        <v>#DIV/0!</v>
      </c>
      <c r="K577" t="e">
        <f>AVERAGEIFS('Region 4'!$W$2:$W$10,'Region 4'!$A$2:$A$10,K$1,'Region 4'!$X$2:$X$10,$D577,'Region 4'!$S$2:$S$10,$A577)</f>
        <v>#DIV/0!</v>
      </c>
      <c r="L577" t="e">
        <f>AVERAGEIFS('Region 4'!$W$2:$W$10,'Region 4'!$A$2:$A$10,L$1,'Region 4'!$X$2:$X$10,$D577,'Region 4'!$S$2:$S$10,$A577)</f>
        <v>#DIV/0!</v>
      </c>
      <c r="M577" t="e">
        <f>AVERAGEIFS('Region 4'!$W$2:$W$10,'Region 4'!$A$2:$A$10,M$1,'Region 4'!$X$2:$X$10,$D577,'Region 4'!$S$2:$S$10,$A577)</f>
        <v>#DIV/0!</v>
      </c>
      <c r="N577" t="e">
        <f>AVERAGEIFS('Region 4'!$W$2:$W$10,'Region 4'!$A$2:$A$10,N$1,'Region 4'!$X$2:$X$10,$D577,'Region 4'!$S$2:$S$10,$A577)</f>
        <v>#DIV/0!</v>
      </c>
      <c r="Q577" t="str">
        <f t="shared" si="535"/>
        <v>Glass</v>
      </c>
      <c r="R577" t="str">
        <f t="shared" si="536"/>
        <v>Appartments</v>
      </c>
      <c r="S577">
        <f t="shared" si="537"/>
        <v>4</v>
      </c>
      <c r="T577" t="str">
        <f t="shared" si="518"/>
        <v>-</v>
      </c>
      <c r="U577" t="str">
        <f t="shared" si="519"/>
        <v>-</v>
      </c>
      <c r="V577" t="str">
        <f t="shared" si="520"/>
        <v>-</v>
      </c>
      <c r="W577" t="str">
        <f t="shared" si="521"/>
        <v>-</v>
      </c>
      <c r="X577" t="str">
        <f t="shared" si="522"/>
        <v>-</v>
      </c>
      <c r="Y577" t="str">
        <f t="shared" si="523"/>
        <v>-</v>
      </c>
      <c r="Z577" t="str">
        <f t="shared" si="524"/>
        <v>-</v>
      </c>
      <c r="AA577" t="str">
        <f t="shared" si="525"/>
        <v>-</v>
      </c>
      <c r="AB577" t="str">
        <f t="shared" si="526"/>
        <v>-</v>
      </c>
      <c r="AC577" t="str">
        <f t="shared" si="527"/>
        <v>-</v>
      </c>
    </row>
    <row r="578" spans="1:29" x14ac:dyDescent="0.3">
      <c r="A578" t="s">
        <v>437</v>
      </c>
      <c r="B578" t="str">
        <f t="shared" ref="B578:D578" si="592">B474</f>
        <v>Appartments</v>
      </c>
      <c r="C578">
        <f t="shared" si="592"/>
        <v>5</v>
      </c>
      <c r="D578">
        <f t="shared" si="592"/>
        <v>3</v>
      </c>
      <c r="E578" t="e">
        <f>AVERAGEIFS('Region 5'!$W$2:$W$496,'Region 5'!$A$2:$A$496,E$1,'Region 5'!$X$2:$X$496,$D578,'Region 5'!$S$2:$S$496,$A578)</f>
        <v>#DIV/0!</v>
      </c>
      <c r="F578" t="e">
        <f>AVERAGEIFS('Region 5'!$W$2:$W$496,'Region 5'!$A$2:$A$496,F$1,'Region 5'!$X$2:$X$496,$D578,'Region 5'!$S$2:$S$496,$A578)</f>
        <v>#DIV/0!</v>
      </c>
      <c r="G578" t="e">
        <f>AVERAGEIFS('Region 5'!$W$2:$W$496,'Region 5'!$A$2:$A$496,G$1,'Region 5'!$X$2:$X$496,$D578,'Region 5'!$S$2:$S$496,$A578)</f>
        <v>#DIV/0!</v>
      </c>
      <c r="H578" t="e">
        <f>AVERAGEIFS('Region 5'!$W$2:$W$496,'Region 5'!$A$2:$A$496,H$1,'Region 5'!$X$2:$X$496,$D578,'Region 5'!$S$2:$S$496,$A578)</f>
        <v>#DIV/0!</v>
      </c>
      <c r="I578" t="e">
        <f>AVERAGEIFS('Region 5'!$W$2:$W$496,'Region 5'!$A$2:$A$496,I$1,'Region 5'!$X$2:$X$496,$D578,'Region 5'!$S$2:$S$496,$A578)</f>
        <v>#DIV/0!</v>
      </c>
      <c r="J578" t="e">
        <f>AVERAGEIFS('Region 5'!$W$2:$W$496,'Region 5'!$A$2:$A$496,J$1,'Region 5'!$X$2:$X$496,$D578,'Region 5'!$S$2:$S$496,$A578)</f>
        <v>#DIV/0!</v>
      </c>
      <c r="K578" t="e">
        <f>AVERAGEIFS('Region 5'!$W$2:$W$496,'Region 5'!$A$2:$A$496,K$1,'Region 5'!$X$2:$X$496,$D578,'Region 5'!$S$2:$S$496,$A578)</f>
        <v>#DIV/0!</v>
      </c>
      <c r="L578" t="e">
        <f>AVERAGEIFS('Region 5'!$W$2:$W$496,'Region 5'!$A$2:$A$496,L$1,'Region 5'!$X$2:$X$496,$D578,'Region 5'!$S$2:$S$496,$A578)</f>
        <v>#DIV/0!</v>
      </c>
      <c r="M578" t="e">
        <f>AVERAGEIFS('Region 5'!$W$2:$W$496,'Region 5'!$A$2:$A$496,M$1,'Region 5'!$X$2:$X$496,$D578,'Region 5'!$S$2:$S$496,$A578)</f>
        <v>#DIV/0!</v>
      </c>
      <c r="N578" t="e">
        <f>AVERAGEIFS('Region 5'!$W$2:$W$496,'Region 5'!$A$2:$A$496,N$1,'Region 5'!$X$2:$X$496,$D578,'Region 5'!$S$2:$S$496,$A578)</f>
        <v>#DIV/0!</v>
      </c>
      <c r="Q578" t="str">
        <f t="shared" si="535"/>
        <v>Glass</v>
      </c>
      <c r="R578" t="str">
        <f t="shared" si="536"/>
        <v>Appartments</v>
      </c>
      <c r="S578">
        <f t="shared" si="537"/>
        <v>5</v>
      </c>
      <c r="T578" t="str">
        <f t="shared" si="518"/>
        <v>-</v>
      </c>
      <c r="U578" t="str">
        <f t="shared" si="519"/>
        <v>-</v>
      </c>
      <c r="V578" t="str">
        <f t="shared" si="520"/>
        <v>-</v>
      </c>
      <c r="W578" t="str">
        <f t="shared" si="521"/>
        <v>-</v>
      </c>
      <c r="X578" t="str">
        <f t="shared" si="522"/>
        <v>-</v>
      </c>
      <c r="Y578" t="str">
        <f t="shared" si="523"/>
        <v>-</v>
      </c>
      <c r="Z578" t="str">
        <f t="shared" si="524"/>
        <v>-</v>
      </c>
      <c r="AA578" t="str">
        <f t="shared" si="525"/>
        <v>-</v>
      </c>
      <c r="AB578" t="str">
        <f t="shared" si="526"/>
        <v>-</v>
      </c>
      <c r="AC578" t="str">
        <f t="shared" si="527"/>
        <v>-</v>
      </c>
    </row>
    <row r="579" spans="1:29" x14ac:dyDescent="0.3">
      <c r="A579" t="s">
        <v>437</v>
      </c>
      <c r="B579" t="str">
        <f t="shared" ref="B579:D579" si="593">B475</f>
        <v>Appartments</v>
      </c>
      <c r="C579">
        <f t="shared" si="593"/>
        <v>6</v>
      </c>
      <c r="D579">
        <f t="shared" si="593"/>
        <v>3</v>
      </c>
      <c r="E579">
        <f>AVERAGEIFS('Region 6'!$W$2:$W$496,'Region 6'!$A$2:$A$496,E$1,'Region 6'!$X$2:$X$496,$D579,'Region 6'!$S$2:$S$496,$A579)</f>
        <v>1.8</v>
      </c>
      <c r="F579" t="e">
        <f>AVERAGEIFS('Region 6'!$W$2:$W$496,'Region 6'!$A$2:$A$496,F$1,'Region 6'!$X$2:$X$496,$D579,'Region 6'!$S$2:$S$496,$A579)</f>
        <v>#DIV/0!</v>
      </c>
      <c r="G579" t="e">
        <f>AVERAGEIFS('Region 6'!$W$2:$W$496,'Region 6'!$A$2:$A$496,G$1,'Region 6'!$X$2:$X$496,$D579,'Region 6'!$S$2:$S$496,$A579)</f>
        <v>#DIV/0!</v>
      </c>
      <c r="H579" t="e">
        <f>AVERAGEIFS('Region 6'!$W$2:$W$496,'Region 6'!$A$2:$A$496,H$1,'Region 6'!$X$2:$X$496,$D579,'Region 6'!$S$2:$S$496,$A579)</f>
        <v>#DIV/0!</v>
      </c>
      <c r="I579" t="e">
        <f>AVERAGEIFS('Region 6'!$W$2:$W$496,'Region 6'!$A$2:$A$496,I$1,'Region 6'!$X$2:$X$496,$D579,'Region 6'!$S$2:$S$496,$A579)</f>
        <v>#DIV/0!</v>
      </c>
      <c r="J579" t="e">
        <f>AVERAGEIFS('Region 6'!$W$2:$W$496,'Region 6'!$A$2:$A$496,J$1,'Region 6'!$X$2:$X$496,$D579,'Region 6'!$S$2:$S$496,$A579)</f>
        <v>#DIV/0!</v>
      </c>
      <c r="K579" t="e">
        <f>AVERAGEIFS('Region 6'!$W$2:$W$496,'Region 6'!$A$2:$A$496,K$1,'Region 6'!$X$2:$X$496,$D579,'Region 6'!$S$2:$S$496,$A579)</f>
        <v>#DIV/0!</v>
      </c>
      <c r="L579" t="e">
        <f>AVERAGEIFS('Region 6'!$W$2:$W$496,'Region 6'!$A$2:$A$496,L$1,'Region 6'!$X$2:$X$496,$D579,'Region 6'!$S$2:$S$496,$A579)</f>
        <v>#DIV/0!</v>
      </c>
      <c r="M579" t="e">
        <f>AVERAGEIFS('Region 6'!$W$2:$W$496,'Region 6'!$A$2:$A$496,M$1,'Region 6'!$X$2:$X$496,$D579,'Region 6'!$S$2:$S$496,$A579)</f>
        <v>#DIV/0!</v>
      </c>
      <c r="N579" t="e">
        <f>AVERAGEIFS('Region 6'!$W$2:$W$496,'Region 6'!$A$2:$A$496,N$1,'Region 6'!$X$2:$X$496,$D579,'Region 6'!$S$2:$S$496,$A579)</f>
        <v>#DIV/0!</v>
      </c>
      <c r="Q579" t="str">
        <f t="shared" si="535"/>
        <v>Glass</v>
      </c>
      <c r="R579" t="str">
        <f t="shared" si="536"/>
        <v>Appartments</v>
      </c>
      <c r="S579">
        <f t="shared" si="537"/>
        <v>6</v>
      </c>
      <c r="T579">
        <f t="shared" ref="T579:T625" si="594">IF(ISNUMBER(E579),E579,"-")</f>
        <v>1.8</v>
      </c>
      <c r="U579" t="str">
        <f t="shared" ref="U579:U625" si="595">IF(ISNUMBER(F579),F579,"-")</f>
        <v>-</v>
      </c>
      <c r="V579" t="str">
        <f t="shared" ref="V579:V625" si="596">IF(ISNUMBER(G579),G579,"-")</f>
        <v>-</v>
      </c>
      <c r="W579" t="str">
        <f t="shared" ref="W579:W625" si="597">IF(ISNUMBER(H579),H579,"-")</f>
        <v>-</v>
      </c>
      <c r="X579" t="str">
        <f t="shared" ref="X579:X625" si="598">IF(ISNUMBER(I579),I579,"-")</f>
        <v>-</v>
      </c>
      <c r="Y579" t="str">
        <f t="shared" ref="Y579:Y625" si="599">IF(ISNUMBER(J579),J579,"-")</f>
        <v>-</v>
      </c>
      <c r="Z579" t="str">
        <f t="shared" ref="Z579:Z625" si="600">IF(ISNUMBER(K579),K579,"-")</f>
        <v>-</v>
      </c>
      <c r="AA579" t="str">
        <f t="shared" ref="AA579:AA625" si="601">IF(ISNUMBER(L579),L579,"-")</f>
        <v>-</v>
      </c>
      <c r="AB579" t="str">
        <f t="shared" ref="AB579:AB625" si="602">IF(ISNUMBER(M579),M579,"-")</f>
        <v>-</v>
      </c>
      <c r="AC579" t="str">
        <f t="shared" ref="AC579:AC625" si="603">IF(ISNUMBER(N579),N579,"-")</f>
        <v>-</v>
      </c>
    </row>
    <row r="580" spans="1:29" x14ac:dyDescent="0.3">
      <c r="A580" t="s">
        <v>437</v>
      </c>
      <c r="B580" t="str">
        <f t="shared" ref="B580:D580" si="604">B476</f>
        <v>Appartments</v>
      </c>
      <c r="C580">
        <f t="shared" si="604"/>
        <v>7</v>
      </c>
      <c r="D580">
        <f t="shared" si="604"/>
        <v>3</v>
      </c>
      <c r="E580" t="e">
        <f ca="1">AVERAGEIFS('Region 7'!$W$2:$W$500,'Region 7'!$A$2:$A$500,E$1,'Region 7'!$X$2:$X$500,$D580,'Region 7'!$S$2:$S$500,$A580)</f>
        <v>#DIV/0!</v>
      </c>
      <c r="F580" t="e">
        <f ca="1">AVERAGEIFS('Region 7'!$W$2:$W$500,'Region 7'!$A$2:$A$500,F$1,'Region 7'!$X$2:$X$500,$D580,'Region 7'!$S$2:$S$500,$A580)</f>
        <v>#DIV/0!</v>
      </c>
      <c r="G580" t="e">
        <f ca="1">AVERAGEIFS('Region 7'!$W$2:$W$500,'Region 7'!$A$2:$A$500,G$1,'Region 7'!$X$2:$X$500,$D580,'Region 7'!$S$2:$S$500,$A580)</f>
        <v>#DIV/0!</v>
      </c>
      <c r="H580" t="e">
        <f ca="1">AVERAGEIFS('Region 7'!$W$2:$W$500,'Region 7'!$A$2:$A$500,H$1,'Region 7'!$X$2:$X$500,$D580,'Region 7'!$S$2:$S$500,$A580)</f>
        <v>#DIV/0!</v>
      </c>
      <c r="I580" t="e">
        <f ca="1">AVERAGEIFS('Region 7'!$W$2:$W$500,'Region 7'!$A$2:$A$500,I$1,'Region 7'!$X$2:$X$500,$D580,'Region 7'!$S$2:$S$500,$A580)</f>
        <v>#DIV/0!</v>
      </c>
      <c r="J580" t="e">
        <f ca="1">AVERAGEIFS('Region 7'!$W$2:$W$500,'Region 7'!$A$2:$A$500,J$1,'Region 7'!$X$2:$X$500,$D580,'Region 7'!$S$2:$S$500,$A580)</f>
        <v>#DIV/0!</v>
      </c>
      <c r="K580" t="e">
        <f ca="1">AVERAGEIFS('Region 7'!$W$2:$W$500,'Region 7'!$A$2:$A$500,K$1,'Region 7'!$X$2:$X$500,$D580,'Region 7'!$S$2:$S$500,$A580)</f>
        <v>#DIV/0!</v>
      </c>
      <c r="L580" t="e">
        <f ca="1">AVERAGEIFS('Region 7'!$W$2:$W$500,'Region 7'!$A$2:$A$500,L$1,'Region 7'!$X$2:$X$500,$D580,'Region 7'!$S$2:$S$500,$A580)</f>
        <v>#DIV/0!</v>
      </c>
      <c r="M580" t="e">
        <f ca="1">AVERAGEIFS('Region 7'!$W$2:$W$500,'Region 7'!$A$2:$A$500,M$1,'Region 7'!$X$2:$X$500,$D580,'Region 7'!$S$2:$S$500,$A580)</f>
        <v>#DIV/0!</v>
      </c>
      <c r="N580" t="e">
        <f ca="1">AVERAGEIFS('Region 7'!$W$2:$W$500,'Region 7'!$A$2:$A$500,N$1,'Region 7'!$X$2:$X$500,$D580,'Region 7'!$S$2:$S$500,$A580)</f>
        <v>#DIV/0!</v>
      </c>
      <c r="Q580" t="str">
        <f t="shared" si="535"/>
        <v>Glass</v>
      </c>
      <c r="R580" t="str">
        <f t="shared" si="536"/>
        <v>Appartments</v>
      </c>
      <c r="S580">
        <f t="shared" si="537"/>
        <v>7</v>
      </c>
      <c r="T580" t="str">
        <f t="shared" ca="1" si="594"/>
        <v>-</v>
      </c>
      <c r="U580" t="str">
        <f t="shared" ca="1" si="595"/>
        <v>-</v>
      </c>
      <c r="V580" t="str">
        <f t="shared" ca="1" si="596"/>
        <v>-</v>
      </c>
      <c r="W580" t="str">
        <f t="shared" ca="1" si="597"/>
        <v>-</v>
      </c>
      <c r="X580" t="str">
        <f t="shared" ca="1" si="598"/>
        <v>-</v>
      </c>
      <c r="Y580" t="str">
        <f t="shared" ca="1" si="599"/>
        <v>-</v>
      </c>
      <c r="Z580" t="str">
        <f t="shared" ca="1" si="600"/>
        <v>-</v>
      </c>
      <c r="AA580" t="str">
        <f t="shared" ca="1" si="601"/>
        <v>-</v>
      </c>
      <c r="AB580" t="str">
        <f t="shared" ca="1" si="602"/>
        <v>-</v>
      </c>
      <c r="AC580" t="str">
        <f t="shared" ca="1" si="603"/>
        <v>-</v>
      </c>
    </row>
    <row r="581" spans="1:29" x14ac:dyDescent="0.3">
      <c r="A581" t="s">
        <v>437</v>
      </c>
      <c r="B581" t="str">
        <f t="shared" ref="B581:D581" si="605">B477</f>
        <v>Appartments</v>
      </c>
      <c r="C581">
        <f t="shared" si="605"/>
        <v>8</v>
      </c>
      <c r="D581">
        <f t="shared" si="605"/>
        <v>3</v>
      </c>
      <c r="E581" t="e">
        <f>AVERAGEIFS('Region 8'!$W$2:$W$497,'Region 8'!$A$2:$A$497,E$1,'Region 8'!$X$2:$X$497,$D581,'Region 8'!$S$2:$S$497,$A581)</f>
        <v>#DIV/0!</v>
      </c>
      <c r="F581" t="e">
        <f>AVERAGEIFS('Region 8'!$W$2:$W$497,'Region 8'!$A$2:$A$497,F$1,'Region 8'!$X$2:$X$497,$D581,'Region 8'!$S$2:$S$497,$A581)</f>
        <v>#DIV/0!</v>
      </c>
      <c r="G581" t="e">
        <f>AVERAGEIFS('Region 8'!$W$2:$W$497,'Region 8'!$A$2:$A$497,G$1,'Region 8'!$X$2:$X$497,$D581,'Region 8'!$S$2:$S$497,$A581)</f>
        <v>#DIV/0!</v>
      </c>
      <c r="H581" t="e">
        <f>AVERAGEIFS('Region 8'!$W$2:$W$497,'Region 8'!$A$2:$A$497,H$1,'Region 8'!$X$2:$X$497,$D581,'Region 8'!$S$2:$S$497,$A581)</f>
        <v>#DIV/0!</v>
      </c>
      <c r="I581" t="e">
        <f>AVERAGEIFS('Region 8'!$W$2:$W$497,'Region 8'!$A$2:$A$497,I$1,'Region 8'!$X$2:$X$497,$D581,'Region 8'!$S$2:$S$497,$A581)</f>
        <v>#DIV/0!</v>
      </c>
      <c r="J581" t="e">
        <f>AVERAGEIFS('Region 8'!$W$2:$W$497,'Region 8'!$A$2:$A$497,J$1,'Region 8'!$X$2:$X$497,$D581,'Region 8'!$S$2:$S$497,$A581)</f>
        <v>#DIV/0!</v>
      </c>
      <c r="K581" t="e">
        <f>AVERAGEIFS('Region 8'!$W$2:$W$497,'Region 8'!$A$2:$A$497,K$1,'Region 8'!$X$2:$X$497,$D581,'Region 8'!$S$2:$S$497,$A581)</f>
        <v>#DIV/0!</v>
      </c>
      <c r="L581" t="e">
        <f>AVERAGEIFS('Region 8'!$W$2:$W$497,'Region 8'!$A$2:$A$497,L$1,'Region 8'!$X$2:$X$497,$D581,'Region 8'!$S$2:$S$497,$A581)</f>
        <v>#DIV/0!</v>
      </c>
      <c r="M581" t="e">
        <f>AVERAGEIFS('Region 8'!$W$2:$W$497,'Region 8'!$A$2:$A$497,M$1,'Region 8'!$X$2:$X$497,$D581,'Region 8'!$S$2:$S$497,$A581)</f>
        <v>#DIV/0!</v>
      </c>
      <c r="N581" t="e">
        <f>AVERAGEIFS('Region 8'!$W$2:$W$497,'Region 8'!$A$2:$A$497,N$1,'Region 8'!$X$2:$X$497,$D581,'Region 8'!$S$2:$S$497,$A581)</f>
        <v>#DIV/0!</v>
      </c>
      <c r="Q581" t="str">
        <f t="shared" si="535"/>
        <v>Glass</v>
      </c>
      <c r="R581" t="str">
        <f t="shared" si="536"/>
        <v>Appartments</v>
      </c>
      <c r="S581">
        <f t="shared" si="537"/>
        <v>8</v>
      </c>
      <c r="T581" t="str">
        <f t="shared" si="594"/>
        <v>-</v>
      </c>
      <c r="U581" t="str">
        <f t="shared" si="595"/>
        <v>-</v>
      </c>
      <c r="V581" t="str">
        <f t="shared" si="596"/>
        <v>-</v>
      </c>
      <c r="W581" t="str">
        <f t="shared" si="597"/>
        <v>-</v>
      </c>
      <c r="X581" t="str">
        <f t="shared" si="598"/>
        <v>-</v>
      </c>
      <c r="Y581" t="str">
        <f t="shared" si="599"/>
        <v>-</v>
      </c>
      <c r="Z581" t="str">
        <f t="shared" si="600"/>
        <v>-</v>
      </c>
      <c r="AA581" t="str">
        <f t="shared" si="601"/>
        <v>-</v>
      </c>
      <c r="AB581" t="str">
        <f t="shared" si="602"/>
        <v>-</v>
      </c>
      <c r="AC581" t="str">
        <f t="shared" si="603"/>
        <v>-</v>
      </c>
    </row>
    <row r="582" spans="1:29" x14ac:dyDescent="0.3">
      <c r="A582" t="s">
        <v>437</v>
      </c>
      <c r="B582" t="str">
        <f t="shared" ref="B582:D582" si="606">B478</f>
        <v>Appartments</v>
      </c>
      <c r="C582">
        <f t="shared" si="606"/>
        <v>9</v>
      </c>
      <c r="D582">
        <f t="shared" si="606"/>
        <v>3</v>
      </c>
      <c r="E582" t="e">
        <f ca="1">AVERAGEIFS('Region 9'!$W$2:$W$500,'Region 9'!$A$2:$A$500,E$1,'Region 9'!$X$2:$X$500,$D582,'Region 9'!$S$2:$S$500,$A582)</f>
        <v>#DIV/0!</v>
      </c>
      <c r="F582" t="e">
        <f ca="1">AVERAGEIFS('Region 9'!$W$2:$W$500,'Region 9'!$A$2:$A$500,F$1,'Region 9'!$X$2:$X$500,$D582,'Region 9'!$S$2:$S$500,$A582)</f>
        <v>#DIV/0!</v>
      </c>
      <c r="G582" t="e">
        <f ca="1">AVERAGEIFS('Region 9'!$W$2:$W$500,'Region 9'!$A$2:$A$500,G$1,'Region 9'!$X$2:$X$500,$D582,'Region 9'!$S$2:$S$500,$A582)</f>
        <v>#DIV/0!</v>
      </c>
      <c r="H582" t="e">
        <f ca="1">AVERAGEIFS('Region 9'!$W$2:$W$500,'Region 9'!$A$2:$A$500,H$1,'Region 9'!$X$2:$X$500,$D582,'Region 9'!$S$2:$S$500,$A582)</f>
        <v>#DIV/0!</v>
      </c>
      <c r="I582" t="e">
        <f ca="1">AVERAGEIFS('Region 9'!$W$2:$W$500,'Region 9'!$A$2:$A$500,I$1,'Region 9'!$X$2:$X$500,$D582,'Region 9'!$S$2:$S$500,$A582)</f>
        <v>#DIV/0!</v>
      </c>
      <c r="J582" t="e">
        <f ca="1">AVERAGEIFS('Region 9'!$W$2:$W$500,'Region 9'!$A$2:$A$500,J$1,'Region 9'!$X$2:$X$500,$D582,'Region 9'!$S$2:$S$500,$A582)</f>
        <v>#DIV/0!</v>
      </c>
      <c r="K582" t="e">
        <f ca="1">AVERAGEIFS('Region 9'!$W$2:$W$500,'Region 9'!$A$2:$A$500,K$1,'Region 9'!$X$2:$X$500,$D582,'Region 9'!$S$2:$S$500,$A582)</f>
        <v>#DIV/0!</v>
      </c>
      <c r="L582" t="e">
        <f ca="1">AVERAGEIFS('Region 9'!$W$2:$W$500,'Region 9'!$A$2:$A$500,L$1,'Region 9'!$X$2:$X$500,$D582,'Region 9'!$S$2:$S$500,$A582)</f>
        <v>#DIV/0!</v>
      </c>
      <c r="M582" t="e">
        <f ca="1">AVERAGEIFS('Region 9'!$W$2:$W$500,'Region 9'!$A$2:$A$500,M$1,'Region 9'!$X$2:$X$500,$D582,'Region 9'!$S$2:$S$500,$A582)</f>
        <v>#DIV/0!</v>
      </c>
      <c r="N582" t="e">
        <f ca="1">AVERAGEIFS('Region 9'!$W$2:$W$500,'Region 9'!$A$2:$A$500,N$1,'Region 9'!$X$2:$X$500,$D582,'Region 9'!$S$2:$S$500,$A582)</f>
        <v>#DIV/0!</v>
      </c>
      <c r="Q582" t="str">
        <f t="shared" si="535"/>
        <v>Glass</v>
      </c>
      <c r="R582" t="str">
        <f t="shared" si="536"/>
        <v>Appartments</v>
      </c>
      <c r="S582">
        <f t="shared" si="537"/>
        <v>9</v>
      </c>
      <c r="T582" t="str">
        <f t="shared" ca="1" si="594"/>
        <v>-</v>
      </c>
      <c r="U582" t="str">
        <f t="shared" ca="1" si="595"/>
        <v>-</v>
      </c>
      <c r="V582" t="str">
        <f t="shared" ca="1" si="596"/>
        <v>-</v>
      </c>
      <c r="W582" t="str">
        <f t="shared" ca="1" si="597"/>
        <v>-</v>
      </c>
      <c r="X582" t="str">
        <f t="shared" ca="1" si="598"/>
        <v>-</v>
      </c>
      <c r="Y582" t="str">
        <f t="shared" ca="1" si="599"/>
        <v>-</v>
      </c>
      <c r="Z582" t="str">
        <f t="shared" ca="1" si="600"/>
        <v>-</v>
      </c>
      <c r="AA582" t="str">
        <f t="shared" ca="1" si="601"/>
        <v>-</v>
      </c>
      <c r="AB582" t="str">
        <f t="shared" ca="1" si="602"/>
        <v>-</v>
      </c>
      <c r="AC582" t="str">
        <f t="shared" ca="1" si="603"/>
        <v>-</v>
      </c>
    </row>
    <row r="583" spans="1:29" x14ac:dyDescent="0.3">
      <c r="A583" t="s">
        <v>437</v>
      </c>
      <c r="B583" t="str">
        <f t="shared" ref="B583:D583" si="607">B479</f>
        <v>Appartments</v>
      </c>
      <c r="C583">
        <f t="shared" si="607"/>
        <v>10</v>
      </c>
      <c r="D583">
        <f t="shared" si="607"/>
        <v>3</v>
      </c>
      <c r="E583" t="e">
        <f>AVERAGEIFS('Region 10'!$W$2:$W$500,'Region 10'!$A$2:$A$500,E$1,'Region 10'!$X$2:$X$500,$D583,'Region 10'!$S$2:$S$500,$A583)</f>
        <v>#DIV/0!</v>
      </c>
      <c r="F583" t="e">
        <f>AVERAGEIFS('Region 10'!$W$2:$W$500,'Region 10'!$A$2:$A$500,F$1,'Region 10'!$X$2:$X$500,$D583,'Region 10'!$S$2:$S$500,$A583)</f>
        <v>#DIV/0!</v>
      </c>
      <c r="G583" t="e">
        <f>AVERAGEIFS('Region 10'!$W$2:$W$500,'Region 10'!$A$2:$A$500,G$1,'Region 10'!$X$2:$X$500,$D583,'Region 10'!$S$2:$S$500,$A583)</f>
        <v>#DIV/0!</v>
      </c>
      <c r="H583" t="e">
        <f>AVERAGEIFS('Region 10'!$W$2:$W$500,'Region 10'!$A$2:$A$500,H$1,'Region 10'!$X$2:$X$500,$D583,'Region 10'!$S$2:$S$500,$A583)</f>
        <v>#DIV/0!</v>
      </c>
      <c r="I583" t="e">
        <f>AVERAGEIFS('Region 10'!$W$2:$W$500,'Region 10'!$A$2:$A$500,I$1,'Region 10'!$X$2:$X$500,$D583,'Region 10'!$S$2:$S$500,$A583)</f>
        <v>#DIV/0!</v>
      </c>
      <c r="J583" t="e">
        <f>AVERAGEIFS('Region 10'!$W$2:$W$500,'Region 10'!$A$2:$A$500,J$1,'Region 10'!$X$2:$X$500,$D583,'Region 10'!$S$2:$S$500,$A583)</f>
        <v>#DIV/0!</v>
      </c>
      <c r="K583" t="e">
        <f>AVERAGEIFS('Region 10'!$W$2:$W$500,'Region 10'!$A$2:$A$500,K$1,'Region 10'!$X$2:$X$500,$D583,'Region 10'!$S$2:$S$500,$A583)</f>
        <v>#DIV/0!</v>
      </c>
      <c r="L583" t="e">
        <f>AVERAGEIFS('Region 10'!$W$2:$W$500,'Region 10'!$A$2:$A$500,L$1,'Region 10'!$X$2:$X$500,$D583,'Region 10'!$S$2:$S$500,$A583)</f>
        <v>#DIV/0!</v>
      </c>
      <c r="M583" t="e">
        <f>AVERAGEIFS('Region 10'!$W$2:$W$500,'Region 10'!$A$2:$A$500,M$1,'Region 10'!$X$2:$X$500,$D583,'Region 10'!$S$2:$S$500,$A583)</f>
        <v>#DIV/0!</v>
      </c>
      <c r="N583" t="e">
        <f>AVERAGEIFS('Region 10'!$W$2:$W$500,'Region 10'!$A$2:$A$500,N$1,'Region 10'!$X$2:$X$500,$D583,'Region 10'!$S$2:$S$500,$A583)</f>
        <v>#DIV/0!</v>
      </c>
      <c r="Q583" t="str">
        <f t="shared" si="535"/>
        <v>Glass</v>
      </c>
      <c r="R583" t="str">
        <f t="shared" si="536"/>
        <v>Appartments</v>
      </c>
      <c r="S583">
        <f t="shared" si="537"/>
        <v>10</v>
      </c>
      <c r="T583" t="str">
        <f t="shared" si="594"/>
        <v>-</v>
      </c>
      <c r="U583" t="str">
        <f t="shared" si="595"/>
        <v>-</v>
      </c>
      <c r="V583" t="str">
        <f t="shared" si="596"/>
        <v>-</v>
      </c>
      <c r="W583" t="str">
        <f t="shared" si="597"/>
        <v>-</v>
      </c>
      <c r="X583" t="str">
        <f t="shared" si="598"/>
        <v>-</v>
      </c>
      <c r="Y583" t="str">
        <f t="shared" si="599"/>
        <v>-</v>
      </c>
      <c r="Z583" t="str">
        <f t="shared" si="600"/>
        <v>-</v>
      </c>
      <c r="AA583" t="str">
        <f t="shared" si="601"/>
        <v>-</v>
      </c>
      <c r="AB583" t="str">
        <f t="shared" si="602"/>
        <v>-</v>
      </c>
      <c r="AC583" t="str">
        <f t="shared" si="603"/>
        <v>-</v>
      </c>
    </row>
    <row r="584" spans="1:29" x14ac:dyDescent="0.3">
      <c r="A584" t="s">
        <v>437</v>
      </c>
      <c r="B584" t="str">
        <f t="shared" ref="B584:D584" si="608">B480</f>
        <v>Appartments</v>
      </c>
      <c r="C584">
        <f t="shared" si="608"/>
        <v>11</v>
      </c>
      <c r="D584">
        <f t="shared" si="608"/>
        <v>3</v>
      </c>
      <c r="E584" t="e">
        <f>AVERAGEIFS('Region 11'!$W$2:$W$391,'Region 11'!$A$2:$A$391,E$1,'Region 11'!$X$2:$X$391,$D584,'Region 11'!$S$2:$S$391,$A584)</f>
        <v>#DIV/0!</v>
      </c>
      <c r="F584" t="e">
        <f>AVERAGEIFS('Region 11'!$W$2:$W$391,'Region 11'!$A$2:$A$391,F$1,'Region 11'!$X$2:$X$391,$D584,'Region 11'!$S$2:$S$391,$A584)</f>
        <v>#DIV/0!</v>
      </c>
      <c r="G584" t="e">
        <f>AVERAGEIFS('Region 11'!$W$2:$W$391,'Region 11'!$A$2:$A$391,G$1,'Region 11'!$X$2:$X$391,$D584,'Region 11'!$S$2:$S$391,$A584)</f>
        <v>#DIV/0!</v>
      </c>
      <c r="H584" t="e">
        <f>AVERAGEIFS('Region 11'!$W$2:$W$391,'Region 11'!$A$2:$A$391,H$1,'Region 11'!$X$2:$X$391,$D584,'Region 11'!$S$2:$S$391,$A584)</f>
        <v>#DIV/0!</v>
      </c>
      <c r="I584" t="e">
        <f>AVERAGEIFS('Region 11'!$W$2:$W$391,'Region 11'!$A$2:$A$391,I$1,'Region 11'!$X$2:$X$391,$D584,'Region 11'!$S$2:$S$391,$A584)</f>
        <v>#DIV/0!</v>
      </c>
      <c r="J584" t="e">
        <f>AVERAGEIFS('Region 11'!$W$2:$W$391,'Region 11'!$A$2:$A$391,J$1,'Region 11'!$X$2:$X$391,$D584,'Region 11'!$S$2:$S$391,$A584)</f>
        <v>#DIV/0!</v>
      </c>
      <c r="K584">
        <f>AVERAGEIFS('Region 11'!$W$2:$W$391,'Region 11'!$A$2:$A$391,K$1,'Region 11'!$X$2:$X$391,$D584,'Region 11'!$S$2:$S$391,$A584)</f>
        <v>3.5</v>
      </c>
      <c r="L584">
        <f>AVERAGEIFS('Region 11'!$W$2:$W$391,'Region 11'!$A$2:$A$391,L$1,'Region 11'!$X$2:$X$391,$D584,'Region 11'!$S$2:$S$391,$A584)</f>
        <v>4.666666666666667</v>
      </c>
      <c r="M584">
        <f>AVERAGEIFS('Region 11'!$W$2:$W$391,'Region 11'!$A$2:$A$391,M$1,'Region 11'!$X$2:$X$391,$D584,'Region 11'!$S$2:$S$391,$A584)</f>
        <v>21.019211319153843</v>
      </c>
      <c r="N584" t="e">
        <f>AVERAGEIFS('Region 11'!$W$2:$W$391,'Region 11'!$A$2:$A$391,N$1,'Region 11'!$X$2:$X$391,$D584,'Region 11'!$S$2:$S$391,$A584)</f>
        <v>#DIV/0!</v>
      </c>
      <c r="Q584" t="str">
        <f t="shared" si="535"/>
        <v>Glass</v>
      </c>
      <c r="R584" t="str">
        <f t="shared" si="536"/>
        <v>Appartments</v>
      </c>
      <c r="S584">
        <f t="shared" si="537"/>
        <v>11</v>
      </c>
      <c r="T584" t="str">
        <f t="shared" si="594"/>
        <v>-</v>
      </c>
      <c r="U584" t="str">
        <f t="shared" si="595"/>
        <v>-</v>
      </c>
      <c r="V584" t="str">
        <f t="shared" si="596"/>
        <v>-</v>
      </c>
      <c r="W584" t="str">
        <f t="shared" si="597"/>
        <v>-</v>
      </c>
      <c r="X584" t="str">
        <f t="shared" si="598"/>
        <v>-</v>
      </c>
      <c r="Y584" t="str">
        <f t="shared" si="599"/>
        <v>-</v>
      </c>
      <c r="Z584">
        <f t="shared" si="600"/>
        <v>3.5</v>
      </c>
      <c r="AA584">
        <f t="shared" si="601"/>
        <v>4.666666666666667</v>
      </c>
      <c r="AB584">
        <f t="shared" si="602"/>
        <v>21.019211319153843</v>
      </c>
      <c r="AC584" t="str">
        <f t="shared" si="603"/>
        <v>-</v>
      </c>
    </row>
    <row r="585" spans="1:29" x14ac:dyDescent="0.3">
      <c r="A585" t="s">
        <v>437</v>
      </c>
      <c r="B585" t="str">
        <f t="shared" ref="B585:D585" si="609">B481</f>
        <v>Appartments</v>
      </c>
      <c r="C585">
        <f t="shared" si="609"/>
        <v>12</v>
      </c>
      <c r="D585">
        <f t="shared" si="609"/>
        <v>3</v>
      </c>
      <c r="E585" t="e">
        <f>AVERAGEIFS('Region 12'!$W$2:$W$459,'Region 12'!$A$2:$A$459,E$1,'Region 12'!$X$2:$X$459,$D585,'Region 12'!$S$2:$S$459,$A585)</f>
        <v>#DIV/0!</v>
      </c>
      <c r="F585" t="e">
        <f>AVERAGEIFS('Region 12'!$W$2:$W$459,'Region 12'!$A$2:$A$459,F$1,'Region 12'!$X$2:$X$459,$D585,'Region 12'!$S$2:$S$459,$A585)</f>
        <v>#DIV/0!</v>
      </c>
      <c r="G585" t="e">
        <f>AVERAGEIFS('Region 12'!$W$2:$W$459,'Region 12'!$A$2:$A$459,G$1,'Region 12'!$X$2:$X$459,$D585,'Region 12'!$S$2:$S$459,$A585)</f>
        <v>#DIV/0!</v>
      </c>
      <c r="H585" t="e">
        <f>AVERAGEIFS('Region 12'!$W$2:$W$459,'Region 12'!$A$2:$A$459,H$1,'Region 12'!$X$2:$X$459,$D585,'Region 12'!$S$2:$S$459,$A585)</f>
        <v>#DIV/0!</v>
      </c>
      <c r="I585" t="e">
        <f>AVERAGEIFS('Region 12'!$W$2:$W$459,'Region 12'!$A$2:$A$459,I$1,'Region 12'!$X$2:$X$459,$D585,'Region 12'!$S$2:$S$459,$A585)</f>
        <v>#DIV/0!</v>
      </c>
      <c r="J585" t="e">
        <f>AVERAGEIFS('Region 12'!$W$2:$W$459,'Region 12'!$A$2:$A$459,J$1,'Region 12'!$X$2:$X$459,$D585,'Region 12'!$S$2:$S$459,$A585)</f>
        <v>#DIV/0!</v>
      </c>
      <c r="K585" t="e">
        <f>AVERAGEIFS('Region 12'!$W$2:$W$459,'Region 12'!$A$2:$A$459,K$1,'Region 12'!$X$2:$X$459,$D585,'Region 12'!$S$2:$S$459,$A585)</f>
        <v>#DIV/0!</v>
      </c>
      <c r="L585" t="e">
        <f>AVERAGEIFS('Region 12'!$W$2:$W$459,'Region 12'!$A$2:$A$459,L$1,'Region 12'!$X$2:$X$459,$D585,'Region 12'!$S$2:$S$459,$A585)</f>
        <v>#DIV/0!</v>
      </c>
      <c r="M585" t="e">
        <f>AVERAGEIFS('Region 12'!$W$2:$W$459,'Region 12'!$A$2:$A$459,M$1,'Region 12'!$X$2:$X$459,$D585,'Region 12'!$S$2:$S$459,$A585)</f>
        <v>#DIV/0!</v>
      </c>
      <c r="N585" t="e">
        <f>AVERAGEIFS('Region 12'!$W$2:$W$459,'Region 12'!$A$2:$A$459,N$1,'Region 12'!$X$2:$X$459,$D585,'Region 12'!$S$2:$S$459,$A585)</f>
        <v>#DIV/0!</v>
      </c>
      <c r="Q585" t="str">
        <f t="shared" si="535"/>
        <v>Glass</v>
      </c>
      <c r="R585" t="str">
        <f t="shared" si="536"/>
        <v>Appartments</v>
      </c>
      <c r="S585">
        <f t="shared" si="537"/>
        <v>12</v>
      </c>
      <c r="T585" t="str">
        <f t="shared" si="594"/>
        <v>-</v>
      </c>
      <c r="U585" t="str">
        <f t="shared" si="595"/>
        <v>-</v>
      </c>
      <c r="V585" t="str">
        <f t="shared" si="596"/>
        <v>-</v>
      </c>
      <c r="W585" t="str">
        <f t="shared" si="597"/>
        <v>-</v>
      </c>
      <c r="X585" t="str">
        <f t="shared" si="598"/>
        <v>-</v>
      </c>
      <c r="Y585" t="str">
        <f t="shared" si="599"/>
        <v>-</v>
      </c>
      <c r="Z585" t="str">
        <f t="shared" si="600"/>
        <v>-</v>
      </c>
      <c r="AA585" t="str">
        <f t="shared" si="601"/>
        <v>-</v>
      </c>
      <c r="AB585" t="str">
        <f t="shared" si="602"/>
        <v>-</v>
      </c>
      <c r="AC585" t="str">
        <f t="shared" si="603"/>
        <v>-</v>
      </c>
    </row>
    <row r="586" spans="1:29" x14ac:dyDescent="0.3">
      <c r="A586" t="s">
        <v>437</v>
      </c>
      <c r="B586" t="str">
        <f t="shared" ref="B586:D586" si="610">B482</f>
        <v>Appartments</v>
      </c>
      <c r="C586">
        <f t="shared" si="610"/>
        <v>13</v>
      </c>
      <c r="D586">
        <f t="shared" si="610"/>
        <v>3</v>
      </c>
      <c r="E586" t="e">
        <f>AVERAGEIFS('Region 13'!$W$2:$W$500,'Region 13'!$A$2:$A$500,E$1,'Region 13'!$X$2:$X$500,$D586,'Region 13'!$S$2:$S$500,$A586)</f>
        <v>#DIV/0!</v>
      </c>
      <c r="F586" t="e">
        <f>AVERAGEIFS('Region 13'!$W$2:$W$500,'Region 13'!$A$2:$A$500,F$1,'Region 13'!$X$2:$X$500,$D586,'Region 13'!$S$2:$S$500,$A586)</f>
        <v>#DIV/0!</v>
      </c>
      <c r="G586" t="e">
        <f>AVERAGEIFS('Region 13'!$W$2:$W$500,'Region 13'!$A$2:$A$500,G$1,'Region 13'!$X$2:$X$500,$D586,'Region 13'!$S$2:$S$500,$A586)</f>
        <v>#DIV/0!</v>
      </c>
      <c r="H586" t="e">
        <f>AVERAGEIFS('Region 13'!$W$2:$W$500,'Region 13'!$A$2:$A$500,H$1,'Region 13'!$X$2:$X$500,$D586,'Region 13'!$S$2:$S$500,$A586)</f>
        <v>#DIV/0!</v>
      </c>
      <c r="I586" t="e">
        <f>AVERAGEIFS('Region 13'!$W$2:$W$500,'Region 13'!$A$2:$A$500,I$1,'Region 13'!$X$2:$X$500,$D586,'Region 13'!$S$2:$S$500,$A586)</f>
        <v>#DIV/0!</v>
      </c>
      <c r="J586" t="e">
        <f>AVERAGEIFS('Region 13'!$W$2:$W$500,'Region 13'!$A$2:$A$500,J$1,'Region 13'!$X$2:$X$500,$D586,'Region 13'!$S$2:$S$500,$A586)</f>
        <v>#DIV/0!</v>
      </c>
      <c r="K586" t="e">
        <f>AVERAGEIFS('Region 13'!$W$2:$W$500,'Region 13'!$A$2:$A$500,K$1,'Region 13'!$X$2:$X$500,$D586,'Region 13'!$S$2:$S$500,$A586)</f>
        <v>#DIV/0!</v>
      </c>
      <c r="L586" t="e">
        <f>AVERAGEIFS('Region 13'!$W$2:$W$500,'Region 13'!$A$2:$A$500,L$1,'Region 13'!$X$2:$X$500,$D586,'Region 13'!$S$2:$S$500,$A586)</f>
        <v>#DIV/0!</v>
      </c>
      <c r="M586" t="e">
        <f>AVERAGEIFS('Region 13'!$W$2:$W$500,'Region 13'!$A$2:$A$500,M$1,'Region 13'!$X$2:$X$500,$D586,'Region 13'!$S$2:$S$500,$A586)</f>
        <v>#DIV/0!</v>
      </c>
      <c r="N586" t="e">
        <f>AVERAGEIFS('Region 13'!$W$2:$W$500,'Region 13'!$A$2:$A$500,N$1,'Region 13'!$X$2:$X$500,$D586,'Region 13'!$S$2:$S$500,$A586)</f>
        <v>#DIV/0!</v>
      </c>
      <c r="Q586" t="str">
        <f t="shared" si="535"/>
        <v>Glass</v>
      </c>
      <c r="R586" t="str">
        <f t="shared" si="536"/>
        <v>Appartments</v>
      </c>
      <c r="S586">
        <f t="shared" si="537"/>
        <v>13</v>
      </c>
      <c r="T586" t="str">
        <f t="shared" si="594"/>
        <v>-</v>
      </c>
      <c r="U586" t="str">
        <f t="shared" si="595"/>
        <v>-</v>
      </c>
      <c r="V586" t="str">
        <f t="shared" si="596"/>
        <v>-</v>
      </c>
      <c r="W586" t="str">
        <f t="shared" si="597"/>
        <v>-</v>
      </c>
      <c r="X586" t="str">
        <f t="shared" si="598"/>
        <v>-</v>
      </c>
      <c r="Y586" t="str">
        <f t="shared" si="599"/>
        <v>-</v>
      </c>
      <c r="Z586" t="str">
        <f t="shared" si="600"/>
        <v>-</v>
      </c>
      <c r="AA586" t="str">
        <f t="shared" si="601"/>
        <v>-</v>
      </c>
      <c r="AB586" t="str">
        <f t="shared" si="602"/>
        <v>-</v>
      </c>
      <c r="AC586" t="str">
        <f t="shared" si="603"/>
        <v>-</v>
      </c>
    </row>
    <row r="587" spans="1:29" x14ac:dyDescent="0.3">
      <c r="A587" t="s">
        <v>437</v>
      </c>
      <c r="B587" t="str">
        <f t="shared" ref="B587:D587" si="611">B483</f>
        <v>Appartments</v>
      </c>
      <c r="C587">
        <f t="shared" si="611"/>
        <v>14</v>
      </c>
      <c r="D587">
        <f t="shared" si="611"/>
        <v>3</v>
      </c>
      <c r="E587" t="e">
        <f ca="1">AVERAGEIFS('Region 14'!$W$2:$W$500,'Region 14'!$A$2:$A$500,E$1,'Region 14'!$X$2:$X$500,$D587,'Region 14'!$S$2:$S$500,$A587)</f>
        <v>#DIV/0!</v>
      </c>
      <c r="F587" t="e">
        <f ca="1">AVERAGEIFS('Region 14'!$W$2:$W$500,'Region 14'!$A$2:$A$500,F$1,'Region 14'!$X$2:$X$500,$D587,'Region 14'!$S$2:$S$500,$A587)</f>
        <v>#DIV/0!</v>
      </c>
      <c r="G587" t="e">
        <f ca="1">AVERAGEIFS('Region 14'!$W$2:$W$500,'Region 14'!$A$2:$A$500,G$1,'Region 14'!$X$2:$X$500,$D587,'Region 14'!$S$2:$S$500,$A587)</f>
        <v>#DIV/0!</v>
      </c>
      <c r="H587" t="e">
        <f ca="1">AVERAGEIFS('Region 14'!$W$2:$W$500,'Region 14'!$A$2:$A$500,H$1,'Region 14'!$X$2:$X$500,$D587,'Region 14'!$S$2:$S$500,$A587)</f>
        <v>#DIV/0!</v>
      </c>
      <c r="I587" t="e">
        <f ca="1">AVERAGEIFS('Region 14'!$W$2:$W$500,'Region 14'!$A$2:$A$500,I$1,'Region 14'!$X$2:$X$500,$D587,'Region 14'!$S$2:$S$500,$A587)</f>
        <v>#DIV/0!</v>
      </c>
      <c r="J587" t="e">
        <f ca="1">AVERAGEIFS('Region 14'!$W$2:$W$500,'Region 14'!$A$2:$A$500,J$1,'Region 14'!$X$2:$X$500,$D587,'Region 14'!$S$2:$S$500,$A587)</f>
        <v>#DIV/0!</v>
      </c>
      <c r="K587" t="e">
        <f ca="1">AVERAGEIFS('Region 14'!$W$2:$W$500,'Region 14'!$A$2:$A$500,K$1,'Region 14'!$X$2:$X$500,$D587,'Region 14'!$S$2:$S$500,$A587)</f>
        <v>#DIV/0!</v>
      </c>
      <c r="L587" t="e">
        <f ca="1">AVERAGEIFS('Region 14'!$W$2:$W$500,'Region 14'!$A$2:$A$500,L$1,'Region 14'!$X$2:$X$500,$D587,'Region 14'!$S$2:$S$500,$A587)</f>
        <v>#DIV/0!</v>
      </c>
      <c r="M587" t="e">
        <f ca="1">AVERAGEIFS('Region 14'!$W$2:$W$500,'Region 14'!$A$2:$A$500,M$1,'Region 14'!$X$2:$X$500,$D587,'Region 14'!$S$2:$S$500,$A587)</f>
        <v>#DIV/0!</v>
      </c>
      <c r="N587" t="e">
        <f ca="1">AVERAGEIFS('Region 14'!$W$2:$W$500,'Region 14'!$A$2:$A$500,N$1,'Region 14'!$X$2:$X$500,$D587,'Region 14'!$S$2:$S$500,$A587)</f>
        <v>#DIV/0!</v>
      </c>
      <c r="Q587" t="str">
        <f t="shared" ref="Q587:Q625" si="612">A587</f>
        <v>Glass</v>
      </c>
      <c r="R587" t="str">
        <f t="shared" ref="R587:R625" si="613">B587</f>
        <v>Appartments</v>
      </c>
      <c r="S587">
        <f t="shared" ref="S587:S625" si="614">C587</f>
        <v>14</v>
      </c>
      <c r="T587" t="str">
        <f t="shared" ca="1" si="594"/>
        <v>-</v>
      </c>
      <c r="U587" t="str">
        <f t="shared" ca="1" si="595"/>
        <v>-</v>
      </c>
      <c r="V587" t="str">
        <f t="shared" ca="1" si="596"/>
        <v>-</v>
      </c>
      <c r="W587" t="str">
        <f t="shared" ca="1" si="597"/>
        <v>-</v>
      </c>
      <c r="X587" t="str">
        <f t="shared" ca="1" si="598"/>
        <v>-</v>
      </c>
      <c r="Y587" t="str">
        <f t="shared" ca="1" si="599"/>
        <v>-</v>
      </c>
      <c r="Z587" t="str">
        <f t="shared" ca="1" si="600"/>
        <v>-</v>
      </c>
      <c r="AA587" t="str">
        <f t="shared" ca="1" si="601"/>
        <v>-</v>
      </c>
      <c r="AB587" t="str">
        <f t="shared" ca="1" si="602"/>
        <v>-</v>
      </c>
      <c r="AC587" t="str">
        <f t="shared" ca="1" si="603"/>
        <v>-</v>
      </c>
    </row>
    <row r="588" spans="1:29" x14ac:dyDescent="0.3">
      <c r="A588" t="s">
        <v>437</v>
      </c>
      <c r="B588" t="str">
        <f t="shared" ref="B588:D588" si="615">B484</f>
        <v>Appartments</v>
      </c>
      <c r="C588">
        <f t="shared" si="615"/>
        <v>15</v>
      </c>
      <c r="D588">
        <f t="shared" si="615"/>
        <v>3</v>
      </c>
      <c r="E588" t="e">
        <f ca="1">AVERAGEIFS('Region 15'!$W$2:$W$500,'Region 15'!$A$2:$A$500,E$1,'Region 15'!$X$2:$X$500,$D588,'Region 15'!$S$2:$S$500,$A588)</f>
        <v>#DIV/0!</v>
      </c>
      <c r="F588" t="e">
        <f ca="1">AVERAGEIFS('Region 15'!$W$2:$W$500,'Region 15'!$A$2:$A$500,F$1,'Region 15'!$X$2:$X$500,$D588,'Region 15'!$S$2:$S$500,$A588)</f>
        <v>#DIV/0!</v>
      </c>
      <c r="G588" t="e">
        <f ca="1">AVERAGEIFS('Region 15'!$W$2:$W$500,'Region 15'!$A$2:$A$500,G$1,'Region 15'!$X$2:$X$500,$D588,'Region 15'!$S$2:$S$500,$A588)</f>
        <v>#DIV/0!</v>
      </c>
      <c r="H588" t="e">
        <f ca="1">AVERAGEIFS('Region 15'!$W$2:$W$500,'Region 15'!$A$2:$A$500,H$1,'Region 15'!$X$2:$X$500,$D588,'Region 15'!$S$2:$S$500,$A588)</f>
        <v>#DIV/0!</v>
      </c>
      <c r="I588" t="e">
        <f ca="1">AVERAGEIFS('Region 15'!$W$2:$W$500,'Region 15'!$A$2:$A$500,I$1,'Region 15'!$X$2:$X$500,$D588,'Region 15'!$S$2:$S$500,$A588)</f>
        <v>#DIV/0!</v>
      </c>
      <c r="J588" t="e">
        <f ca="1">AVERAGEIFS('Region 15'!$W$2:$W$500,'Region 15'!$A$2:$A$500,J$1,'Region 15'!$X$2:$X$500,$D588,'Region 15'!$S$2:$S$500,$A588)</f>
        <v>#DIV/0!</v>
      </c>
      <c r="K588" t="e">
        <f ca="1">AVERAGEIFS('Region 15'!$W$2:$W$500,'Region 15'!$A$2:$A$500,K$1,'Region 15'!$X$2:$X$500,$D588,'Region 15'!$S$2:$S$500,$A588)</f>
        <v>#DIV/0!</v>
      </c>
      <c r="L588" t="e">
        <f ca="1">AVERAGEIFS('Region 15'!$W$2:$W$500,'Region 15'!$A$2:$A$500,L$1,'Region 15'!$X$2:$X$500,$D588,'Region 15'!$S$2:$S$500,$A588)</f>
        <v>#DIV/0!</v>
      </c>
      <c r="M588" t="e">
        <f ca="1">AVERAGEIFS('Region 15'!$W$2:$W$500,'Region 15'!$A$2:$A$500,M$1,'Region 15'!$X$2:$X$500,$D588,'Region 15'!$S$2:$S$500,$A588)</f>
        <v>#DIV/0!</v>
      </c>
      <c r="N588" t="e">
        <f ca="1">AVERAGEIFS('Region 15'!$W$2:$W$500,'Region 15'!$A$2:$A$500,N$1,'Region 15'!$X$2:$X$500,$D588,'Region 15'!$S$2:$S$500,$A588)</f>
        <v>#DIV/0!</v>
      </c>
      <c r="Q588" t="str">
        <f t="shared" si="612"/>
        <v>Glass</v>
      </c>
      <c r="R588" t="str">
        <f t="shared" si="613"/>
        <v>Appartments</v>
      </c>
      <c r="S588">
        <f t="shared" si="614"/>
        <v>15</v>
      </c>
      <c r="T588" t="str">
        <f t="shared" ca="1" si="594"/>
        <v>-</v>
      </c>
      <c r="U588" t="str">
        <f t="shared" ca="1" si="595"/>
        <v>-</v>
      </c>
      <c r="V588" t="str">
        <f t="shared" ca="1" si="596"/>
        <v>-</v>
      </c>
      <c r="W588" t="str">
        <f t="shared" ca="1" si="597"/>
        <v>-</v>
      </c>
      <c r="X588" t="str">
        <f t="shared" ca="1" si="598"/>
        <v>-</v>
      </c>
      <c r="Y588" t="str">
        <f t="shared" ca="1" si="599"/>
        <v>-</v>
      </c>
      <c r="Z588" t="str">
        <f t="shared" ca="1" si="600"/>
        <v>-</v>
      </c>
      <c r="AA588" t="str">
        <f t="shared" ca="1" si="601"/>
        <v>-</v>
      </c>
      <c r="AB588" t="str">
        <f t="shared" ca="1" si="602"/>
        <v>-</v>
      </c>
      <c r="AC588" t="str">
        <f t="shared" ca="1" si="603"/>
        <v>-</v>
      </c>
    </row>
    <row r="589" spans="1:29" x14ac:dyDescent="0.3">
      <c r="A589" t="s">
        <v>437</v>
      </c>
      <c r="B589" t="str">
        <f t="shared" ref="B589:D589" si="616">B485</f>
        <v>Appartments</v>
      </c>
      <c r="C589">
        <f t="shared" si="616"/>
        <v>16</v>
      </c>
      <c r="D589">
        <f t="shared" si="616"/>
        <v>3</v>
      </c>
      <c r="E589" t="e">
        <f ca="1">AVERAGEIFS('Region 16'!$W$2:$W$500,'Region 16'!$A$2:$A$500,E$1,'Region 16'!$X$2:$X$500,$D589,'Region 16'!$S$2:$S$500,$A589)</f>
        <v>#DIV/0!</v>
      </c>
      <c r="F589" t="e">
        <f ca="1">AVERAGEIFS('Region 16'!$W$2:$W$500,'Region 16'!$A$2:$A$500,F$1,'Region 16'!$X$2:$X$500,$D589,'Region 16'!$S$2:$S$500,$A589)</f>
        <v>#DIV/0!</v>
      </c>
      <c r="G589" t="e">
        <f ca="1">AVERAGEIFS('Region 16'!$W$2:$W$500,'Region 16'!$A$2:$A$500,G$1,'Region 16'!$X$2:$X$500,$D589,'Region 16'!$S$2:$S$500,$A589)</f>
        <v>#DIV/0!</v>
      </c>
      <c r="H589" t="e">
        <f ca="1">AVERAGEIFS('Region 16'!$W$2:$W$500,'Region 16'!$A$2:$A$500,H$1,'Region 16'!$X$2:$X$500,$D589,'Region 16'!$S$2:$S$500,$A589)</f>
        <v>#DIV/0!</v>
      </c>
      <c r="I589" t="e">
        <f ca="1">AVERAGEIFS('Region 16'!$W$2:$W$500,'Region 16'!$A$2:$A$500,I$1,'Region 16'!$X$2:$X$500,$D589,'Region 16'!$S$2:$S$500,$A589)</f>
        <v>#DIV/0!</v>
      </c>
      <c r="J589" t="e">
        <f ca="1">AVERAGEIFS('Region 16'!$W$2:$W$500,'Region 16'!$A$2:$A$500,J$1,'Region 16'!$X$2:$X$500,$D589,'Region 16'!$S$2:$S$500,$A589)</f>
        <v>#DIV/0!</v>
      </c>
      <c r="K589" t="e">
        <f ca="1">AVERAGEIFS('Region 16'!$W$2:$W$500,'Region 16'!$A$2:$A$500,K$1,'Region 16'!$X$2:$X$500,$D589,'Region 16'!$S$2:$S$500,$A589)</f>
        <v>#DIV/0!</v>
      </c>
      <c r="L589" t="e">
        <f ca="1">AVERAGEIFS('Region 16'!$W$2:$W$500,'Region 16'!$A$2:$A$500,L$1,'Region 16'!$X$2:$X$500,$D589,'Region 16'!$S$2:$S$500,$A589)</f>
        <v>#DIV/0!</v>
      </c>
      <c r="M589" t="e">
        <f ca="1">AVERAGEIFS('Region 16'!$W$2:$W$500,'Region 16'!$A$2:$A$500,M$1,'Region 16'!$X$2:$X$500,$D589,'Region 16'!$S$2:$S$500,$A589)</f>
        <v>#DIV/0!</v>
      </c>
      <c r="N589" t="e">
        <f ca="1">AVERAGEIFS('Region 16'!$W$2:$W$500,'Region 16'!$A$2:$A$500,N$1,'Region 16'!$X$2:$X$500,$D589,'Region 16'!$S$2:$S$500,$A589)</f>
        <v>#DIV/0!</v>
      </c>
      <c r="Q589" t="str">
        <f t="shared" si="612"/>
        <v>Glass</v>
      </c>
      <c r="R589" t="str">
        <f t="shared" si="613"/>
        <v>Appartments</v>
      </c>
      <c r="S589">
        <f t="shared" si="614"/>
        <v>16</v>
      </c>
      <c r="T589" t="str">
        <f t="shared" ca="1" si="594"/>
        <v>-</v>
      </c>
      <c r="U589" t="str">
        <f t="shared" ca="1" si="595"/>
        <v>-</v>
      </c>
      <c r="V589" t="str">
        <f t="shared" ca="1" si="596"/>
        <v>-</v>
      </c>
      <c r="W589" t="str">
        <f t="shared" ca="1" si="597"/>
        <v>-</v>
      </c>
      <c r="X589" t="str">
        <f t="shared" ca="1" si="598"/>
        <v>-</v>
      </c>
      <c r="Y589" t="str">
        <f t="shared" ca="1" si="599"/>
        <v>-</v>
      </c>
      <c r="Z589" t="str">
        <f t="shared" ca="1" si="600"/>
        <v>-</v>
      </c>
      <c r="AA589" t="str">
        <f t="shared" ca="1" si="601"/>
        <v>-</v>
      </c>
      <c r="AB589" t="str">
        <f t="shared" ca="1" si="602"/>
        <v>-</v>
      </c>
      <c r="AC589" t="str">
        <f t="shared" ca="1" si="603"/>
        <v>-</v>
      </c>
    </row>
    <row r="590" spans="1:29" x14ac:dyDescent="0.3">
      <c r="A590" t="s">
        <v>437</v>
      </c>
      <c r="B590" t="str">
        <f t="shared" ref="B590:D590" si="617">B486</f>
        <v>Appartments</v>
      </c>
      <c r="C590">
        <f t="shared" si="617"/>
        <v>17</v>
      </c>
      <c r="D590">
        <f t="shared" si="617"/>
        <v>3</v>
      </c>
      <c r="E590" t="e">
        <f>AVERAGEIFS('Region 17'!$W$2:$W$498,'Region 17'!$A$2:$A$498,E$1,'Region 17'!$X$2:$X$498,$D590,'Region 17'!$S$2:$S$498,$A590)</f>
        <v>#DIV/0!</v>
      </c>
      <c r="F590" t="e">
        <f>AVERAGEIFS('Region 17'!$W$2:$W$498,'Region 17'!$A$2:$A$498,F$1,'Region 17'!$X$2:$X$498,$D590,'Region 17'!$S$2:$S$498,$A590)</f>
        <v>#DIV/0!</v>
      </c>
      <c r="G590" t="e">
        <f>AVERAGEIFS('Region 17'!$W$2:$W$498,'Region 17'!$A$2:$A$498,G$1,'Region 17'!$X$2:$X$498,$D590,'Region 17'!$S$2:$S$498,$A590)</f>
        <v>#DIV/0!</v>
      </c>
      <c r="H590" t="e">
        <f>AVERAGEIFS('Region 17'!$W$2:$W$498,'Region 17'!$A$2:$A$498,H$1,'Region 17'!$X$2:$X$498,$D590,'Region 17'!$S$2:$S$498,$A590)</f>
        <v>#DIV/0!</v>
      </c>
      <c r="I590" t="e">
        <f>AVERAGEIFS('Region 17'!$W$2:$W$498,'Region 17'!$A$2:$A$498,I$1,'Region 17'!$X$2:$X$498,$D590,'Region 17'!$S$2:$S$498,$A590)</f>
        <v>#DIV/0!</v>
      </c>
      <c r="J590" t="e">
        <f>AVERAGEIFS('Region 17'!$W$2:$W$498,'Region 17'!$A$2:$A$498,J$1,'Region 17'!$X$2:$X$498,$D590,'Region 17'!$S$2:$S$498,$A590)</f>
        <v>#DIV/0!</v>
      </c>
      <c r="K590" t="e">
        <f>AVERAGEIFS('Region 17'!$W$2:$W$498,'Region 17'!$A$2:$A$498,K$1,'Region 17'!$X$2:$X$498,$D590,'Region 17'!$S$2:$S$498,$A590)</f>
        <v>#DIV/0!</v>
      </c>
      <c r="L590" t="e">
        <f>AVERAGEIFS('Region 17'!$W$2:$W$498,'Region 17'!$A$2:$A$498,L$1,'Region 17'!$X$2:$X$498,$D590,'Region 17'!$S$2:$S$498,$A590)</f>
        <v>#DIV/0!</v>
      </c>
      <c r="M590" t="e">
        <f>AVERAGEIFS('Region 17'!$W$2:$W$498,'Region 17'!$A$2:$A$498,M$1,'Region 17'!$X$2:$X$498,$D590,'Region 17'!$S$2:$S$498,$A590)</f>
        <v>#DIV/0!</v>
      </c>
      <c r="N590" t="e">
        <f>AVERAGEIFS('Region 17'!$W$2:$W$498,'Region 17'!$A$2:$A$498,N$1,'Region 17'!$X$2:$X$498,$D590,'Region 17'!$S$2:$S$498,$A590)</f>
        <v>#DIV/0!</v>
      </c>
      <c r="Q590" t="str">
        <f t="shared" si="612"/>
        <v>Glass</v>
      </c>
      <c r="R590" t="str">
        <f t="shared" si="613"/>
        <v>Appartments</v>
      </c>
      <c r="S590">
        <f t="shared" si="614"/>
        <v>17</v>
      </c>
      <c r="T590" t="str">
        <f t="shared" si="594"/>
        <v>-</v>
      </c>
      <c r="U590" t="str">
        <f t="shared" si="595"/>
        <v>-</v>
      </c>
      <c r="V590" t="str">
        <f t="shared" si="596"/>
        <v>-</v>
      </c>
      <c r="W590" t="str">
        <f t="shared" si="597"/>
        <v>-</v>
      </c>
      <c r="X590" t="str">
        <f t="shared" si="598"/>
        <v>-</v>
      </c>
      <c r="Y590" t="str">
        <f t="shared" si="599"/>
        <v>-</v>
      </c>
      <c r="Z590" t="str">
        <f t="shared" si="600"/>
        <v>-</v>
      </c>
      <c r="AA590" t="str">
        <f t="shared" si="601"/>
        <v>-</v>
      </c>
      <c r="AB590" t="str">
        <f t="shared" si="602"/>
        <v>-</v>
      </c>
      <c r="AC590" t="str">
        <f t="shared" si="603"/>
        <v>-</v>
      </c>
    </row>
    <row r="591" spans="1:29" x14ac:dyDescent="0.3">
      <c r="A591" t="s">
        <v>437</v>
      </c>
      <c r="B591" t="str">
        <f t="shared" ref="B591:D591" si="618">B487</f>
        <v>Appartments</v>
      </c>
      <c r="C591">
        <f t="shared" si="618"/>
        <v>18</v>
      </c>
      <c r="D591">
        <f t="shared" si="618"/>
        <v>3</v>
      </c>
      <c r="E591" t="e">
        <f>AVERAGEIFS('Region 18'!$W$2:$W$468,'Region 18'!$A$2:$A$468,E$1,'Region 18'!$X$2:$X$468,$D591,'Region 18'!$S$2:$S$468,$A591)</f>
        <v>#DIV/0!</v>
      </c>
      <c r="F591" t="e">
        <f>AVERAGEIFS('Region 18'!$W$2:$W$468,'Region 18'!$A$2:$A$468,F$1,'Region 18'!$X$2:$X$468,$D591,'Region 18'!$S$2:$S$468,$A591)</f>
        <v>#DIV/0!</v>
      </c>
      <c r="G591" t="e">
        <f>AVERAGEIFS('Region 18'!$W$2:$W$468,'Region 18'!$A$2:$A$468,G$1,'Region 18'!$X$2:$X$468,$D591,'Region 18'!$S$2:$S$468,$A591)</f>
        <v>#DIV/0!</v>
      </c>
      <c r="H591" t="e">
        <f>AVERAGEIFS('Region 18'!$W$2:$W$468,'Region 18'!$A$2:$A$468,H$1,'Region 18'!$X$2:$X$468,$D591,'Region 18'!$S$2:$S$468,$A591)</f>
        <v>#DIV/0!</v>
      </c>
      <c r="I591" t="e">
        <f>AVERAGEIFS('Region 18'!$W$2:$W$468,'Region 18'!$A$2:$A$468,I$1,'Region 18'!$X$2:$X$468,$D591,'Region 18'!$S$2:$S$468,$A591)</f>
        <v>#DIV/0!</v>
      </c>
      <c r="J591" t="e">
        <f>AVERAGEIFS('Region 18'!$W$2:$W$468,'Region 18'!$A$2:$A$468,J$1,'Region 18'!$X$2:$X$468,$D591,'Region 18'!$S$2:$S$468,$A591)</f>
        <v>#DIV/0!</v>
      </c>
      <c r="K591" t="e">
        <f>AVERAGEIFS('Region 18'!$W$2:$W$468,'Region 18'!$A$2:$A$468,K$1,'Region 18'!$X$2:$X$468,$D591,'Region 18'!$S$2:$S$468,$A591)</f>
        <v>#DIV/0!</v>
      </c>
      <c r="L591" t="e">
        <f>AVERAGEIFS('Region 18'!$W$2:$W$468,'Region 18'!$A$2:$A$468,L$1,'Region 18'!$X$2:$X$468,$D591,'Region 18'!$S$2:$S$468,$A591)</f>
        <v>#DIV/0!</v>
      </c>
      <c r="M591" t="e">
        <f>AVERAGEIFS('Region 18'!$W$2:$W$468,'Region 18'!$A$2:$A$468,M$1,'Region 18'!$X$2:$X$468,$D591,'Region 18'!$S$2:$S$468,$A591)</f>
        <v>#DIV/0!</v>
      </c>
      <c r="N591" t="e">
        <f>AVERAGEIFS('Region 18'!$W$2:$W$468,'Region 18'!$A$2:$A$468,N$1,'Region 18'!$X$2:$X$468,$D591,'Region 18'!$S$2:$S$468,$A591)</f>
        <v>#DIV/0!</v>
      </c>
      <c r="Q591" t="str">
        <f t="shared" si="612"/>
        <v>Glass</v>
      </c>
      <c r="R591" t="str">
        <f t="shared" si="613"/>
        <v>Appartments</v>
      </c>
      <c r="S591">
        <f t="shared" si="614"/>
        <v>18</v>
      </c>
      <c r="T591" t="str">
        <f t="shared" si="594"/>
        <v>-</v>
      </c>
      <c r="U591" t="str">
        <f t="shared" si="595"/>
        <v>-</v>
      </c>
      <c r="V591" t="str">
        <f t="shared" si="596"/>
        <v>-</v>
      </c>
      <c r="W591" t="str">
        <f t="shared" si="597"/>
        <v>-</v>
      </c>
      <c r="X591" t="str">
        <f t="shared" si="598"/>
        <v>-</v>
      </c>
      <c r="Y591" t="str">
        <f t="shared" si="599"/>
        <v>-</v>
      </c>
      <c r="Z591" t="str">
        <f t="shared" si="600"/>
        <v>-</v>
      </c>
      <c r="AA591" t="str">
        <f t="shared" si="601"/>
        <v>-</v>
      </c>
      <c r="AB591" t="str">
        <f t="shared" si="602"/>
        <v>-</v>
      </c>
      <c r="AC591" t="str">
        <f t="shared" si="603"/>
        <v>-</v>
      </c>
    </row>
    <row r="592" spans="1:29" x14ac:dyDescent="0.3">
      <c r="A592" t="s">
        <v>437</v>
      </c>
      <c r="B592" t="str">
        <f t="shared" ref="B592:D592" si="619">B488</f>
        <v>Appartments</v>
      </c>
      <c r="C592">
        <f t="shared" si="619"/>
        <v>19</v>
      </c>
      <c r="D592">
        <f t="shared" si="619"/>
        <v>3</v>
      </c>
      <c r="E592" t="e">
        <f>AVERAGEIFS('Region 19'!$W$2:$W$494,'Region 19'!$A$2:$A$494,E$1,'Region 19'!$X$2:$X$494,$D592,'Region 19'!$S$2:$S$494,$A592)</f>
        <v>#DIV/0!</v>
      </c>
      <c r="F592" t="e">
        <f>AVERAGEIFS('Region 19'!$W$2:$W$494,'Region 19'!$A$2:$A$494,F$1,'Region 19'!$X$2:$X$494,$D592,'Region 19'!$S$2:$S$494,$A592)</f>
        <v>#DIV/0!</v>
      </c>
      <c r="G592" t="e">
        <f>AVERAGEIFS('Region 19'!$W$2:$W$494,'Region 19'!$A$2:$A$494,G$1,'Region 19'!$X$2:$X$494,$D592,'Region 19'!$S$2:$S$494,$A592)</f>
        <v>#DIV/0!</v>
      </c>
      <c r="H592" t="e">
        <f>AVERAGEIFS('Region 19'!$W$2:$W$494,'Region 19'!$A$2:$A$494,H$1,'Region 19'!$X$2:$X$494,$D592,'Region 19'!$S$2:$S$494,$A592)</f>
        <v>#DIV/0!</v>
      </c>
      <c r="I592" t="e">
        <f>AVERAGEIFS('Region 19'!$W$2:$W$494,'Region 19'!$A$2:$A$494,I$1,'Region 19'!$X$2:$X$494,$D592,'Region 19'!$S$2:$S$494,$A592)</f>
        <v>#DIV/0!</v>
      </c>
      <c r="J592" t="e">
        <f>AVERAGEIFS('Region 19'!$W$2:$W$494,'Region 19'!$A$2:$A$494,J$1,'Region 19'!$X$2:$X$494,$D592,'Region 19'!$S$2:$S$494,$A592)</f>
        <v>#DIV/0!</v>
      </c>
      <c r="K592" t="e">
        <f>AVERAGEIFS('Region 19'!$W$2:$W$494,'Region 19'!$A$2:$A$494,K$1,'Region 19'!$X$2:$X$494,$D592,'Region 19'!$S$2:$S$494,$A592)</f>
        <v>#DIV/0!</v>
      </c>
      <c r="L592" t="e">
        <f>AVERAGEIFS('Region 19'!$W$2:$W$494,'Region 19'!$A$2:$A$494,L$1,'Region 19'!$X$2:$X$494,$D592,'Region 19'!$S$2:$S$494,$A592)</f>
        <v>#DIV/0!</v>
      </c>
      <c r="M592" t="e">
        <f>AVERAGEIFS('Region 19'!$W$2:$W$494,'Region 19'!$A$2:$A$494,M$1,'Region 19'!$X$2:$X$494,$D592,'Region 19'!$S$2:$S$494,$A592)</f>
        <v>#DIV/0!</v>
      </c>
      <c r="N592" t="e">
        <f>AVERAGEIFS('Region 19'!$W$2:$W$494,'Region 19'!$A$2:$A$494,N$1,'Region 19'!$X$2:$X$494,$D592,'Region 19'!$S$2:$S$494,$A592)</f>
        <v>#DIV/0!</v>
      </c>
      <c r="Q592" t="str">
        <f t="shared" si="612"/>
        <v>Glass</v>
      </c>
      <c r="R592" t="str">
        <f t="shared" si="613"/>
        <v>Appartments</v>
      </c>
      <c r="S592">
        <f t="shared" si="614"/>
        <v>19</v>
      </c>
      <c r="T592" t="str">
        <f t="shared" si="594"/>
        <v>-</v>
      </c>
      <c r="U592" t="str">
        <f t="shared" si="595"/>
        <v>-</v>
      </c>
      <c r="V592" t="str">
        <f t="shared" si="596"/>
        <v>-</v>
      </c>
      <c r="W592" t="str">
        <f t="shared" si="597"/>
        <v>-</v>
      </c>
      <c r="X592" t="str">
        <f t="shared" si="598"/>
        <v>-</v>
      </c>
      <c r="Y592" t="str">
        <f t="shared" si="599"/>
        <v>-</v>
      </c>
      <c r="Z592" t="str">
        <f t="shared" si="600"/>
        <v>-</v>
      </c>
      <c r="AA592" t="str">
        <f t="shared" si="601"/>
        <v>-</v>
      </c>
      <c r="AB592" t="str">
        <f t="shared" si="602"/>
        <v>-</v>
      </c>
      <c r="AC592" t="str">
        <f t="shared" si="603"/>
        <v>-</v>
      </c>
    </row>
    <row r="593" spans="1:29" x14ac:dyDescent="0.3">
      <c r="A593" t="s">
        <v>437</v>
      </c>
      <c r="B593" t="str">
        <f t="shared" ref="B593:D593" si="620">B489</f>
        <v>Appartments</v>
      </c>
      <c r="C593">
        <f t="shared" si="620"/>
        <v>20</v>
      </c>
      <c r="D593">
        <f t="shared" si="620"/>
        <v>3</v>
      </c>
      <c r="E593" t="e">
        <f>AVERAGEIFS('Region 20'!$W$2:$W$269,'Region 20'!$A$2:$A$269,E$1,'Region 20'!$X$2:$X$269,$D593,'Region 20'!$S$2:$S$269,$A593)</f>
        <v>#DIV/0!</v>
      </c>
      <c r="F593" t="e">
        <f>AVERAGEIFS('Region 20'!$W$2:$W$269,'Region 20'!$A$2:$A$269,F$1,'Region 20'!$X$2:$X$269,$D593,'Region 20'!$S$2:$S$269,$A593)</f>
        <v>#DIV/0!</v>
      </c>
      <c r="G593" t="e">
        <f>AVERAGEIFS('Region 20'!$W$2:$W$269,'Region 20'!$A$2:$A$269,G$1,'Region 20'!$X$2:$X$269,$D593,'Region 20'!$S$2:$S$269,$A593)</f>
        <v>#DIV/0!</v>
      </c>
      <c r="H593" t="e">
        <f>AVERAGEIFS('Region 20'!$W$2:$W$269,'Region 20'!$A$2:$A$269,H$1,'Region 20'!$X$2:$X$269,$D593,'Region 20'!$S$2:$S$269,$A593)</f>
        <v>#DIV/0!</v>
      </c>
      <c r="I593" t="e">
        <f>AVERAGEIFS('Region 20'!$W$2:$W$269,'Region 20'!$A$2:$A$269,I$1,'Region 20'!$X$2:$X$269,$D593,'Region 20'!$S$2:$S$269,$A593)</f>
        <v>#DIV/0!</v>
      </c>
      <c r="J593" t="e">
        <f>AVERAGEIFS('Region 20'!$W$2:$W$269,'Region 20'!$A$2:$A$269,J$1,'Region 20'!$X$2:$X$269,$D593,'Region 20'!$S$2:$S$269,$A593)</f>
        <v>#DIV/0!</v>
      </c>
      <c r="K593" t="e">
        <f>AVERAGEIFS('Region 20'!$W$2:$W$269,'Region 20'!$A$2:$A$269,K$1,'Region 20'!$X$2:$X$269,$D593,'Region 20'!$S$2:$S$269,$A593)</f>
        <v>#DIV/0!</v>
      </c>
      <c r="L593" t="e">
        <f>AVERAGEIFS('Region 20'!$W$2:$W$269,'Region 20'!$A$2:$A$269,L$1,'Region 20'!$X$2:$X$269,$D593,'Region 20'!$S$2:$S$269,$A593)</f>
        <v>#DIV/0!</v>
      </c>
      <c r="M593" t="e">
        <f>AVERAGEIFS('Region 20'!$W$2:$W$269,'Region 20'!$A$2:$A$269,M$1,'Region 20'!$X$2:$X$269,$D593,'Region 20'!$S$2:$S$269,$A593)</f>
        <v>#DIV/0!</v>
      </c>
      <c r="N593" t="e">
        <f>AVERAGEIFS('Region 20'!$W$2:$W$269,'Region 20'!$A$2:$A$269,N$1,'Region 20'!$X$2:$X$269,$D593,'Region 20'!$S$2:$S$269,$A593)</f>
        <v>#DIV/0!</v>
      </c>
      <c r="Q593" t="str">
        <f t="shared" si="612"/>
        <v>Glass</v>
      </c>
      <c r="R593" t="str">
        <f t="shared" si="613"/>
        <v>Appartments</v>
      </c>
      <c r="S593">
        <f t="shared" si="614"/>
        <v>20</v>
      </c>
      <c r="T593" t="str">
        <f t="shared" si="594"/>
        <v>-</v>
      </c>
      <c r="U593" t="str">
        <f t="shared" si="595"/>
        <v>-</v>
      </c>
      <c r="V593" t="str">
        <f t="shared" si="596"/>
        <v>-</v>
      </c>
      <c r="W593" t="str">
        <f t="shared" si="597"/>
        <v>-</v>
      </c>
      <c r="X593" t="str">
        <f t="shared" si="598"/>
        <v>-</v>
      </c>
      <c r="Y593" t="str">
        <f t="shared" si="599"/>
        <v>-</v>
      </c>
      <c r="Z593" t="str">
        <f t="shared" si="600"/>
        <v>-</v>
      </c>
      <c r="AA593" t="str">
        <f t="shared" si="601"/>
        <v>-</v>
      </c>
      <c r="AB593" t="str">
        <f t="shared" si="602"/>
        <v>-</v>
      </c>
      <c r="AC593" t="str">
        <f t="shared" si="603"/>
        <v>-</v>
      </c>
    </row>
    <row r="594" spans="1:29" x14ac:dyDescent="0.3">
      <c r="A594" t="s">
        <v>437</v>
      </c>
      <c r="B594" t="str">
        <f t="shared" ref="B594:D594" si="621">B490</f>
        <v>Appartments</v>
      </c>
      <c r="C594">
        <f t="shared" si="621"/>
        <v>21</v>
      </c>
      <c r="D594">
        <f t="shared" si="621"/>
        <v>3</v>
      </c>
      <c r="E594">
        <f>AVERAGEIFS('Region 21'!$W$2:$W$497,'Region 21'!$A$2:$A$497,E$1,'Region 21'!$X$2:$X$497,$D594,'Region 21'!$S$2:$S$497,$A594)</f>
        <v>0.78</v>
      </c>
      <c r="F594" t="e">
        <f>AVERAGEIFS('Region 21'!$W$2:$W$497,'Region 21'!$A$2:$A$497,F$1,'Region 21'!$X$2:$X$497,$D594,'Region 21'!$S$2:$S$497,$A594)</f>
        <v>#DIV/0!</v>
      </c>
      <c r="G594" t="e">
        <f>AVERAGEIFS('Region 21'!$W$2:$W$497,'Region 21'!$A$2:$A$497,G$1,'Region 21'!$X$2:$X$497,$D594,'Region 21'!$S$2:$S$497,$A594)</f>
        <v>#DIV/0!</v>
      </c>
      <c r="H594" t="e">
        <f>AVERAGEIFS('Region 21'!$W$2:$W$497,'Region 21'!$A$2:$A$497,H$1,'Region 21'!$X$2:$X$497,$D594,'Region 21'!$S$2:$S$497,$A594)</f>
        <v>#DIV/0!</v>
      </c>
      <c r="I594" t="e">
        <f>AVERAGEIFS('Region 21'!$W$2:$W$497,'Region 21'!$A$2:$A$497,I$1,'Region 21'!$X$2:$X$497,$D594,'Region 21'!$S$2:$S$497,$A594)</f>
        <v>#DIV/0!</v>
      </c>
      <c r="J594" t="e">
        <f>AVERAGEIFS('Region 21'!$W$2:$W$497,'Region 21'!$A$2:$A$497,J$1,'Region 21'!$X$2:$X$497,$D594,'Region 21'!$S$2:$S$497,$A594)</f>
        <v>#DIV/0!</v>
      </c>
      <c r="K594" t="e">
        <f>AVERAGEIFS('Region 21'!$W$2:$W$497,'Region 21'!$A$2:$A$497,K$1,'Region 21'!$X$2:$X$497,$D594,'Region 21'!$S$2:$S$497,$A594)</f>
        <v>#DIV/0!</v>
      </c>
      <c r="L594" t="e">
        <f>AVERAGEIFS('Region 21'!$W$2:$W$497,'Region 21'!$A$2:$A$497,L$1,'Region 21'!$X$2:$X$497,$D594,'Region 21'!$S$2:$S$497,$A594)</f>
        <v>#DIV/0!</v>
      </c>
      <c r="M594" t="e">
        <f>AVERAGEIFS('Region 21'!$W$2:$W$497,'Region 21'!$A$2:$A$497,M$1,'Region 21'!$X$2:$X$497,$D594,'Region 21'!$S$2:$S$497,$A594)</f>
        <v>#DIV/0!</v>
      </c>
      <c r="N594" t="e">
        <f>AVERAGEIFS('Region 21'!$W$2:$W$497,'Region 21'!$A$2:$A$497,N$1,'Region 21'!$X$2:$X$497,$D594,'Region 21'!$S$2:$S$497,$A594)</f>
        <v>#DIV/0!</v>
      </c>
      <c r="Q594" t="str">
        <f t="shared" si="612"/>
        <v>Glass</v>
      </c>
      <c r="R594" t="str">
        <f t="shared" si="613"/>
        <v>Appartments</v>
      </c>
      <c r="S594">
        <f t="shared" si="614"/>
        <v>21</v>
      </c>
      <c r="T594">
        <f t="shared" si="594"/>
        <v>0.78</v>
      </c>
      <c r="U594" t="str">
        <f t="shared" si="595"/>
        <v>-</v>
      </c>
      <c r="V594" t="str">
        <f t="shared" si="596"/>
        <v>-</v>
      </c>
      <c r="W594" t="str">
        <f t="shared" si="597"/>
        <v>-</v>
      </c>
      <c r="X594" t="str">
        <f t="shared" si="598"/>
        <v>-</v>
      </c>
      <c r="Y594" t="str">
        <f t="shared" si="599"/>
        <v>-</v>
      </c>
      <c r="Z594" t="str">
        <f t="shared" si="600"/>
        <v>-</v>
      </c>
      <c r="AA594" t="str">
        <f t="shared" si="601"/>
        <v>-</v>
      </c>
      <c r="AB594" t="str">
        <f t="shared" si="602"/>
        <v>-</v>
      </c>
      <c r="AC594" t="str">
        <f t="shared" si="603"/>
        <v>-</v>
      </c>
    </row>
    <row r="595" spans="1:29" x14ac:dyDescent="0.3">
      <c r="A595" t="s">
        <v>437</v>
      </c>
      <c r="B595" t="str">
        <f t="shared" ref="B595:D595" si="622">B491</f>
        <v>Appartments</v>
      </c>
      <c r="C595">
        <f t="shared" si="622"/>
        <v>22</v>
      </c>
      <c r="D595">
        <f t="shared" si="622"/>
        <v>3</v>
      </c>
      <c r="E595" t="e">
        <f>AVERAGEIFS('Region 22'!$W$2:$W$510,'Region 22'!$A$2:$A$510,E$1,'Region 22'!$X$2:$X$510,$D595,'Region 22'!$S$2:$S$510,$A595)</f>
        <v>#DIV/0!</v>
      </c>
      <c r="F595" t="e">
        <f>AVERAGEIFS('Region 22'!$W$2:$W$510,'Region 22'!$A$2:$A$510,F$1,'Region 22'!$X$2:$X$510,$D595,'Region 22'!$S$2:$S$510,$A595)</f>
        <v>#DIV/0!</v>
      </c>
      <c r="G595" t="e">
        <f>AVERAGEIFS('Region 22'!$W$2:$W$510,'Region 22'!$A$2:$A$510,G$1,'Region 22'!$X$2:$X$510,$D595,'Region 22'!$S$2:$S$510,$A595)</f>
        <v>#DIV/0!</v>
      </c>
      <c r="H595" t="e">
        <f>AVERAGEIFS('Region 22'!$W$2:$W$510,'Region 22'!$A$2:$A$510,H$1,'Region 22'!$X$2:$X$510,$D595,'Region 22'!$S$2:$S$510,$A595)</f>
        <v>#DIV/0!</v>
      </c>
      <c r="I595" t="e">
        <f>AVERAGEIFS('Region 22'!$W$2:$W$510,'Region 22'!$A$2:$A$510,I$1,'Region 22'!$X$2:$X$510,$D595,'Region 22'!$S$2:$S$510,$A595)</f>
        <v>#DIV/0!</v>
      </c>
      <c r="J595" t="e">
        <f>AVERAGEIFS('Region 22'!$W$2:$W$510,'Region 22'!$A$2:$A$510,J$1,'Region 22'!$X$2:$X$510,$D595,'Region 22'!$S$2:$S$510,$A595)</f>
        <v>#DIV/0!</v>
      </c>
      <c r="K595" t="e">
        <f>AVERAGEIFS('Region 22'!$W$2:$W$510,'Region 22'!$A$2:$A$510,K$1,'Region 22'!$X$2:$X$510,$D595,'Region 22'!$S$2:$S$510,$A595)</f>
        <v>#DIV/0!</v>
      </c>
      <c r="L595" t="e">
        <f>AVERAGEIFS('Region 22'!$W$2:$W$510,'Region 22'!$A$2:$A$510,L$1,'Region 22'!$X$2:$X$510,$D595,'Region 22'!$S$2:$S$510,$A595)</f>
        <v>#DIV/0!</v>
      </c>
      <c r="M595" t="e">
        <f>AVERAGEIFS('Region 22'!$W$2:$W$510,'Region 22'!$A$2:$A$510,M$1,'Region 22'!$X$2:$X$510,$D595,'Region 22'!$S$2:$S$510,$A595)</f>
        <v>#DIV/0!</v>
      </c>
      <c r="N595" t="e">
        <f>AVERAGEIFS('Region 22'!$W$2:$W$510,'Region 22'!$A$2:$A$510,N$1,'Region 22'!$X$2:$X$510,$D595,'Region 22'!$S$2:$S$510,$A595)</f>
        <v>#DIV/0!</v>
      </c>
      <c r="Q595" t="str">
        <f t="shared" si="612"/>
        <v>Glass</v>
      </c>
      <c r="R595" t="str">
        <f t="shared" si="613"/>
        <v>Appartments</v>
      </c>
      <c r="S595">
        <f t="shared" si="614"/>
        <v>22</v>
      </c>
      <c r="T595" t="str">
        <f t="shared" si="594"/>
        <v>-</v>
      </c>
      <c r="U595" t="str">
        <f t="shared" si="595"/>
        <v>-</v>
      </c>
      <c r="V595" t="str">
        <f t="shared" si="596"/>
        <v>-</v>
      </c>
      <c r="W595" t="str">
        <f t="shared" si="597"/>
        <v>-</v>
      </c>
      <c r="X595" t="str">
        <f t="shared" si="598"/>
        <v>-</v>
      </c>
      <c r="Y595" t="str">
        <f t="shared" si="599"/>
        <v>-</v>
      </c>
      <c r="Z595" t="str">
        <f t="shared" si="600"/>
        <v>-</v>
      </c>
      <c r="AA595" t="str">
        <f t="shared" si="601"/>
        <v>-</v>
      </c>
      <c r="AB595" t="str">
        <f t="shared" si="602"/>
        <v>-</v>
      </c>
      <c r="AC595" t="str">
        <f t="shared" si="603"/>
        <v>-</v>
      </c>
    </row>
    <row r="596" spans="1:29" x14ac:dyDescent="0.3">
      <c r="A596" t="s">
        <v>437</v>
      </c>
      <c r="B596" t="str">
        <f t="shared" ref="B596:D596" si="623">B492</f>
        <v>Appartments</v>
      </c>
      <c r="C596">
        <f t="shared" si="623"/>
        <v>23</v>
      </c>
      <c r="D596">
        <f t="shared" si="623"/>
        <v>3</v>
      </c>
      <c r="E596" t="e">
        <f>AVERAGEIFS('Region 23'!$W$2:$W$468,'Region 23'!$A$2:$A$468,E$1,'Region 23'!$X$2:$X$468,$D596,'Region 23'!$S$2:$S$468,$A596)</f>
        <v>#DIV/0!</v>
      </c>
      <c r="F596" t="e">
        <f>AVERAGEIFS('Region 23'!$W$2:$W$468,'Region 23'!$A$2:$A$468,F$1,'Region 23'!$X$2:$X$468,$D596,'Region 23'!$S$2:$S$468,$A596)</f>
        <v>#DIV/0!</v>
      </c>
      <c r="G596" t="e">
        <f>AVERAGEIFS('Region 23'!$W$2:$W$468,'Region 23'!$A$2:$A$468,G$1,'Region 23'!$X$2:$X$468,$D596,'Region 23'!$S$2:$S$468,$A596)</f>
        <v>#DIV/0!</v>
      </c>
      <c r="H596" t="e">
        <f>AVERAGEIFS('Region 23'!$W$2:$W$468,'Region 23'!$A$2:$A$468,H$1,'Region 23'!$X$2:$X$468,$D596,'Region 23'!$S$2:$S$468,$A596)</f>
        <v>#DIV/0!</v>
      </c>
      <c r="I596" t="e">
        <f>AVERAGEIFS('Region 23'!$W$2:$W$468,'Region 23'!$A$2:$A$468,I$1,'Region 23'!$X$2:$X$468,$D596,'Region 23'!$S$2:$S$468,$A596)</f>
        <v>#DIV/0!</v>
      </c>
      <c r="J596" t="e">
        <f>AVERAGEIFS('Region 23'!$W$2:$W$468,'Region 23'!$A$2:$A$468,J$1,'Region 23'!$X$2:$X$468,$D596,'Region 23'!$S$2:$S$468,$A596)</f>
        <v>#DIV/0!</v>
      </c>
      <c r="K596" t="e">
        <f>AVERAGEIFS('Region 23'!$W$2:$W$468,'Region 23'!$A$2:$A$468,K$1,'Region 23'!$X$2:$X$468,$D596,'Region 23'!$S$2:$S$468,$A596)</f>
        <v>#DIV/0!</v>
      </c>
      <c r="L596" t="e">
        <f>AVERAGEIFS('Region 23'!$W$2:$W$468,'Region 23'!$A$2:$A$468,L$1,'Region 23'!$X$2:$X$468,$D596,'Region 23'!$S$2:$S$468,$A596)</f>
        <v>#DIV/0!</v>
      </c>
      <c r="M596" t="e">
        <f>AVERAGEIFS('Region 23'!$W$2:$W$468,'Region 23'!$A$2:$A$468,M$1,'Region 23'!$X$2:$X$468,$D596,'Region 23'!$S$2:$S$468,$A596)</f>
        <v>#DIV/0!</v>
      </c>
      <c r="N596" t="e">
        <f>AVERAGEIFS('Region 23'!$W$2:$W$468,'Region 23'!$A$2:$A$468,N$1,'Region 23'!$X$2:$X$468,$D596,'Region 23'!$S$2:$S$468,$A596)</f>
        <v>#DIV/0!</v>
      </c>
      <c r="Q596" t="str">
        <f t="shared" si="612"/>
        <v>Glass</v>
      </c>
      <c r="R596" t="str">
        <f t="shared" si="613"/>
        <v>Appartments</v>
      </c>
      <c r="S596">
        <f t="shared" si="614"/>
        <v>23</v>
      </c>
      <c r="T596" t="str">
        <f t="shared" si="594"/>
        <v>-</v>
      </c>
      <c r="U596" t="str">
        <f t="shared" si="595"/>
        <v>-</v>
      </c>
      <c r="V596" t="str">
        <f t="shared" si="596"/>
        <v>-</v>
      </c>
      <c r="W596" t="str">
        <f t="shared" si="597"/>
        <v>-</v>
      </c>
      <c r="X596" t="str">
        <f t="shared" si="598"/>
        <v>-</v>
      </c>
      <c r="Y596" t="str">
        <f t="shared" si="599"/>
        <v>-</v>
      </c>
      <c r="Z596" t="str">
        <f t="shared" si="600"/>
        <v>-</v>
      </c>
      <c r="AA596" t="str">
        <f t="shared" si="601"/>
        <v>-</v>
      </c>
      <c r="AB596" t="str">
        <f t="shared" si="602"/>
        <v>-</v>
      </c>
      <c r="AC596" t="str">
        <f t="shared" si="603"/>
        <v>-</v>
      </c>
    </row>
    <row r="597" spans="1:29" x14ac:dyDescent="0.3">
      <c r="A597" t="s">
        <v>437</v>
      </c>
      <c r="B597" t="str">
        <f t="shared" ref="B597:D597" si="624">B493</f>
        <v>Appartments</v>
      </c>
      <c r="C597">
        <f t="shared" si="624"/>
        <v>24</v>
      </c>
      <c r="D597">
        <f t="shared" si="624"/>
        <v>3</v>
      </c>
      <c r="E597" t="e">
        <f>AVERAGEIFS('Region 24'!$W$2:$W$454,'Region 24'!$A$2:$A$454,E$1,'Region 24'!$X$2:$X$454,$D597,'Region 24'!$S$2:$S$454,$A597)</f>
        <v>#DIV/0!</v>
      </c>
      <c r="F597" t="e">
        <f>AVERAGEIFS('Region 24'!$W$2:$W$454,'Region 24'!$A$2:$A$454,F$1,'Region 24'!$X$2:$X$454,$D597,'Region 24'!$S$2:$S$454,$A597)</f>
        <v>#DIV/0!</v>
      </c>
      <c r="G597" t="e">
        <f>AVERAGEIFS('Region 24'!$W$2:$W$454,'Region 24'!$A$2:$A$454,G$1,'Region 24'!$X$2:$X$454,$D597,'Region 24'!$S$2:$S$454,$A597)</f>
        <v>#DIV/0!</v>
      </c>
      <c r="H597" t="e">
        <f>AVERAGEIFS('Region 24'!$W$2:$W$454,'Region 24'!$A$2:$A$454,H$1,'Region 24'!$X$2:$X$454,$D597,'Region 24'!$S$2:$S$454,$A597)</f>
        <v>#DIV/0!</v>
      </c>
      <c r="I597" t="e">
        <f>AVERAGEIFS('Region 24'!$W$2:$W$454,'Region 24'!$A$2:$A$454,I$1,'Region 24'!$X$2:$X$454,$D597,'Region 24'!$S$2:$S$454,$A597)</f>
        <v>#DIV/0!</v>
      </c>
      <c r="J597" t="e">
        <f>AVERAGEIFS('Region 24'!$W$2:$W$454,'Region 24'!$A$2:$A$454,J$1,'Region 24'!$X$2:$X$454,$D597,'Region 24'!$S$2:$S$454,$A597)</f>
        <v>#DIV/0!</v>
      </c>
      <c r="K597" t="e">
        <f>AVERAGEIFS('Region 24'!$W$2:$W$454,'Region 24'!$A$2:$A$454,K$1,'Region 24'!$X$2:$X$454,$D597,'Region 24'!$S$2:$S$454,$A597)</f>
        <v>#DIV/0!</v>
      </c>
      <c r="L597" t="e">
        <f>AVERAGEIFS('Region 24'!$W$2:$W$454,'Region 24'!$A$2:$A$454,L$1,'Region 24'!$X$2:$X$454,$D597,'Region 24'!$S$2:$S$454,$A597)</f>
        <v>#DIV/0!</v>
      </c>
      <c r="M597" t="e">
        <f>AVERAGEIFS('Region 24'!$W$2:$W$454,'Region 24'!$A$2:$A$454,M$1,'Region 24'!$X$2:$X$454,$D597,'Region 24'!$S$2:$S$454,$A597)</f>
        <v>#DIV/0!</v>
      </c>
      <c r="N597" t="e">
        <f>AVERAGEIFS('Region 24'!$W$2:$W$454,'Region 24'!$A$2:$A$454,N$1,'Region 24'!$X$2:$X$454,$D597,'Region 24'!$S$2:$S$454,$A597)</f>
        <v>#DIV/0!</v>
      </c>
      <c r="Q597" t="str">
        <f t="shared" si="612"/>
        <v>Glass</v>
      </c>
      <c r="R597" t="str">
        <f t="shared" si="613"/>
        <v>Appartments</v>
      </c>
      <c r="S597">
        <f t="shared" si="614"/>
        <v>24</v>
      </c>
      <c r="T597" t="str">
        <f t="shared" si="594"/>
        <v>-</v>
      </c>
      <c r="U597" t="str">
        <f t="shared" si="595"/>
        <v>-</v>
      </c>
      <c r="V597" t="str">
        <f t="shared" si="596"/>
        <v>-</v>
      </c>
      <c r="W597" t="str">
        <f t="shared" si="597"/>
        <v>-</v>
      </c>
      <c r="X597" t="str">
        <f t="shared" si="598"/>
        <v>-</v>
      </c>
      <c r="Y597" t="str">
        <f t="shared" si="599"/>
        <v>-</v>
      </c>
      <c r="Z597" t="str">
        <f t="shared" si="600"/>
        <v>-</v>
      </c>
      <c r="AA597" t="str">
        <f t="shared" si="601"/>
        <v>-</v>
      </c>
      <c r="AB597" t="str">
        <f t="shared" si="602"/>
        <v>-</v>
      </c>
      <c r="AC597" t="str">
        <f t="shared" si="603"/>
        <v>-</v>
      </c>
    </row>
    <row r="598" spans="1:29" x14ac:dyDescent="0.3">
      <c r="A598" t="s">
        <v>437</v>
      </c>
      <c r="B598" t="str">
        <f>B494</f>
        <v>Appartments</v>
      </c>
      <c r="C598">
        <f>C494</f>
        <v>25</v>
      </c>
      <c r="D598">
        <f>D494</f>
        <v>3</v>
      </c>
      <c r="E598" t="e">
        <f>AVERAGEIFS('Region 25'!$W$2:$W$499,'Region 25'!$A$2:$A$499,E$1,'Region 25'!$X$2:$X$499,$D598,'Region 25'!$S$2:$S$499,$A598)</f>
        <v>#DIV/0!</v>
      </c>
      <c r="F598" t="e">
        <f>AVERAGEIFS('Region 25'!$W$2:$W$499,'Region 25'!$A$2:$A$499,F$1,'Region 25'!$X$2:$X$499,$D598,'Region 25'!$S$2:$S$499,$A598)</f>
        <v>#DIV/0!</v>
      </c>
      <c r="G598" t="e">
        <f>AVERAGEIFS('Region 25'!$W$2:$W$499,'Region 25'!$A$2:$A$499,G$1,'Region 25'!$X$2:$X$499,$D598,'Region 25'!$S$2:$S$499,$A598)</f>
        <v>#DIV/0!</v>
      </c>
      <c r="H598" t="e">
        <f>AVERAGEIFS('Region 25'!$W$2:$W$499,'Region 25'!$A$2:$A$499,H$1,'Region 25'!$X$2:$X$499,$D598,'Region 25'!$S$2:$S$499,$A598)</f>
        <v>#DIV/0!</v>
      </c>
      <c r="I598" t="e">
        <f>AVERAGEIFS('Region 25'!$W$2:$W$499,'Region 25'!$A$2:$A$499,I$1,'Region 25'!$X$2:$X$499,$D598,'Region 25'!$S$2:$S$499,$A598)</f>
        <v>#DIV/0!</v>
      </c>
      <c r="J598" t="e">
        <f>AVERAGEIFS('Region 25'!$W$2:$W$499,'Region 25'!$A$2:$A$499,J$1,'Region 25'!$X$2:$X$499,$D598,'Region 25'!$S$2:$S$499,$A598)</f>
        <v>#DIV/0!</v>
      </c>
      <c r="K598" t="e">
        <f>AVERAGEIFS('Region 25'!$W$2:$W$499,'Region 25'!$A$2:$A$499,K$1,'Region 25'!$X$2:$X$499,$D598,'Region 25'!$S$2:$S$499,$A598)</f>
        <v>#DIV/0!</v>
      </c>
      <c r="L598" t="e">
        <f>AVERAGEIFS('Region 25'!$W$2:$W$499,'Region 25'!$A$2:$A$499,L$1,'Region 25'!$X$2:$X$499,$D598,'Region 25'!$S$2:$S$499,$A598)</f>
        <v>#DIV/0!</v>
      </c>
      <c r="M598" t="e">
        <f>AVERAGEIFS('Region 25'!$W$2:$W$499,'Region 25'!$A$2:$A$499,M$1,'Region 25'!$X$2:$X$499,$D598,'Region 25'!$S$2:$S$499,$A598)</f>
        <v>#DIV/0!</v>
      </c>
      <c r="N598" t="e">
        <f>AVERAGEIFS('Region 25'!$W$2:$W$499,'Region 25'!$A$2:$A$499,N$1,'Region 25'!$X$2:$X$499,$D598,'Region 25'!$S$2:$S$499,$A598)</f>
        <v>#DIV/0!</v>
      </c>
      <c r="Q598" t="str">
        <f t="shared" si="612"/>
        <v>Glass</v>
      </c>
      <c r="R598" t="str">
        <f t="shared" si="613"/>
        <v>Appartments</v>
      </c>
      <c r="S598">
        <f t="shared" si="614"/>
        <v>25</v>
      </c>
      <c r="T598" t="str">
        <f t="shared" si="594"/>
        <v>-</v>
      </c>
      <c r="U598" t="str">
        <f t="shared" si="595"/>
        <v>-</v>
      </c>
      <c r="V598" t="str">
        <f t="shared" si="596"/>
        <v>-</v>
      </c>
      <c r="W598" t="str">
        <f t="shared" si="597"/>
        <v>-</v>
      </c>
      <c r="X598" t="str">
        <f t="shared" si="598"/>
        <v>-</v>
      </c>
      <c r="Y598" t="str">
        <f t="shared" si="599"/>
        <v>-</v>
      </c>
      <c r="Z598" t="str">
        <f t="shared" si="600"/>
        <v>-</v>
      </c>
      <c r="AA598" t="str">
        <f t="shared" si="601"/>
        <v>-</v>
      </c>
      <c r="AB598" t="str">
        <f t="shared" si="602"/>
        <v>-</v>
      </c>
      <c r="AC598" t="str">
        <f t="shared" si="603"/>
        <v>-</v>
      </c>
    </row>
    <row r="599" spans="1:29" x14ac:dyDescent="0.3">
      <c r="A599" t="s">
        <v>437</v>
      </c>
      <c r="B599" t="str">
        <f t="shared" ref="B599:D599" si="625">B495</f>
        <v>Appartments</v>
      </c>
      <c r="C599">
        <f t="shared" si="625"/>
        <v>26</v>
      </c>
      <c r="D599">
        <f t="shared" si="625"/>
        <v>3</v>
      </c>
      <c r="E599" t="e">
        <f ca="1">AVERAGEIFS('Region 26'!$W$2:$W$500,'Region 26'!$A$2:$A$500,E$1,'Region 26'!$X$2:$X$500,$D599,'Region 26'!$S$2:$S$500,$A599)</f>
        <v>#DIV/0!</v>
      </c>
      <c r="F599" t="e">
        <f ca="1">AVERAGEIFS('Region 26'!$W$2:$W$500,'Region 26'!$A$2:$A$500,F$1,'Region 26'!$X$2:$X$500,$D599,'Region 26'!$S$2:$S$500,$A599)</f>
        <v>#DIV/0!</v>
      </c>
      <c r="G599" t="e">
        <f ca="1">AVERAGEIFS('Region 26'!$W$2:$W$500,'Region 26'!$A$2:$A$500,G$1,'Region 26'!$X$2:$X$500,$D599,'Region 26'!$S$2:$S$500,$A599)</f>
        <v>#DIV/0!</v>
      </c>
      <c r="H599" t="e">
        <f ca="1">AVERAGEIFS('Region 26'!$W$2:$W$500,'Region 26'!$A$2:$A$500,H$1,'Region 26'!$X$2:$X$500,$D599,'Region 26'!$S$2:$S$500,$A599)</f>
        <v>#DIV/0!</v>
      </c>
      <c r="I599" t="e">
        <f ca="1">AVERAGEIFS('Region 26'!$W$2:$W$500,'Region 26'!$A$2:$A$500,I$1,'Region 26'!$X$2:$X$500,$D599,'Region 26'!$S$2:$S$500,$A599)</f>
        <v>#DIV/0!</v>
      </c>
      <c r="J599" t="e">
        <f ca="1">AVERAGEIFS('Region 26'!$W$2:$W$500,'Region 26'!$A$2:$A$500,J$1,'Region 26'!$X$2:$X$500,$D599,'Region 26'!$S$2:$S$500,$A599)</f>
        <v>#DIV/0!</v>
      </c>
      <c r="K599" t="e">
        <f ca="1">AVERAGEIFS('Region 26'!$W$2:$W$500,'Region 26'!$A$2:$A$500,K$1,'Region 26'!$X$2:$X$500,$D599,'Region 26'!$S$2:$S$500,$A599)</f>
        <v>#DIV/0!</v>
      </c>
      <c r="L599" t="e">
        <f ca="1">AVERAGEIFS('Region 26'!$W$2:$W$500,'Region 26'!$A$2:$A$500,L$1,'Region 26'!$X$2:$X$500,$D599,'Region 26'!$S$2:$S$500,$A599)</f>
        <v>#DIV/0!</v>
      </c>
      <c r="M599" t="e">
        <f ca="1">AVERAGEIFS('Region 26'!$W$2:$W$500,'Region 26'!$A$2:$A$500,M$1,'Region 26'!$X$2:$X$500,$D599,'Region 26'!$S$2:$S$500,$A599)</f>
        <v>#DIV/0!</v>
      </c>
      <c r="N599" t="e">
        <f ca="1">AVERAGEIFS('Region 26'!$W$2:$W$500,'Region 26'!$A$2:$A$500,N$1,'Region 26'!$X$2:$X$500,$D599,'Region 26'!$S$2:$S$500,$A599)</f>
        <v>#DIV/0!</v>
      </c>
      <c r="Q599" t="str">
        <f t="shared" si="612"/>
        <v>Glass</v>
      </c>
      <c r="R599" t="str">
        <f t="shared" si="613"/>
        <v>Appartments</v>
      </c>
      <c r="S599">
        <f t="shared" si="614"/>
        <v>26</v>
      </c>
      <c r="T599" t="str">
        <f t="shared" ca="1" si="594"/>
        <v>-</v>
      </c>
      <c r="U599" t="str">
        <f t="shared" ca="1" si="595"/>
        <v>-</v>
      </c>
      <c r="V599" t="str">
        <f t="shared" ca="1" si="596"/>
        <v>-</v>
      </c>
      <c r="W599" t="str">
        <f t="shared" ca="1" si="597"/>
        <v>-</v>
      </c>
      <c r="X599" t="str">
        <f t="shared" ca="1" si="598"/>
        <v>-</v>
      </c>
      <c r="Y599" t="str">
        <f t="shared" ca="1" si="599"/>
        <v>-</v>
      </c>
      <c r="Z599" t="str">
        <f t="shared" ca="1" si="600"/>
        <v>-</v>
      </c>
      <c r="AA599" t="str">
        <f t="shared" ca="1" si="601"/>
        <v>-</v>
      </c>
      <c r="AB599" t="str">
        <f t="shared" ca="1" si="602"/>
        <v>-</v>
      </c>
      <c r="AC599" t="str">
        <f t="shared" ca="1" si="603"/>
        <v>-</v>
      </c>
    </row>
    <row r="600" spans="1:29" x14ac:dyDescent="0.3">
      <c r="A600" t="s">
        <v>437</v>
      </c>
      <c r="B600" t="str">
        <f t="shared" ref="B600:D600" si="626">B496</f>
        <v>High-rise</v>
      </c>
      <c r="C600">
        <f t="shared" si="626"/>
        <v>1</v>
      </c>
      <c r="D600">
        <f t="shared" si="626"/>
        <v>4</v>
      </c>
      <c r="E600" t="e">
        <f>AVERAGEIFS('Region 1'!$W$2:$W$498,'Region 1'!$A$2:$A$498,E$1,'Region 1'!$X$2:$X$498,$D600,'Region 1'!$S$2:$S$498,$A600)</f>
        <v>#DIV/0!</v>
      </c>
      <c r="F600">
        <f>AVERAGEIFS('Region 1'!$W$2:$W$498,'Region 1'!$A$2:$A$498,F$1,'Region 1'!$X$2:$X$498,$D600,'Region 1'!$S$2:$S$498,$A600)</f>
        <v>1.1965811965811965</v>
      </c>
      <c r="G600" t="e">
        <f>AVERAGEIFS('Region 1'!$W$2:$W$498,'Region 1'!$A$2:$A$498,G$1,'Region 1'!$X$2:$X$498,$D600,'Region 1'!$S$2:$S$498,$A600)</f>
        <v>#DIV/0!</v>
      </c>
      <c r="H600" t="e">
        <f>AVERAGEIFS('Region 1'!$W$2:$W$498,'Region 1'!$A$2:$A$498,H$1,'Region 1'!$X$2:$X$498,$D600,'Region 1'!$S$2:$S$498,$A600)</f>
        <v>#DIV/0!</v>
      </c>
      <c r="I600" t="e">
        <f>AVERAGEIFS('Region 1'!$W$2:$W$498,'Region 1'!$A$2:$A$498,I$1,'Region 1'!$X$2:$X$498,$D600,'Region 1'!$S$2:$S$498,$A600)</f>
        <v>#DIV/0!</v>
      </c>
      <c r="J600" t="e">
        <f>AVERAGEIFS('Region 1'!$W$2:$W$498,'Region 1'!$A$2:$A$498,J$1,'Region 1'!$X$2:$X$498,$D600,'Region 1'!$S$2:$S$498,$A600)</f>
        <v>#DIV/0!</v>
      </c>
      <c r="K600" t="e">
        <f>AVERAGEIFS('Region 1'!$W$2:$W$498,'Region 1'!$A$2:$A$498,K$1,'Region 1'!$X$2:$X$498,$D600,'Region 1'!$S$2:$S$498,$A600)</f>
        <v>#DIV/0!</v>
      </c>
      <c r="L600" t="e">
        <f>AVERAGEIFS('Region 1'!$W$2:$W$498,'Region 1'!$A$2:$A$498,L$1,'Region 1'!$X$2:$X$498,$D600,'Region 1'!$S$2:$S$498,$A600)</f>
        <v>#DIV/0!</v>
      </c>
      <c r="M600" t="e">
        <f>AVERAGEIFS('Region 1'!$W$2:$W$498,'Region 1'!$A$2:$A$498,M$1,'Region 1'!$X$2:$X$498,$D600,'Region 1'!$S$2:$S$498,$A600)</f>
        <v>#DIV/0!</v>
      </c>
      <c r="N600" t="e">
        <f>AVERAGEIFS('Region 1'!$W$2:$W$498,'Region 1'!$A$2:$A$498,N$1,'Region 1'!$X$2:$X$498,$D600,'Region 1'!$S$2:$S$498,$A600)</f>
        <v>#DIV/0!</v>
      </c>
      <c r="Q600" t="str">
        <f t="shared" si="612"/>
        <v>Glass</v>
      </c>
      <c r="R600" t="str">
        <f t="shared" si="613"/>
        <v>High-rise</v>
      </c>
      <c r="S600">
        <f t="shared" si="614"/>
        <v>1</v>
      </c>
      <c r="T600" t="str">
        <f t="shared" si="594"/>
        <v>-</v>
      </c>
      <c r="U600">
        <f t="shared" si="595"/>
        <v>1.1965811965811965</v>
      </c>
      <c r="V600" t="str">
        <f t="shared" si="596"/>
        <v>-</v>
      </c>
      <c r="W600" t="str">
        <f t="shared" si="597"/>
        <v>-</v>
      </c>
      <c r="X600" t="str">
        <f t="shared" si="598"/>
        <v>-</v>
      </c>
      <c r="Y600" t="str">
        <f t="shared" si="599"/>
        <v>-</v>
      </c>
      <c r="Z600" t="str">
        <f t="shared" si="600"/>
        <v>-</v>
      </c>
      <c r="AA600" t="str">
        <f t="shared" si="601"/>
        <v>-</v>
      </c>
      <c r="AB600" t="str">
        <f t="shared" si="602"/>
        <v>-</v>
      </c>
      <c r="AC600" t="str">
        <f t="shared" si="603"/>
        <v>-</v>
      </c>
    </row>
    <row r="601" spans="1:29" x14ac:dyDescent="0.3">
      <c r="A601" t="s">
        <v>437</v>
      </c>
      <c r="B601" t="str">
        <f t="shared" ref="B601:D601" si="627">B497</f>
        <v>High-rise</v>
      </c>
      <c r="C601">
        <f t="shared" si="627"/>
        <v>2</v>
      </c>
      <c r="D601">
        <f t="shared" si="627"/>
        <v>4</v>
      </c>
      <c r="E601" t="e">
        <f>AVERAGEIFS('Region 2'!$W$2:$W$498,'Region 2'!$A$2:$A$498,E$1,'Region 2'!$X$2:$X$498,$D601,'Region 2'!$S$2:$S$498,$A601)</f>
        <v>#DIV/0!</v>
      </c>
      <c r="F601" t="e">
        <f>AVERAGEIFS('Region 2'!$W$2:$W$498,'Region 2'!$A$2:$A$498,F$1,'Region 2'!$X$2:$X$498,$D601,'Region 2'!$S$2:$S$498,$A601)</f>
        <v>#DIV/0!</v>
      </c>
      <c r="G601" t="e">
        <f>AVERAGEIFS('Region 2'!$W$2:$W$498,'Region 2'!$A$2:$A$498,G$1,'Region 2'!$X$2:$X$498,$D601,'Region 2'!$S$2:$S$498,$A601)</f>
        <v>#DIV/0!</v>
      </c>
      <c r="H601" t="e">
        <f>AVERAGEIFS('Region 2'!$W$2:$W$498,'Region 2'!$A$2:$A$498,H$1,'Region 2'!$X$2:$X$498,$D601,'Region 2'!$S$2:$S$498,$A601)</f>
        <v>#DIV/0!</v>
      </c>
      <c r="I601" t="e">
        <f>AVERAGEIFS('Region 2'!$W$2:$W$498,'Region 2'!$A$2:$A$498,I$1,'Region 2'!$X$2:$X$498,$D601,'Region 2'!$S$2:$S$498,$A601)</f>
        <v>#DIV/0!</v>
      </c>
      <c r="J601" t="e">
        <f>AVERAGEIFS('Region 2'!$W$2:$W$498,'Region 2'!$A$2:$A$498,J$1,'Region 2'!$X$2:$X$498,$D601,'Region 2'!$S$2:$S$498,$A601)</f>
        <v>#DIV/0!</v>
      </c>
      <c r="K601" t="e">
        <f>AVERAGEIFS('Region 2'!$W$2:$W$498,'Region 2'!$A$2:$A$498,K$1,'Region 2'!$X$2:$X$498,$D601,'Region 2'!$S$2:$S$498,$A601)</f>
        <v>#DIV/0!</v>
      </c>
      <c r="L601" t="e">
        <f>AVERAGEIFS('Region 2'!$W$2:$W$498,'Region 2'!$A$2:$A$498,L$1,'Region 2'!$X$2:$X$498,$D601,'Region 2'!$S$2:$S$498,$A601)</f>
        <v>#DIV/0!</v>
      </c>
      <c r="M601" t="e">
        <f>AVERAGEIFS('Region 2'!$W$2:$W$498,'Region 2'!$A$2:$A$498,M$1,'Region 2'!$X$2:$X$498,$D601,'Region 2'!$S$2:$S$498,$A601)</f>
        <v>#DIV/0!</v>
      </c>
      <c r="N601" t="e">
        <f>AVERAGEIFS('Region 2'!$W$2:$W$498,'Region 2'!$A$2:$A$498,N$1,'Region 2'!$X$2:$X$498,$D601,'Region 2'!$S$2:$S$498,$A601)</f>
        <v>#DIV/0!</v>
      </c>
      <c r="Q601" t="str">
        <f t="shared" si="612"/>
        <v>Glass</v>
      </c>
      <c r="R601" t="str">
        <f t="shared" si="613"/>
        <v>High-rise</v>
      </c>
      <c r="S601">
        <f t="shared" si="614"/>
        <v>2</v>
      </c>
      <c r="T601" t="str">
        <f t="shared" si="594"/>
        <v>-</v>
      </c>
      <c r="U601" t="str">
        <f t="shared" si="595"/>
        <v>-</v>
      </c>
      <c r="V601" t="str">
        <f t="shared" si="596"/>
        <v>-</v>
      </c>
      <c r="W601" t="str">
        <f t="shared" si="597"/>
        <v>-</v>
      </c>
      <c r="X601" t="str">
        <f t="shared" si="598"/>
        <v>-</v>
      </c>
      <c r="Y601" t="str">
        <f t="shared" si="599"/>
        <v>-</v>
      </c>
      <c r="Z601" t="str">
        <f t="shared" si="600"/>
        <v>-</v>
      </c>
      <c r="AA601" t="str">
        <f t="shared" si="601"/>
        <v>-</v>
      </c>
      <c r="AB601" t="str">
        <f t="shared" si="602"/>
        <v>-</v>
      </c>
      <c r="AC601" t="str">
        <f t="shared" si="603"/>
        <v>-</v>
      </c>
    </row>
    <row r="602" spans="1:29" x14ac:dyDescent="0.3">
      <c r="A602" t="s">
        <v>437</v>
      </c>
      <c r="B602" t="str">
        <f t="shared" ref="B602:D602" si="628">B498</f>
        <v>High-rise</v>
      </c>
      <c r="C602">
        <f t="shared" si="628"/>
        <v>3</v>
      </c>
      <c r="D602">
        <f t="shared" si="628"/>
        <v>4</v>
      </c>
      <c r="E602" t="e">
        <f ca="1">AVERAGEIFS('Region 3'!$W$2:$W$500,'Region 3'!$A$2:$A$500,E$1,'Region 3'!$X$2:$X$500,$D602,'Region 3'!$S$2:$S$500,$A602)</f>
        <v>#DIV/0!</v>
      </c>
      <c r="F602" t="e">
        <f ca="1">AVERAGEIFS('Region 3'!$W$2:$W$500,'Region 3'!$A$2:$A$500,F$1,'Region 3'!$X$2:$X$500,$D602,'Region 3'!$S$2:$S$500,$A602)</f>
        <v>#DIV/0!</v>
      </c>
      <c r="G602" t="e">
        <f ca="1">AVERAGEIFS('Region 3'!$W$2:$W$500,'Region 3'!$A$2:$A$500,G$1,'Region 3'!$X$2:$X$500,$D602,'Region 3'!$S$2:$S$500,$A602)</f>
        <v>#DIV/0!</v>
      </c>
      <c r="H602" t="e">
        <f ca="1">AVERAGEIFS('Region 3'!$W$2:$W$500,'Region 3'!$A$2:$A$500,H$1,'Region 3'!$X$2:$X$500,$D602,'Region 3'!$S$2:$S$500,$A602)</f>
        <v>#DIV/0!</v>
      </c>
      <c r="I602" t="e">
        <f ca="1">AVERAGEIFS('Region 3'!$W$2:$W$500,'Region 3'!$A$2:$A$500,I$1,'Region 3'!$X$2:$X$500,$D602,'Region 3'!$S$2:$S$500,$A602)</f>
        <v>#DIV/0!</v>
      </c>
      <c r="J602" t="e">
        <f ca="1">AVERAGEIFS('Region 3'!$W$2:$W$500,'Region 3'!$A$2:$A$500,J$1,'Region 3'!$X$2:$X$500,$D602,'Region 3'!$S$2:$S$500,$A602)</f>
        <v>#DIV/0!</v>
      </c>
      <c r="K602" t="e">
        <f ca="1">AVERAGEIFS('Region 3'!$W$2:$W$500,'Region 3'!$A$2:$A$500,K$1,'Region 3'!$X$2:$X$500,$D602,'Region 3'!$S$2:$S$500,$A602)</f>
        <v>#DIV/0!</v>
      </c>
      <c r="L602" t="e">
        <f ca="1">AVERAGEIFS('Region 3'!$W$2:$W$500,'Region 3'!$A$2:$A$500,L$1,'Region 3'!$X$2:$X$500,$D602,'Region 3'!$S$2:$S$500,$A602)</f>
        <v>#DIV/0!</v>
      </c>
      <c r="M602" t="e">
        <f ca="1">AVERAGEIFS('Region 3'!$W$2:$W$500,'Region 3'!$A$2:$A$500,M$1,'Region 3'!$X$2:$X$500,$D602,'Region 3'!$S$2:$S$500,$A602)</f>
        <v>#DIV/0!</v>
      </c>
      <c r="N602" t="e">
        <f ca="1">AVERAGEIFS('Region 3'!$W$2:$W$500,'Region 3'!$A$2:$A$500,N$1,'Region 3'!$X$2:$X$500,$D602,'Region 3'!$S$2:$S$500,$A602)</f>
        <v>#DIV/0!</v>
      </c>
      <c r="Q602" t="str">
        <f t="shared" si="612"/>
        <v>Glass</v>
      </c>
      <c r="R602" t="str">
        <f t="shared" si="613"/>
        <v>High-rise</v>
      </c>
      <c r="S602">
        <f t="shared" si="614"/>
        <v>3</v>
      </c>
      <c r="T602" t="str">
        <f t="shared" ca="1" si="594"/>
        <v>-</v>
      </c>
      <c r="U602" t="str">
        <f t="shared" ca="1" si="595"/>
        <v>-</v>
      </c>
      <c r="V602" t="str">
        <f t="shared" ca="1" si="596"/>
        <v>-</v>
      </c>
      <c r="W602" t="str">
        <f t="shared" ca="1" si="597"/>
        <v>-</v>
      </c>
      <c r="X602" t="str">
        <f t="shared" ca="1" si="598"/>
        <v>-</v>
      </c>
      <c r="Y602" t="str">
        <f t="shared" ca="1" si="599"/>
        <v>-</v>
      </c>
      <c r="Z602" t="str">
        <f t="shared" ca="1" si="600"/>
        <v>-</v>
      </c>
      <c r="AA602" t="str">
        <f t="shared" ca="1" si="601"/>
        <v>-</v>
      </c>
      <c r="AB602" t="str">
        <f t="shared" ca="1" si="602"/>
        <v>-</v>
      </c>
      <c r="AC602" t="str">
        <f t="shared" ca="1" si="603"/>
        <v>-</v>
      </c>
    </row>
    <row r="603" spans="1:29" x14ac:dyDescent="0.3">
      <c r="A603" t="s">
        <v>437</v>
      </c>
      <c r="B603" t="str">
        <f t="shared" ref="B603:D603" si="629">B499</f>
        <v>High-rise</v>
      </c>
      <c r="C603">
        <f t="shared" si="629"/>
        <v>4</v>
      </c>
      <c r="D603">
        <f t="shared" si="629"/>
        <v>4</v>
      </c>
      <c r="E603" t="e">
        <f>AVERAGEIFS('Region 4'!$W$2:$W$10,'Region 4'!$A$2:$A$10,E$1,'Region 4'!$X$2:$X$10,$D603,'Region 4'!$S$2:$S$10,$A603)</f>
        <v>#DIV/0!</v>
      </c>
      <c r="F603" t="e">
        <f>AVERAGEIFS('Region 4'!$W$2:$W$10,'Region 4'!$A$2:$A$10,F$1,'Region 4'!$X$2:$X$10,$D603,'Region 4'!$S$2:$S$10,$A603)</f>
        <v>#DIV/0!</v>
      </c>
      <c r="G603" t="e">
        <f>AVERAGEIFS('Region 4'!$W$2:$W$10,'Region 4'!$A$2:$A$10,G$1,'Region 4'!$X$2:$X$10,$D603,'Region 4'!$S$2:$S$10,$A603)</f>
        <v>#DIV/0!</v>
      </c>
      <c r="H603" t="e">
        <f>AVERAGEIFS('Region 4'!$W$2:$W$10,'Region 4'!$A$2:$A$10,H$1,'Region 4'!$X$2:$X$10,$D603,'Region 4'!$S$2:$S$10,$A603)</f>
        <v>#DIV/0!</v>
      </c>
      <c r="I603" t="e">
        <f>AVERAGEIFS('Region 4'!$W$2:$W$10,'Region 4'!$A$2:$A$10,I$1,'Region 4'!$X$2:$X$10,$D603,'Region 4'!$S$2:$S$10,$A603)</f>
        <v>#DIV/0!</v>
      </c>
      <c r="J603" t="e">
        <f>AVERAGEIFS('Region 4'!$W$2:$W$10,'Region 4'!$A$2:$A$10,J$1,'Region 4'!$X$2:$X$10,$D603,'Region 4'!$S$2:$S$10,$A603)</f>
        <v>#DIV/0!</v>
      </c>
      <c r="K603" t="e">
        <f>AVERAGEIFS('Region 4'!$W$2:$W$10,'Region 4'!$A$2:$A$10,K$1,'Region 4'!$X$2:$X$10,$D603,'Region 4'!$S$2:$S$10,$A603)</f>
        <v>#DIV/0!</v>
      </c>
      <c r="L603" t="e">
        <f>AVERAGEIFS('Region 4'!$W$2:$W$10,'Region 4'!$A$2:$A$10,L$1,'Region 4'!$X$2:$X$10,$D603,'Region 4'!$S$2:$S$10,$A603)</f>
        <v>#DIV/0!</v>
      </c>
      <c r="M603" t="e">
        <f>AVERAGEIFS('Region 4'!$W$2:$W$10,'Region 4'!$A$2:$A$10,M$1,'Region 4'!$X$2:$X$10,$D603,'Region 4'!$S$2:$S$10,$A603)</f>
        <v>#DIV/0!</v>
      </c>
      <c r="N603" t="e">
        <f>AVERAGEIFS('Region 4'!$W$2:$W$10,'Region 4'!$A$2:$A$10,N$1,'Region 4'!$X$2:$X$10,$D603,'Region 4'!$S$2:$S$10,$A603)</f>
        <v>#DIV/0!</v>
      </c>
      <c r="Q603" t="str">
        <f t="shared" si="612"/>
        <v>Glass</v>
      </c>
      <c r="R603" t="str">
        <f t="shared" si="613"/>
        <v>High-rise</v>
      </c>
      <c r="S603">
        <f t="shared" si="614"/>
        <v>4</v>
      </c>
      <c r="T603" t="str">
        <f t="shared" si="594"/>
        <v>-</v>
      </c>
      <c r="U603" t="str">
        <f t="shared" si="595"/>
        <v>-</v>
      </c>
      <c r="V603" t="str">
        <f t="shared" si="596"/>
        <v>-</v>
      </c>
      <c r="W603" t="str">
        <f t="shared" si="597"/>
        <v>-</v>
      </c>
      <c r="X603" t="str">
        <f t="shared" si="598"/>
        <v>-</v>
      </c>
      <c r="Y603" t="str">
        <f t="shared" si="599"/>
        <v>-</v>
      </c>
      <c r="Z603" t="str">
        <f t="shared" si="600"/>
        <v>-</v>
      </c>
      <c r="AA603" t="str">
        <f t="shared" si="601"/>
        <v>-</v>
      </c>
      <c r="AB603" t="str">
        <f t="shared" si="602"/>
        <v>-</v>
      </c>
      <c r="AC603" t="str">
        <f t="shared" si="603"/>
        <v>-</v>
      </c>
    </row>
    <row r="604" spans="1:29" x14ac:dyDescent="0.3">
      <c r="A604" t="s">
        <v>437</v>
      </c>
      <c r="B604" t="str">
        <f t="shared" ref="B604:D604" si="630">B500</f>
        <v>High-rise</v>
      </c>
      <c r="C604">
        <f t="shared" si="630"/>
        <v>5</v>
      </c>
      <c r="D604">
        <f t="shared" si="630"/>
        <v>4</v>
      </c>
      <c r="E604" t="e">
        <f>AVERAGEIFS('Region 5'!$W$2:$W$496,'Region 5'!$A$2:$A$496,E$1,'Region 5'!$X$2:$X$496,$D604,'Region 5'!$S$2:$S$496,$A604)</f>
        <v>#DIV/0!</v>
      </c>
      <c r="F604">
        <f>AVERAGEIFS('Region 5'!$W$2:$W$496,'Region 5'!$A$2:$A$496,F$1,'Region 5'!$X$2:$X$496,$D604,'Region 5'!$S$2:$S$496,$A604)</f>
        <v>0.66333333333333344</v>
      </c>
      <c r="G604" t="e">
        <f>AVERAGEIFS('Region 5'!$W$2:$W$496,'Region 5'!$A$2:$A$496,G$1,'Region 5'!$X$2:$X$496,$D604,'Region 5'!$S$2:$S$496,$A604)</f>
        <v>#DIV/0!</v>
      </c>
      <c r="H604" t="e">
        <f>AVERAGEIFS('Region 5'!$W$2:$W$496,'Region 5'!$A$2:$A$496,H$1,'Region 5'!$X$2:$X$496,$D604,'Region 5'!$S$2:$S$496,$A604)</f>
        <v>#DIV/0!</v>
      </c>
      <c r="I604" t="e">
        <f>AVERAGEIFS('Region 5'!$W$2:$W$496,'Region 5'!$A$2:$A$496,I$1,'Region 5'!$X$2:$X$496,$D604,'Region 5'!$S$2:$S$496,$A604)</f>
        <v>#DIV/0!</v>
      </c>
      <c r="J604" t="e">
        <f>AVERAGEIFS('Region 5'!$W$2:$W$496,'Region 5'!$A$2:$A$496,J$1,'Region 5'!$X$2:$X$496,$D604,'Region 5'!$S$2:$S$496,$A604)</f>
        <v>#DIV/0!</v>
      </c>
      <c r="K604" t="e">
        <f>AVERAGEIFS('Region 5'!$W$2:$W$496,'Region 5'!$A$2:$A$496,K$1,'Region 5'!$X$2:$X$496,$D604,'Region 5'!$S$2:$S$496,$A604)</f>
        <v>#DIV/0!</v>
      </c>
      <c r="L604" t="e">
        <f>AVERAGEIFS('Region 5'!$W$2:$W$496,'Region 5'!$A$2:$A$496,L$1,'Region 5'!$X$2:$X$496,$D604,'Region 5'!$S$2:$S$496,$A604)</f>
        <v>#DIV/0!</v>
      </c>
      <c r="M604" t="e">
        <f>AVERAGEIFS('Region 5'!$W$2:$W$496,'Region 5'!$A$2:$A$496,M$1,'Region 5'!$X$2:$X$496,$D604,'Region 5'!$S$2:$S$496,$A604)</f>
        <v>#DIV/0!</v>
      </c>
      <c r="N604" t="e">
        <f>AVERAGEIFS('Region 5'!$W$2:$W$496,'Region 5'!$A$2:$A$496,N$1,'Region 5'!$X$2:$X$496,$D604,'Region 5'!$S$2:$S$496,$A604)</f>
        <v>#DIV/0!</v>
      </c>
      <c r="Q604" t="str">
        <f t="shared" si="612"/>
        <v>Glass</v>
      </c>
      <c r="R604" t="str">
        <f t="shared" si="613"/>
        <v>High-rise</v>
      </c>
      <c r="S604">
        <f t="shared" si="614"/>
        <v>5</v>
      </c>
      <c r="T604" t="str">
        <f t="shared" si="594"/>
        <v>-</v>
      </c>
      <c r="U604">
        <f t="shared" si="595"/>
        <v>0.66333333333333344</v>
      </c>
      <c r="V604" t="str">
        <f t="shared" si="596"/>
        <v>-</v>
      </c>
      <c r="W604" t="str">
        <f t="shared" si="597"/>
        <v>-</v>
      </c>
      <c r="X604" t="str">
        <f t="shared" si="598"/>
        <v>-</v>
      </c>
      <c r="Y604" t="str">
        <f t="shared" si="599"/>
        <v>-</v>
      </c>
      <c r="Z604" t="str">
        <f t="shared" si="600"/>
        <v>-</v>
      </c>
      <c r="AA604" t="str">
        <f t="shared" si="601"/>
        <v>-</v>
      </c>
      <c r="AB604" t="str">
        <f t="shared" si="602"/>
        <v>-</v>
      </c>
      <c r="AC604" t="str">
        <f t="shared" si="603"/>
        <v>-</v>
      </c>
    </row>
    <row r="605" spans="1:29" x14ac:dyDescent="0.3">
      <c r="A605" t="s">
        <v>437</v>
      </c>
      <c r="B605" t="str">
        <f t="shared" ref="B605:D605" si="631">B501</f>
        <v>High-rise</v>
      </c>
      <c r="C605">
        <f t="shared" si="631"/>
        <v>6</v>
      </c>
      <c r="D605">
        <f t="shared" si="631"/>
        <v>4</v>
      </c>
      <c r="E605" t="e">
        <f>AVERAGEIFS('Region 6'!$W$2:$W$496,'Region 6'!$A$2:$A$496,E$1,'Region 6'!$X$2:$X$496,$D605,'Region 6'!$S$2:$S$496,$A605)</f>
        <v>#DIV/0!</v>
      </c>
      <c r="F605" t="e">
        <f>AVERAGEIFS('Region 6'!$W$2:$W$496,'Region 6'!$A$2:$A$496,F$1,'Region 6'!$X$2:$X$496,$D605,'Region 6'!$S$2:$S$496,$A605)</f>
        <v>#DIV/0!</v>
      </c>
      <c r="G605" t="e">
        <f>AVERAGEIFS('Region 6'!$W$2:$W$496,'Region 6'!$A$2:$A$496,G$1,'Region 6'!$X$2:$X$496,$D605,'Region 6'!$S$2:$S$496,$A605)</f>
        <v>#DIV/0!</v>
      </c>
      <c r="H605" t="e">
        <f>AVERAGEIFS('Region 6'!$W$2:$W$496,'Region 6'!$A$2:$A$496,H$1,'Region 6'!$X$2:$X$496,$D605,'Region 6'!$S$2:$S$496,$A605)</f>
        <v>#DIV/0!</v>
      </c>
      <c r="I605" t="e">
        <f>AVERAGEIFS('Region 6'!$W$2:$W$496,'Region 6'!$A$2:$A$496,I$1,'Region 6'!$X$2:$X$496,$D605,'Region 6'!$S$2:$S$496,$A605)</f>
        <v>#DIV/0!</v>
      </c>
      <c r="J605" t="e">
        <f>AVERAGEIFS('Region 6'!$W$2:$W$496,'Region 6'!$A$2:$A$496,J$1,'Region 6'!$X$2:$X$496,$D605,'Region 6'!$S$2:$S$496,$A605)</f>
        <v>#DIV/0!</v>
      </c>
      <c r="K605" t="e">
        <f>AVERAGEIFS('Region 6'!$W$2:$W$496,'Region 6'!$A$2:$A$496,K$1,'Region 6'!$X$2:$X$496,$D605,'Region 6'!$S$2:$S$496,$A605)</f>
        <v>#DIV/0!</v>
      </c>
      <c r="L605" t="e">
        <f>AVERAGEIFS('Region 6'!$W$2:$W$496,'Region 6'!$A$2:$A$496,L$1,'Region 6'!$X$2:$X$496,$D605,'Region 6'!$S$2:$S$496,$A605)</f>
        <v>#DIV/0!</v>
      </c>
      <c r="M605" t="e">
        <f>AVERAGEIFS('Region 6'!$W$2:$W$496,'Region 6'!$A$2:$A$496,M$1,'Region 6'!$X$2:$X$496,$D605,'Region 6'!$S$2:$S$496,$A605)</f>
        <v>#DIV/0!</v>
      </c>
      <c r="N605" t="e">
        <f>AVERAGEIFS('Region 6'!$W$2:$W$496,'Region 6'!$A$2:$A$496,N$1,'Region 6'!$X$2:$X$496,$D605,'Region 6'!$S$2:$S$496,$A605)</f>
        <v>#DIV/0!</v>
      </c>
      <c r="Q605" t="str">
        <f t="shared" si="612"/>
        <v>Glass</v>
      </c>
      <c r="R605" t="str">
        <f t="shared" si="613"/>
        <v>High-rise</v>
      </c>
      <c r="S605">
        <f t="shared" si="614"/>
        <v>6</v>
      </c>
      <c r="T605" t="str">
        <f t="shared" si="594"/>
        <v>-</v>
      </c>
      <c r="U605" t="str">
        <f t="shared" si="595"/>
        <v>-</v>
      </c>
      <c r="V605" t="str">
        <f t="shared" si="596"/>
        <v>-</v>
      </c>
      <c r="W605" t="str">
        <f t="shared" si="597"/>
        <v>-</v>
      </c>
      <c r="X605" t="str">
        <f t="shared" si="598"/>
        <v>-</v>
      </c>
      <c r="Y605" t="str">
        <f t="shared" si="599"/>
        <v>-</v>
      </c>
      <c r="Z605" t="str">
        <f t="shared" si="600"/>
        <v>-</v>
      </c>
      <c r="AA605" t="str">
        <f t="shared" si="601"/>
        <v>-</v>
      </c>
      <c r="AB605" t="str">
        <f t="shared" si="602"/>
        <v>-</v>
      </c>
      <c r="AC605" t="str">
        <f t="shared" si="603"/>
        <v>-</v>
      </c>
    </row>
    <row r="606" spans="1:29" x14ac:dyDescent="0.3">
      <c r="A606" t="s">
        <v>437</v>
      </c>
      <c r="B606" t="str">
        <f t="shared" ref="B606:D606" si="632">B502</f>
        <v>High-rise</v>
      </c>
      <c r="C606">
        <f t="shared" si="632"/>
        <v>7</v>
      </c>
      <c r="D606">
        <f t="shared" si="632"/>
        <v>4</v>
      </c>
      <c r="E606" t="e">
        <f ca="1">AVERAGEIFS('Region 7'!$W$2:$W$500,'Region 7'!$A$2:$A$500,E$1,'Region 7'!$X$2:$X$500,$D606,'Region 7'!$S$2:$S$500,$A606)</f>
        <v>#DIV/0!</v>
      </c>
      <c r="F606" t="e">
        <f ca="1">AVERAGEIFS('Region 7'!$W$2:$W$500,'Region 7'!$A$2:$A$500,F$1,'Region 7'!$X$2:$X$500,$D606,'Region 7'!$S$2:$S$500,$A606)</f>
        <v>#DIV/0!</v>
      </c>
      <c r="G606" t="e">
        <f ca="1">AVERAGEIFS('Region 7'!$W$2:$W$500,'Region 7'!$A$2:$A$500,G$1,'Region 7'!$X$2:$X$500,$D606,'Region 7'!$S$2:$S$500,$A606)</f>
        <v>#DIV/0!</v>
      </c>
      <c r="H606" t="e">
        <f ca="1">AVERAGEIFS('Region 7'!$W$2:$W$500,'Region 7'!$A$2:$A$500,H$1,'Region 7'!$X$2:$X$500,$D606,'Region 7'!$S$2:$S$500,$A606)</f>
        <v>#DIV/0!</v>
      </c>
      <c r="I606" t="e">
        <f ca="1">AVERAGEIFS('Region 7'!$W$2:$W$500,'Region 7'!$A$2:$A$500,I$1,'Region 7'!$X$2:$X$500,$D606,'Region 7'!$S$2:$S$500,$A606)</f>
        <v>#DIV/0!</v>
      </c>
      <c r="J606" t="e">
        <f ca="1">AVERAGEIFS('Region 7'!$W$2:$W$500,'Region 7'!$A$2:$A$500,J$1,'Region 7'!$X$2:$X$500,$D606,'Region 7'!$S$2:$S$500,$A606)</f>
        <v>#DIV/0!</v>
      </c>
      <c r="K606" t="e">
        <f ca="1">AVERAGEIFS('Region 7'!$W$2:$W$500,'Region 7'!$A$2:$A$500,K$1,'Region 7'!$X$2:$X$500,$D606,'Region 7'!$S$2:$S$500,$A606)</f>
        <v>#DIV/0!</v>
      </c>
      <c r="L606" t="e">
        <f ca="1">AVERAGEIFS('Region 7'!$W$2:$W$500,'Region 7'!$A$2:$A$500,L$1,'Region 7'!$X$2:$X$500,$D606,'Region 7'!$S$2:$S$500,$A606)</f>
        <v>#DIV/0!</v>
      </c>
      <c r="M606" t="e">
        <f ca="1">AVERAGEIFS('Region 7'!$W$2:$W$500,'Region 7'!$A$2:$A$500,M$1,'Region 7'!$X$2:$X$500,$D606,'Region 7'!$S$2:$S$500,$A606)</f>
        <v>#DIV/0!</v>
      </c>
      <c r="N606" t="e">
        <f ca="1">AVERAGEIFS('Region 7'!$W$2:$W$500,'Region 7'!$A$2:$A$500,N$1,'Region 7'!$X$2:$X$500,$D606,'Region 7'!$S$2:$S$500,$A606)</f>
        <v>#DIV/0!</v>
      </c>
      <c r="Q606" t="str">
        <f t="shared" si="612"/>
        <v>Glass</v>
      </c>
      <c r="R606" t="str">
        <f t="shared" si="613"/>
        <v>High-rise</v>
      </c>
      <c r="S606">
        <f t="shared" si="614"/>
        <v>7</v>
      </c>
      <c r="T606" t="str">
        <f t="shared" ca="1" si="594"/>
        <v>-</v>
      </c>
      <c r="U606" t="str">
        <f t="shared" ca="1" si="595"/>
        <v>-</v>
      </c>
      <c r="V606" t="str">
        <f t="shared" ca="1" si="596"/>
        <v>-</v>
      </c>
      <c r="W606" t="str">
        <f t="shared" ca="1" si="597"/>
        <v>-</v>
      </c>
      <c r="X606" t="str">
        <f t="shared" ca="1" si="598"/>
        <v>-</v>
      </c>
      <c r="Y606" t="str">
        <f t="shared" ca="1" si="599"/>
        <v>-</v>
      </c>
      <c r="Z606" t="str">
        <f t="shared" ca="1" si="600"/>
        <v>-</v>
      </c>
      <c r="AA606" t="str">
        <f t="shared" ca="1" si="601"/>
        <v>-</v>
      </c>
      <c r="AB606" t="str">
        <f t="shared" ca="1" si="602"/>
        <v>-</v>
      </c>
      <c r="AC606" t="str">
        <f t="shared" ca="1" si="603"/>
        <v>-</v>
      </c>
    </row>
    <row r="607" spans="1:29" x14ac:dyDescent="0.3">
      <c r="A607" t="s">
        <v>437</v>
      </c>
      <c r="B607" t="str">
        <f t="shared" ref="B607:D607" si="633">B503</f>
        <v>High-rise</v>
      </c>
      <c r="C607">
        <f t="shared" si="633"/>
        <v>8</v>
      </c>
      <c r="D607">
        <f t="shared" si="633"/>
        <v>4</v>
      </c>
      <c r="E607" t="e">
        <f>AVERAGEIFS('Region 8'!$W$2:$W$497,'Region 8'!$A$2:$A$497,E$1,'Region 8'!$X$2:$X$497,$D607,'Region 8'!$S$2:$S$497,$A607)</f>
        <v>#DIV/0!</v>
      </c>
      <c r="F607" t="e">
        <f>AVERAGEIFS('Region 8'!$W$2:$W$497,'Region 8'!$A$2:$A$497,F$1,'Region 8'!$X$2:$X$497,$D607,'Region 8'!$S$2:$S$497,$A607)</f>
        <v>#DIV/0!</v>
      </c>
      <c r="G607" t="e">
        <f>AVERAGEIFS('Region 8'!$W$2:$W$497,'Region 8'!$A$2:$A$497,G$1,'Region 8'!$X$2:$X$497,$D607,'Region 8'!$S$2:$S$497,$A607)</f>
        <v>#DIV/0!</v>
      </c>
      <c r="H607" t="e">
        <f>AVERAGEIFS('Region 8'!$W$2:$W$497,'Region 8'!$A$2:$A$497,H$1,'Region 8'!$X$2:$X$497,$D607,'Region 8'!$S$2:$S$497,$A607)</f>
        <v>#DIV/0!</v>
      </c>
      <c r="I607" t="e">
        <f>AVERAGEIFS('Region 8'!$W$2:$W$497,'Region 8'!$A$2:$A$497,I$1,'Region 8'!$X$2:$X$497,$D607,'Region 8'!$S$2:$S$497,$A607)</f>
        <v>#DIV/0!</v>
      </c>
      <c r="J607" t="e">
        <f>AVERAGEIFS('Region 8'!$W$2:$W$497,'Region 8'!$A$2:$A$497,J$1,'Region 8'!$X$2:$X$497,$D607,'Region 8'!$S$2:$S$497,$A607)</f>
        <v>#DIV/0!</v>
      </c>
      <c r="K607" t="e">
        <f>AVERAGEIFS('Region 8'!$W$2:$W$497,'Region 8'!$A$2:$A$497,K$1,'Region 8'!$X$2:$X$497,$D607,'Region 8'!$S$2:$S$497,$A607)</f>
        <v>#DIV/0!</v>
      </c>
      <c r="L607" t="e">
        <f>AVERAGEIFS('Region 8'!$W$2:$W$497,'Region 8'!$A$2:$A$497,L$1,'Region 8'!$X$2:$X$497,$D607,'Region 8'!$S$2:$S$497,$A607)</f>
        <v>#DIV/0!</v>
      </c>
      <c r="M607" t="e">
        <f>AVERAGEIFS('Region 8'!$W$2:$W$497,'Region 8'!$A$2:$A$497,M$1,'Region 8'!$X$2:$X$497,$D607,'Region 8'!$S$2:$S$497,$A607)</f>
        <v>#DIV/0!</v>
      </c>
      <c r="N607" t="e">
        <f>AVERAGEIFS('Region 8'!$W$2:$W$497,'Region 8'!$A$2:$A$497,N$1,'Region 8'!$X$2:$X$497,$D607,'Region 8'!$S$2:$S$497,$A607)</f>
        <v>#DIV/0!</v>
      </c>
      <c r="Q607" t="str">
        <f t="shared" si="612"/>
        <v>Glass</v>
      </c>
      <c r="R607" t="str">
        <f t="shared" si="613"/>
        <v>High-rise</v>
      </c>
      <c r="S607">
        <f t="shared" si="614"/>
        <v>8</v>
      </c>
      <c r="T607" t="str">
        <f t="shared" si="594"/>
        <v>-</v>
      </c>
      <c r="U607" t="str">
        <f t="shared" si="595"/>
        <v>-</v>
      </c>
      <c r="V607" t="str">
        <f t="shared" si="596"/>
        <v>-</v>
      </c>
      <c r="W607" t="str">
        <f t="shared" si="597"/>
        <v>-</v>
      </c>
      <c r="X607" t="str">
        <f t="shared" si="598"/>
        <v>-</v>
      </c>
      <c r="Y607" t="str">
        <f t="shared" si="599"/>
        <v>-</v>
      </c>
      <c r="Z607" t="str">
        <f t="shared" si="600"/>
        <v>-</v>
      </c>
      <c r="AA607" t="str">
        <f t="shared" si="601"/>
        <v>-</v>
      </c>
      <c r="AB607" t="str">
        <f t="shared" si="602"/>
        <v>-</v>
      </c>
      <c r="AC607" t="str">
        <f t="shared" si="603"/>
        <v>-</v>
      </c>
    </row>
    <row r="608" spans="1:29" x14ac:dyDescent="0.3">
      <c r="A608" t="s">
        <v>437</v>
      </c>
      <c r="B608" t="str">
        <f t="shared" ref="B608:D608" si="634">B504</f>
        <v>High-rise</v>
      </c>
      <c r="C608">
        <f t="shared" si="634"/>
        <v>9</v>
      </c>
      <c r="D608">
        <f t="shared" si="634"/>
        <v>4</v>
      </c>
      <c r="E608" t="e">
        <f ca="1">AVERAGEIFS('Region 9'!$W$2:$W$500,'Region 9'!$A$2:$A$500,E$1,'Region 9'!$X$2:$X$500,$D608,'Region 9'!$S$2:$S$500,$A608)</f>
        <v>#DIV/0!</v>
      </c>
      <c r="F608" t="e">
        <f ca="1">AVERAGEIFS('Region 9'!$W$2:$W$500,'Region 9'!$A$2:$A$500,F$1,'Region 9'!$X$2:$X$500,$D608,'Region 9'!$S$2:$S$500,$A608)</f>
        <v>#DIV/0!</v>
      </c>
      <c r="G608" t="e">
        <f ca="1">AVERAGEIFS('Region 9'!$W$2:$W$500,'Region 9'!$A$2:$A$500,G$1,'Region 9'!$X$2:$X$500,$D608,'Region 9'!$S$2:$S$500,$A608)</f>
        <v>#DIV/0!</v>
      </c>
      <c r="H608" t="e">
        <f ca="1">AVERAGEIFS('Region 9'!$W$2:$W$500,'Region 9'!$A$2:$A$500,H$1,'Region 9'!$X$2:$X$500,$D608,'Region 9'!$S$2:$S$500,$A608)</f>
        <v>#DIV/0!</v>
      </c>
      <c r="I608" t="e">
        <f ca="1">AVERAGEIFS('Region 9'!$W$2:$W$500,'Region 9'!$A$2:$A$500,I$1,'Region 9'!$X$2:$X$500,$D608,'Region 9'!$S$2:$S$500,$A608)</f>
        <v>#DIV/0!</v>
      </c>
      <c r="J608" t="e">
        <f ca="1">AVERAGEIFS('Region 9'!$W$2:$W$500,'Region 9'!$A$2:$A$500,J$1,'Region 9'!$X$2:$X$500,$D608,'Region 9'!$S$2:$S$500,$A608)</f>
        <v>#DIV/0!</v>
      </c>
      <c r="K608" t="e">
        <f ca="1">AVERAGEIFS('Region 9'!$W$2:$W$500,'Region 9'!$A$2:$A$500,K$1,'Region 9'!$X$2:$X$500,$D608,'Region 9'!$S$2:$S$500,$A608)</f>
        <v>#DIV/0!</v>
      </c>
      <c r="L608" t="e">
        <f ca="1">AVERAGEIFS('Region 9'!$W$2:$W$500,'Region 9'!$A$2:$A$500,L$1,'Region 9'!$X$2:$X$500,$D608,'Region 9'!$S$2:$S$500,$A608)</f>
        <v>#DIV/0!</v>
      </c>
      <c r="M608" t="e">
        <f ca="1">AVERAGEIFS('Region 9'!$W$2:$W$500,'Region 9'!$A$2:$A$500,M$1,'Region 9'!$X$2:$X$500,$D608,'Region 9'!$S$2:$S$500,$A608)</f>
        <v>#DIV/0!</v>
      </c>
      <c r="N608" t="e">
        <f ca="1">AVERAGEIFS('Region 9'!$W$2:$W$500,'Region 9'!$A$2:$A$500,N$1,'Region 9'!$X$2:$X$500,$D608,'Region 9'!$S$2:$S$500,$A608)</f>
        <v>#DIV/0!</v>
      </c>
      <c r="Q608" t="str">
        <f t="shared" si="612"/>
        <v>Glass</v>
      </c>
      <c r="R608" t="str">
        <f t="shared" si="613"/>
        <v>High-rise</v>
      </c>
      <c r="S608">
        <f t="shared" si="614"/>
        <v>9</v>
      </c>
      <c r="T608" t="str">
        <f t="shared" ca="1" si="594"/>
        <v>-</v>
      </c>
      <c r="U608" t="str">
        <f t="shared" ca="1" si="595"/>
        <v>-</v>
      </c>
      <c r="V608" t="str">
        <f t="shared" ca="1" si="596"/>
        <v>-</v>
      </c>
      <c r="W608" t="str">
        <f t="shared" ca="1" si="597"/>
        <v>-</v>
      </c>
      <c r="X608" t="str">
        <f t="shared" ca="1" si="598"/>
        <v>-</v>
      </c>
      <c r="Y608" t="str">
        <f t="shared" ca="1" si="599"/>
        <v>-</v>
      </c>
      <c r="Z608" t="str">
        <f t="shared" ca="1" si="600"/>
        <v>-</v>
      </c>
      <c r="AA608" t="str">
        <f t="shared" ca="1" si="601"/>
        <v>-</v>
      </c>
      <c r="AB608" t="str">
        <f t="shared" ca="1" si="602"/>
        <v>-</v>
      </c>
      <c r="AC608" t="str">
        <f t="shared" ca="1" si="603"/>
        <v>-</v>
      </c>
    </row>
    <row r="609" spans="1:29" x14ac:dyDescent="0.3">
      <c r="A609" t="s">
        <v>437</v>
      </c>
      <c r="B609" t="str">
        <f t="shared" ref="B609:D609" si="635">B505</f>
        <v>High-rise</v>
      </c>
      <c r="C609">
        <f t="shared" si="635"/>
        <v>10</v>
      </c>
      <c r="D609">
        <f t="shared" si="635"/>
        <v>4</v>
      </c>
      <c r="E609" t="e">
        <f>AVERAGEIFS('Region 10'!$W$2:$W$500,'Region 10'!$A$2:$A$500,E$1,'Region 10'!$X$2:$X$500,$D609,'Region 10'!$S$2:$S$500,$A609)</f>
        <v>#DIV/0!</v>
      </c>
      <c r="F609" t="e">
        <f>AVERAGEIFS('Region 10'!$W$2:$W$500,'Region 10'!$A$2:$A$500,F$1,'Region 10'!$X$2:$X$500,$D609,'Region 10'!$S$2:$S$500,$A609)</f>
        <v>#DIV/0!</v>
      </c>
      <c r="G609" t="e">
        <f>AVERAGEIFS('Region 10'!$W$2:$W$500,'Region 10'!$A$2:$A$500,G$1,'Region 10'!$X$2:$X$500,$D609,'Region 10'!$S$2:$S$500,$A609)</f>
        <v>#DIV/0!</v>
      </c>
      <c r="H609" t="e">
        <f>AVERAGEIFS('Region 10'!$W$2:$W$500,'Region 10'!$A$2:$A$500,H$1,'Region 10'!$X$2:$X$500,$D609,'Region 10'!$S$2:$S$500,$A609)</f>
        <v>#DIV/0!</v>
      </c>
      <c r="I609" t="e">
        <f>AVERAGEIFS('Region 10'!$W$2:$W$500,'Region 10'!$A$2:$A$500,I$1,'Region 10'!$X$2:$X$500,$D609,'Region 10'!$S$2:$S$500,$A609)</f>
        <v>#DIV/0!</v>
      </c>
      <c r="J609" t="e">
        <f>AVERAGEIFS('Region 10'!$W$2:$W$500,'Region 10'!$A$2:$A$500,J$1,'Region 10'!$X$2:$X$500,$D609,'Region 10'!$S$2:$S$500,$A609)</f>
        <v>#DIV/0!</v>
      </c>
      <c r="K609" t="e">
        <f>AVERAGEIFS('Region 10'!$W$2:$W$500,'Region 10'!$A$2:$A$500,K$1,'Region 10'!$X$2:$X$500,$D609,'Region 10'!$S$2:$S$500,$A609)</f>
        <v>#DIV/0!</v>
      </c>
      <c r="L609" t="e">
        <f>AVERAGEIFS('Region 10'!$W$2:$W$500,'Region 10'!$A$2:$A$500,L$1,'Region 10'!$X$2:$X$500,$D609,'Region 10'!$S$2:$S$500,$A609)</f>
        <v>#DIV/0!</v>
      </c>
      <c r="M609" t="e">
        <f>AVERAGEIFS('Region 10'!$W$2:$W$500,'Region 10'!$A$2:$A$500,M$1,'Region 10'!$X$2:$X$500,$D609,'Region 10'!$S$2:$S$500,$A609)</f>
        <v>#DIV/0!</v>
      </c>
      <c r="N609" t="e">
        <f>AVERAGEIFS('Region 10'!$W$2:$W$500,'Region 10'!$A$2:$A$500,N$1,'Region 10'!$X$2:$X$500,$D609,'Region 10'!$S$2:$S$500,$A609)</f>
        <v>#DIV/0!</v>
      </c>
      <c r="Q609" t="str">
        <f t="shared" si="612"/>
        <v>Glass</v>
      </c>
      <c r="R609" t="str">
        <f t="shared" si="613"/>
        <v>High-rise</v>
      </c>
      <c r="S609">
        <f t="shared" si="614"/>
        <v>10</v>
      </c>
      <c r="T609" t="str">
        <f t="shared" si="594"/>
        <v>-</v>
      </c>
      <c r="U609" t="str">
        <f t="shared" si="595"/>
        <v>-</v>
      </c>
      <c r="V609" t="str">
        <f t="shared" si="596"/>
        <v>-</v>
      </c>
      <c r="W609" t="str">
        <f t="shared" si="597"/>
        <v>-</v>
      </c>
      <c r="X609" t="str">
        <f t="shared" si="598"/>
        <v>-</v>
      </c>
      <c r="Y609" t="str">
        <f t="shared" si="599"/>
        <v>-</v>
      </c>
      <c r="Z609" t="str">
        <f t="shared" si="600"/>
        <v>-</v>
      </c>
      <c r="AA609" t="str">
        <f t="shared" si="601"/>
        <v>-</v>
      </c>
      <c r="AB609" t="str">
        <f t="shared" si="602"/>
        <v>-</v>
      </c>
      <c r="AC609" t="str">
        <f t="shared" si="603"/>
        <v>-</v>
      </c>
    </row>
    <row r="610" spans="1:29" x14ac:dyDescent="0.3">
      <c r="A610" t="s">
        <v>437</v>
      </c>
      <c r="B610" t="str">
        <f t="shared" ref="B610:D610" si="636">B506</f>
        <v>High-rise</v>
      </c>
      <c r="C610">
        <f t="shared" si="636"/>
        <v>11</v>
      </c>
      <c r="D610">
        <f t="shared" si="636"/>
        <v>4</v>
      </c>
      <c r="E610" t="e">
        <f>AVERAGEIFS('Region 11'!$W$2:$W$391,'Region 11'!$A$2:$A$391,E$1,'Region 11'!$X$2:$X$391,$D610,'Region 11'!$S$2:$S$391,$A610)</f>
        <v>#DIV/0!</v>
      </c>
      <c r="F610" t="e">
        <f>AVERAGEIFS('Region 11'!$W$2:$W$391,'Region 11'!$A$2:$A$391,F$1,'Region 11'!$X$2:$X$391,$D610,'Region 11'!$S$2:$S$391,$A610)</f>
        <v>#DIV/0!</v>
      </c>
      <c r="G610" t="e">
        <f>AVERAGEIFS('Region 11'!$W$2:$W$391,'Region 11'!$A$2:$A$391,G$1,'Region 11'!$X$2:$X$391,$D610,'Region 11'!$S$2:$S$391,$A610)</f>
        <v>#DIV/0!</v>
      </c>
      <c r="H610" t="e">
        <f>AVERAGEIFS('Region 11'!$W$2:$W$391,'Region 11'!$A$2:$A$391,H$1,'Region 11'!$X$2:$X$391,$D610,'Region 11'!$S$2:$S$391,$A610)</f>
        <v>#DIV/0!</v>
      </c>
      <c r="I610" t="e">
        <f>AVERAGEIFS('Region 11'!$W$2:$W$391,'Region 11'!$A$2:$A$391,I$1,'Region 11'!$X$2:$X$391,$D610,'Region 11'!$S$2:$S$391,$A610)</f>
        <v>#DIV/0!</v>
      </c>
      <c r="J610" t="e">
        <f>AVERAGEIFS('Region 11'!$W$2:$W$391,'Region 11'!$A$2:$A$391,J$1,'Region 11'!$X$2:$X$391,$D610,'Region 11'!$S$2:$S$391,$A610)</f>
        <v>#DIV/0!</v>
      </c>
      <c r="K610">
        <f>AVERAGEIFS('Region 11'!$W$2:$W$391,'Region 11'!$A$2:$A$391,K$1,'Region 11'!$X$2:$X$391,$D610,'Region 11'!$S$2:$S$391,$A610)</f>
        <v>3.5555555555555554</v>
      </c>
      <c r="L610">
        <f>AVERAGEIFS('Region 11'!$W$2:$W$391,'Region 11'!$A$2:$A$391,L$1,'Region 11'!$X$2:$X$391,$D610,'Region 11'!$S$2:$S$391,$A610)</f>
        <v>8.3333333333333339</v>
      </c>
      <c r="M610" t="e">
        <f>AVERAGEIFS('Region 11'!$W$2:$W$391,'Region 11'!$A$2:$A$391,M$1,'Region 11'!$X$2:$X$391,$D610,'Region 11'!$S$2:$S$391,$A610)</f>
        <v>#DIV/0!</v>
      </c>
      <c r="N610" t="e">
        <f>AVERAGEIFS('Region 11'!$W$2:$W$391,'Region 11'!$A$2:$A$391,N$1,'Region 11'!$X$2:$X$391,$D610,'Region 11'!$S$2:$S$391,$A610)</f>
        <v>#DIV/0!</v>
      </c>
      <c r="Q610" t="str">
        <f t="shared" si="612"/>
        <v>Glass</v>
      </c>
      <c r="R610" t="str">
        <f t="shared" si="613"/>
        <v>High-rise</v>
      </c>
      <c r="S610">
        <f t="shared" si="614"/>
        <v>11</v>
      </c>
      <c r="T610" t="str">
        <f t="shared" si="594"/>
        <v>-</v>
      </c>
      <c r="U610" t="str">
        <f t="shared" si="595"/>
        <v>-</v>
      </c>
      <c r="V610" t="str">
        <f t="shared" si="596"/>
        <v>-</v>
      </c>
      <c r="W610" t="str">
        <f t="shared" si="597"/>
        <v>-</v>
      </c>
      <c r="X610" t="str">
        <f t="shared" si="598"/>
        <v>-</v>
      </c>
      <c r="Y610" t="str">
        <f t="shared" si="599"/>
        <v>-</v>
      </c>
      <c r="Z610">
        <f t="shared" si="600"/>
        <v>3.5555555555555554</v>
      </c>
      <c r="AA610">
        <f t="shared" si="601"/>
        <v>8.3333333333333339</v>
      </c>
      <c r="AB610" t="str">
        <f t="shared" si="602"/>
        <v>-</v>
      </c>
      <c r="AC610" t="str">
        <f t="shared" si="603"/>
        <v>-</v>
      </c>
    </row>
    <row r="611" spans="1:29" x14ac:dyDescent="0.3">
      <c r="A611" t="s">
        <v>437</v>
      </c>
      <c r="B611" t="str">
        <f t="shared" ref="B611:D611" si="637">B507</f>
        <v>High-rise</v>
      </c>
      <c r="C611">
        <f t="shared" si="637"/>
        <v>12</v>
      </c>
      <c r="D611">
        <f t="shared" si="637"/>
        <v>4</v>
      </c>
      <c r="E611" t="e">
        <f>AVERAGEIFS('Region 12'!$W$2:$W$459,'Region 12'!$A$2:$A$459,E$1,'Region 12'!$X$2:$X$459,$D611,'Region 12'!$S$2:$S$459,$A611)</f>
        <v>#DIV/0!</v>
      </c>
      <c r="F611" t="e">
        <f>AVERAGEIFS('Region 12'!$W$2:$W$459,'Region 12'!$A$2:$A$459,F$1,'Region 12'!$X$2:$X$459,$D611,'Region 12'!$S$2:$S$459,$A611)</f>
        <v>#DIV/0!</v>
      </c>
      <c r="G611" t="e">
        <f>AVERAGEIFS('Region 12'!$W$2:$W$459,'Region 12'!$A$2:$A$459,G$1,'Region 12'!$X$2:$X$459,$D611,'Region 12'!$S$2:$S$459,$A611)</f>
        <v>#DIV/0!</v>
      </c>
      <c r="H611" t="e">
        <f>AVERAGEIFS('Region 12'!$W$2:$W$459,'Region 12'!$A$2:$A$459,H$1,'Region 12'!$X$2:$X$459,$D611,'Region 12'!$S$2:$S$459,$A611)</f>
        <v>#DIV/0!</v>
      </c>
      <c r="I611" t="e">
        <f>AVERAGEIFS('Region 12'!$W$2:$W$459,'Region 12'!$A$2:$A$459,I$1,'Region 12'!$X$2:$X$459,$D611,'Region 12'!$S$2:$S$459,$A611)</f>
        <v>#DIV/0!</v>
      </c>
      <c r="J611" t="e">
        <f>AVERAGEIFS('Region 12'!$W$2:$W$459,'Region 12'!$A$2:$A$459,J$1,'Region 12'!$X$2:$X$459,$D611,'Region 12'!$S$2:$S$459,$A611)</f>
        <v>#DIV/0!</v>
      </c>
      <c r="K611" t="e">
        <f>AVERAGEIFS('Region 12'!$W$2:$W$459,'Region 12'!$A$2:$A$459,K$1,'Region 12'!$X$2:$X$459,$D611,'Region 12'!$S$2:$S$459,$A611)</f>
        <v>#DIV/0!</v>
      </c>
      <c r="L611" t="e">
        <f>AVERAGEIFS('Region 12'!$W$2:$W$459,'Region 12'!$A$2:$A$459,L$1,'Region 12'!$X$2:$X$459,$D611,'Region 12'!$S$2:$S$459,$A611)</f>
        <v>#DIV/0!</v>
      </c>
      <c r="M611" t="e">
        <f>AVERAGEIFS('Region 12'!$W$2:$W$459,'Region 12'!$A$2:$A$459,M$1,'Region 12'!$X$2:$X$459,$D611,'Region 12'!$S$2:$S$459,$A611)</f>
        <v>#DIV/0!</v>
      </c>
      <c r="N611" t="e">
        <f>AVERAGEIFS('Region 12'!$W$2:$W$459,'Region 12'!$A$2:$A$459,N$1,'Region 12'!$X$2:$X$459,$D611,'Region 12'!$S$2:$S$459,$A611)</f>
        <v>#DIV/0!</v>
      </c>
      <c r="Q611" t="str">
        <f t="shared" si="612"/>
        <v>Glass</v>
      </c>
      <c r="R611" t="str">
        <f t="shared" si="613"/>
        <v>High-rise</v>
      </c>
      <c r="S611">
        <f t="shared" si="614"/>
        <v>12</v>
      </c>
      <c r="T611" t="str">
        <f t="shared" si="594"/>
        <v>-</v>
      </c>
      <c r="U611" t="str">
        <f t="shared" si="595"/>
        <v>-</v>
      </c>
      <c r="V611" t="str">
        <f t="shared" si="596"/>
        <v>-</v>
      </c>
      <c r="W611" t="str">
        <f t="shared" si="597"/>
        <v>-</v>
      </c>
      <c r="X611" t="str">
        <f t="shared" si="598"/>
        <v>-</v>
      </c>
      <c r="Y611" t="str">
        <f t="shared" si="599"/>
        <v>-</v>
      </c>
      <c r="Z611" t="str">
        <f t="shared" si="600"/>
        <v>-</v>
      </c>
      <c r="AA611" t="str">
        <f t="shared" si="601"/>
        <v>-</v>
      </c>
      <c r="AB611" t="str">
        <f t="shared" si="602"/>
        <v>-</v>
      </c>
      <c r="AC611" t="str">
        <f t="shared" si="603"/>
        <v>-</v>
      </c>
    </row>
    <row r="612" spans="1:29" x14ac:dyDescent="0.3">
      <c r="A612" t="s">
        <v>437</v>
      </c>
      <c r="B612" t="str">
        <f t="shared" ref="B612:D612" si="638">B508</f>
        <v>High-rise</v>
      </c>
      <c r="C612">
        <f t="shared" si="638"/>
        <v>13</v>
      </c>
      <c r="D612">
        <f t="shared" si="638"/>
        <v>4</v>
      </c>
      <c r="E612" t="e">
        <f>AVERAGEIFS('Region 13'!$W$2:$W$500,'Region 13'!$A$2:$A$500,E$1,'Region 13'!$X$2:$X$500,$D612,'Region 13'!$S$2:$S$500,$A612)</f>
        <v>#DIV/0!</v>
      </c>
      <c r="F612" t="e">
        <f>AVERAGEIFS('Region 13'!$W$2:$W$500,'Region 13'!$A$2:$A$500,F$1,'Region 13'!$X$2:$X$500,$D612,'Region 13'!$S$2:$S$500,$A612)</f>
        <v>#DIV/0!</v>
      </c>
      <c r="G612" t="e">
        <f>AVERAGEIFS('Region 13'!$W$2:$W$500,'Region 13'!$A$2:$A$500,G$1,'Region 13'!$X$2:$X$500,$D612,'Region 13'!$S$2:$S$500,$A612)</f>
        <v>#DIV/0!</v>
      </c>
      <c r="H612" t="e">
        <f>AVERAGEIFS('Region 13'!$W$2:$W$500,'Region 13'!$A$2:$A$500,H$1,'Region 13'!$X$2:$X$500,$D612,'Region 13'!$S$2:$S$500,$A612)</f>
        <v>#DIV/0!</v>
      </c>
      <c r="I612" t="e">
        <f>AVERAGEIFS('Region 13'!$W$2:$W$500,'Region 13'!$A$2:$A$500,I$1,'Region 13'!$X$2:$X$500,$D612,'Region 13'!$S$2:$S$500,$A612)</f>
        <v>#DIV/0!</v>
      </c>
      <c r="J612" t="e">
        <f>AVERAGEIFS('Region 13'!$W$2:$W$500,'Region 13'!$A$2:$A$500,J$1,'Region 13'!$X$2:$X$500,$D612,'Region 13'!$S$2:$S$500,$A612)</f>
        <v>#DIV/0!</v>
      </c>
      <c r="K612" t="e">
        <f>AVERAGEIFS('Region 13'!$W$2:$W$500,'Region 13'!$A$2:$A$500,K$1,'Region 13'!$X$2:$X$500,$D612,'Region 13'!$S$2:$S$500,$A612)</f>
        <v>#DIV/0!</v>
      </c>
      <c r="L612" t="e">
        <f>AVERAGEIFS('Region 13'!$W$2:$W$500,'Region 13'!$A$2:$A$500,L$1,'Region 13'!$X$2:$X$500,$D612,'Region 13'!$S$2:$S$500,$A612)</f>
        <v>#DIV/0!</v>
      </c>
      <c r="M612" t="e">
        <f>AVERAGEIFS('Region 13'!$W$2:$W$500,'Region 13'!$A$2:$A$500,M$1,'Region 13'!$X$2:$X$500,$D612,'Region 13'!$S$2:$S$500,$A612)</f>
        <v>#DIV/0!</v>
      </c>
      <c r="N612" t="e">
        <f>AVERAGEIFS('Region 13'!$W$2:$W$500,'Region 13'!$A$2:$A$500,N$1,'Region 13'!$X$2:$X$500,$D612,'Region 13'!$S$2:$S$500,$A612)</f>
        <v>#DIV/0!</v>
      </c>
      <c r="Q612" t="str">
        <f t="shared" si="612"/>
        <v>Glass</v>
      </c>
      <c r="R612" t="str">
        <f t="shared" si="613"/>
        <v>High-rise</v>
      </c>
      <c r="S612">
        <f t="shared" si="614"/>
        <v>13</v>
      </c>
      <c r="T612" t="str">
        <f t="shared" si="594"/>
        <v>-</v>
      </c>
      <c r="U612" t="str">
        <f t="shared" si="595"/>
        <v>-</v>
      </c>
      <c r="V612" t="str">
        <f t="shared" si="596"/>
        <v>-</v>
      </c>
      <c r="W612" t="str">
        <f t="shared" si="597"/>
        <v>-</v>
      </c>
      <c r="X612" t="str">
        <f t="shared" si="598"/>
        <v>-</v>
      </c>
      <c r="Y612" t="str">
        <f t="shared" si="599"/>
        <v>-</v>
      </c>
      <c r="Z612" t="str">
        <f t="shared" si="600"/>
        <v>-</v>
      </c>
      <c r="AA612" t="str">
        <f t="shared" si="601"/>
        <v>-</v>
      </c>
      <c r="AB612" t="str">
        <f t="shared" si="602"/>
        <v>-</v>
      </c>
      <c r="AC612" t="str">
        <f t="shared" si="603"/>
        <v>-</v>
      </c>
    </row>
    <row r="613" spans="1:29" x14ac:dyDescent="0.3">
      <c r="A613" t="s">
        <v>437</v>
      </c>
      <c r="B613" t="str">
        <f t="shared" ref="B613:D613" si="639">B509</f>
        <v>High-rise</v>
      </c>
      <c r="C613">
        <f t="shared" si="639"/>
        <v>14</v>
      </c>
      <c r="D613">
        <f t="shared" si="639"/>
        <v>4</v>
      </c>
      <c r="E613" t="e">
        <f ca="1">AVERAGEIFS('Region 14'!$W$2:$W$500,'Region 14'!$A$2:$A$500,E$1,'Region 14'!$X$2:$X$500,$D613,'Region 14'!$S$2:$S$500,$A613)</f>
        <v>#DIV/0!</v>
      </c>
      <c r="F613" t="e">
        <f ca="1">AVERAGEIFS('Region 14'!$W$2:$W$500,'Region 14'!$A$2:$A$500,F$1,'Region 14'!$X$2:$X$500,$D613,'Region 14'!$S$2:$S$500,$A613)</f>
        <v>#DIV/0!</v>
      </c>
      <c r="G613" t="e">
        <f ca="1">AVERAGEIFS('Region 14'!$W$2:$W$500,'Region 14'!$A$2:$A$500,G$1,'Region 14'!$X$2:$X$500,$D613,'Region 14'!$S$2:$S$500,$A613)</f>
        <v>#DIV/0!</v>
      </c>
      <c r="H613" t="e">
        <f ca="1">AVERAGEIFS('Region 14'!$W$2:$W$500,'Region 14'!$A$2:$A$500,H$1,'Region 14'!$X$2:$X$500,$D613,'Region 14'!$S$2:$S$500,$A613)</f>
        <v>#DIV/0!</v>
      </c>
      <c r="I613" t="e">
        <f ca="1">AVERAGEIFS('Region 14'!$W$2:$W$500,'Region 14'!$A$2:$A$500,I$1,'Region 14'!$X$2:$X$500,$D613,'Region 14'!$S$2:$S$500,$A613)</f>
        <v>#DIV/0!</v>
      </c>
      <c r="J613" t="e">
        <f ca="1">AVERAGEIFS('Region 14'!$W$2:$W$500,'Region 14'!$A$2:$A$500,J$1,'Region 14'!$X$2:$X$500,$D613,'Region 14'!$S$2:$S$500,$A613)</f>
        <v>#DIV/0!</v>
      </c>
      <c r="K613" t="e">
        <f ca="1">AVERAGEIFS('Region 14'!$W$2:$W$500,'Region 14'!$A$2:$A$500,K$1,'Region 14'!$X$2:$X$500,$D613,'Region 14'!$S$2:$S$500,$A613)</f>
        <v>#DIV/0!</v>
      </c>
      <c r="L613" t="e">
        <f ca="1">AVERAGEIFS('Region 14'!$W$2:$W$500,'Region 14'!$A$2:$A$500,L$1,'Region 14'!$X$2:$X$500,$D613,'Region 14'!$S$2:$S$500,$A613)</f>
        <v>#DIV/0!</v>
      </c>
      <c r="M613" t="e">
        <f ca="1">AVERAGEIFS('Region 14'!$W$2:$W$500,'Region 14'!$A$2:$A$500,M$1,'Region 14'!$X$2:$X$500,$D613,'Region 14'!$S$2:$S$500,$A613)</f>
        <v>#DIV/0!</v>
      </c>
      <c r="N613" t="e">
        <f ca="1">AVERAGEIFS('Region 14'!$W$2:$W$500,'Region 14'!$A$2:$A$500,N$1,'Region 14'!$X$2:$X$500,$D613,'Region 14'!$S$2:$S$500,$A613)</f>
        <v>#DIV/0!</v>
      </c>
      <c r="Q613" t="str">
        <f t="shared" si="612"/>
        <v>Glass</v>
      </c>
      <c r="R613" t="str">
        <f t="shared" si="613"/>
        <v>High-rise</v>
      </c>
      <c r="S613">
        <f t="shared" si="614"/>
        <v>14</v>
      </c>
      <c r="T613" t="str">
        <f t="shared" ca="1" si="594"/>
        <v>-</v>
      </c>
      <c r="U613" t="str">
        <f t="shared" ca="1" si="595"/>
        <v>-</v>
      </c>
      <c r="V613" t="str">
        <f t="shared" ca="1" si="596"/>
        <v>-</v>
      </c>
      <c r="W613" t="str">
        <f t="shared" ca="1" si="597"/>
        <v>-</v>
      </c>
      <c r="X613" t="str">
        <f t="shared" ca="1" si="598"/>
        <v>-</v>
      </c>
      <c r="Y613" t="str">
        <f t="shared" ca="1" si="599"/>
        <v>-</v>
      </c>
      <c r="Z613" t="str">
        <f t="shared" ca="1" si="600"/>
        <v>-</v>
      </c>
      <c r="AA613" t="str">
        <f t="shared" ca="1" si="601"/>
        <v>-</v>
      </c>
      <c r="AB613" t="str">
        <f t="shared" ca="1" si="602"/>
        <v>-</v>
      </c>
      <c r="AC613" t="str">
        <f t="shared" ca="1" si="603"/>
        <v>-</v>
      </c>
    </row>
    <row r="614" spans="1:29" x14ac:dyDescent="0.3">
      <c r="A614" t="s">
        <v>437</v>
      </c>
      <c r="B614" t="str">
        <f t="shared" ref="B614:D614" si="640">B510</f>
        <v>High-rise</v>
      </c>
      <c r="C614">
        <f t="shared" si="640"/>
        <v>15</v>
      </c>
      <c r="D614">
        <f t="shared" si="640"/>
        <v>4</v>
      </c>
      <c r="E614" t="e">
        <f ca="1">AVERAGEIFS('Region 15'!$W$2:$W$500,'Region 15'!$A$2:$A$500,E$1,'Region 15'!$X$2:$X$500,$D614,'Region 15'!$S$2:$S$500,$A614)</f>
        <v>#DIV/0!</v>
      </c>
      <c r="F614" t="e">
        <f ca="1">AVERAGEIFS('Region 15'!$W$2:$W$500,'Region 15'!$A$2:$A$500,F$1,'Region 15'!$X$2:$X$500,$D614,'Region 15'!$S$2:$S$500,$A614)</f>
        <v>#DIV/0!</v>
      </c>
      <c r="G614" t="e">
        <f ca="1">AVERAGEIFS('Region 15'!$W$2:$W$500,'Region 15'!$A$2:$A$500,G$1,'Region 15'!$X$2:$X$500,$D614,'Region 15'!$S$2:$S$500,$A614)</f>
        <v>#DIV/0!</v>
      </c>
      <c r="H614" t="e">
        <f ca="1">AVERAGEIFS('Region 15'!$W$2:$W$500,'Region 15'!$A$2:$A$500,H$1,'Region 15'!$X$2:$X$500,$D614,'Region 15'!$S$2:$S$500,$A614)</f>
        <v>#DIV/0!</v>
      </c>
      <c r="I614" t="e">
        <f ca="1">AVERAGEIFS('Region 15'!$W$2:$W$500,'Region 15'!$A$2:$A$500,I$1,'Region 15'!$X$2:$X$500,$D614,'Region 15'!$S$2:$S$500,$A614)</f>
        <v>#DIV/0!</v>
      </c>
      <c r="J614" t="e">
        <f ca="1">AVERAGEIFS('Region 15'!$W$2:$W$500,'Region 15'!$A$2:$A$500,J$1,'Region 15'!$X$2:$X$500,$D614,'Region 15'!$S$2:$S$500,$A614)</f>
        <v>#DIV/0!</v>
      </c>
      <c r="K614" t="e">
        <f ca="1">AVERAGEIFS('Region 15'!$W$2:$W$500,'Region 15'!$A$2:$A$500,K$1,'Region 15'!$X$2:$X$500,$D614,'Region 15'!$S$2:$S$500,$A614)</f>
        <v>#DIV/0!</v>
      </c>
      <c r="L614" t="e">
        <f ca="1">AVERAGEIFS('Region 15'!$W$2:$W$500,'Region 15'!$A$2:$A$500,L$1,'Region 15'!$X$2:$X$500,$D614,'Region 15'!$S$2:$S$500,$A614)</f>
        <v>#DIV/0!</v>
      </c>
      <c r="M614" t="e">
        <f ca="1">AVERAGEIFS('Region 15'!$W$2:$W$500,'Region 15'!$A$2:$A$500,M$1,'Region 15'!$X$2:$X$500,$D614,'Region 15'!$S$2:$S$500,$A614)</f>
        <v>#DIV/0!</v>
      </c>
      <c r="N614" t="e">
        <f ca="1">AVERAGEIFS('Region 15'!$W$2:$W$500,'Region 15'!$A$2:$A$500,N$1,'Region 15'!$X$2:$X$500,$D614,'Region 15'!$S$2:$S$500,$A614)</f>
        <v>#DIV/0!</v>
      </c>
      <c r="Q614" t="str">
        <f t="shared" si="612"/>
        <v>Glass</v>
      </c>
      <c r="R614" t="str">
        <f t="shared" si="613"/>
        <v>High-rise</v>
      </c>
      <c r="S614">
        <f t="shared" si="614"/>
        <v>15</v>
      </c>
      <c r="T614" t="str">
        <f t="shared" ca="1" si="594"/>
        <v>-</v>
      </c>
      <c r="U614" t="str">
        <f t="shared" ca="1" si="595"/>
        <v>-</v>
      </c>
      <c r="V614" t="str">
        <f t="shared" ca="1" si="596"/>
        <v>-</v>
      </c>
      <c r="W614" t="str">
        <f t="shared" ca="1" si="597"/>
        <v>-</v>
      </c>
      <c r="X614" t="str">
        <f t="shared" ca="1" si="598"/>
        <v>-</v>
      </c>
      <c r="Y614" t="str">
        <f t="shared" ca="1" si="599"/>
        <v>-</v>
      </c>
      <c r="Z614" t="str">
        <f t="shared" ca="1" si="600"/>
        <v>-</v>
      </c>
      <c r="AA614" t="str">
        <f t="shared" ca="1" si="601"/>
        <v>-</v>
      </c>
      <c r="AB614" t="str">
        <f t="shared" ca="1" si="602"/>
        <v>-</v>
      </c>
      <c r="AC614" t="str">
        <f t="shared" ca="1" si="603"/>
        <v>-</v>
      </c>
    </row>
    <row r="615" spans="1:29" x14ac:dyDescent="0.3">
      <c r="A615" t="s">
        <v>437</v>
      </c>
      <c r="B615" t="str">
        <f t="shared" ref="B615:D615" si="641">B511</f>
        <v>High-rise</v>
      </c>
      <c r="C615">
        <f t="shared" si="641"/>
        <v>16</v>
      </c>
      <c r="D615">
        <f t="shared" si="641"/>
        <v>4</v>
      </c>
      <c r="E615" t="e">
        <f ca="1">AVERAGEIFS('Region 16'!$W$2:$W$500,'Region 16'!$A$2:$A$500,E$1,'Region 16'!$X$2:$X$500,$D615,'Region 16'!$S$2:$S$500,$A615)</f>
        <v>#DIV/0!</v>
      </c>
      <c r="F615" t="e">
        <f ca="1">AVERAGEIFS('Region 16'!$W$2:$W$500,'Region 16'!$A$2:$A$500,F$1,'Region 16'!$X$2:$X$500,$D615,'Region 16'!$S$2:$S$500,$A615)</f>
        <v>#DIV/0!</v>
      </c>
      <c r="G615" t="e">
        <f ca="1">AVERAGEIFS('Region 16'!$W$2:$W$500,'Region 16'!$A$2:$A$500,G$1,'Region 16'!$X$2:$X$500,$D615,'Region 16'!$S$2:$S$500,$A615)</f>
        <v>#DIV/0!</v>
      </c>
      <c r="H615" t="e">
        <f ca="1">AVERAGEIFS('Region 16'!$W$2:$W$500,'Region 16'!$A$2:$A$500,H$1,'Region 16'!$X$2:$X$500,$D615,'Region 16'!$S$2:$S$500,$A615)</f>
        <v>#DIV/0!</v>
      </c>
      <c r="I615" t="e">
        <f ca="1">AVERAGEIFS('Region 16'!$W$2:$W$500,'Region 16'!$A$2:$A$500,I$1,'Region 16'!$X$2:$X$500,$D615,'Region 16'!$S$2:$S$500,$A615)</f>
        <v>#DIV/0!</v>
      </c>
      <c r="J615" t="e">
        <f ca="1">AVERAGEIFS('Region 16'!$W$2:$W$500,'Region 16'!$A$2:$A$500,J$1,'Region 16'!$X$2:$X$500,$D615,'Region 16'!$S$2:$S$500,$A615)</f>
        <v>#DIV/0!</v>
      </c>
      <c r="K615" t="e">
        <f ca="1">AVERAGEIFS('Region 16'!$W$2:$W$500,'Region 16'!$A$2:$A$500,K$1,'Region 16'!$X$2:$X$500,$D615,'Region 16'!$S$2:$S$500,$A615)</f>
        <v>#DIV/0!</v>
      </c>
      <c r="L615" t="e">
        <f ca="1">AVERAGEIFS('Region 16'!$W$2:$W$500,'Region 16'!$A$2:$A$500,L$1,'Region 16'!$X$2:$X$500,$D615,'Region 16'!$S$2:$S$500,$A615)</f>
        <v>#DIV/0!</v>
      </c>
      <c r="M615" t="e">
        <f ca="1">AVERAGEIFS('Region 16'!$W$2:$W$500,'Region 16'!$A$2:$A$500,M$1,'Region 16'!$X$2:$X$500,$D615,'Region 16'!$S$2:$S$500,$A615)</f>
        <v>#DIV/0!</v>
      </c>
      <c r="N615" t="e">
        <f ca="1">AVERAGEIFS('Region 16'!$W$2:$W$500,'Region 16'!$A$2:$A$500,N$1,'Region 16'!$X$2:$X$500,$D615,'Region 16'!$S$2:$S$500,$A615)</f>
        <v>#DIV/0!</v>
      </c>
      <c r="Q615" t="str">
        <f t="shared" si="612"/>
        <v>Glass</v>
      </c>
      <c r="R615" t="str">
        <f t="shared" si="613"/>
        <v>High-rise</v>
      </c>
      <c r="S615">
        <f t="shared" si="614"/>
        <v>16</v>
      </c>
      <c r="T615" t="str">
        <f t="shared" ca="1" si="594"/>
        <v>-</v>
      </c>
      <c r="U615" t="str">
        <f t="shared" ca="1" si="595"/>
        <v>-</v>
      </c>
      <c r="V615" t="str">
        <f t="shared" ca="1" si="596"/>
        <v>-</v>
      </c>
      <c r="W615" t="str">
        <f t="shared" ca="1" si="597"/>
        <v>-</v>
      </c>
      <c r="X615" t="str">
        <f t="shared" ca="1" si="598"/>
        <v>-</v>
      </c>
      <c r="Y615" t="str">
        <f t="shared" ca="1" si="599"/>
        <v>-</v>
      </c>
      <c r="Z615" t="str">
        <f t="shared" ca="1" si="600"/>
        <v>-</v>
      </c>
      <c r="AA615" t="str">
        <f t="shared" ca="1" si="601"/>
        <v>-</v>
      </c>
      <c r="AB615" t="str">
        <f t="shared" ca="1" si="602"/>
        <v>-</v>
      </c>
      <c r="AC615" t="str">
        <f t="shared" ca="1" si="603"/>
        <v>-</v>
      </c>
    </row>
    <row r="616" spans="1:29" x14ac:dyDescent="0.3">
      <c r="A616" t="s">
        <v>437</v>
      </c>
      <c r="B616" t="str">
        <f t="shared" ref="B616:D616" si="642">B512</f>
        <v>High-rise</v>
      </c>
      <c r="C616">
        <f t="shared" si="642"/>
        <v>17</v>
      </c>
      <c r="D616">
        <f t="shared" si="642"/>
        <v>4</v>
      </c>
      <c r="E616" t="e">
        <f>AVERAGEIFS('Region 17'!$W$2:$W$498,'Region 17'!$A$2:$A$498,E$1,'Region 17'!$X$2:$X$498,$D616,'Region 17'!$S$2:$S$498,$A616)</f>
        <v>#DIV/0!</v>
      </c>
      <c r="F616" t="e">
        <f>AVERAGEIFS('Region 17'!$W$2:$W$498,'Region 17'!$A$2:$A$498,F$1,'Region 17'!$X$2:$X$498,$D616,'Region 17'!$S$2:$S$498,$A616)</f>
        <v>#DIV/0!</v>
      </c>
      <c r="G616" t="e">
        <f>AVERAGEIFS('Region 17'!$W$2:$W$498,'Region 17'!$A$2:$A$498,G$1,'Region 17'!$X$2:$X$498,$D616,'Region 17'!$S$2:$S$498,$A616)</f>
        <v>#DIV/0!</v>
      </c>
      <c r="H616" t="e">
        <f>AVERAGEIFS('Region 17'!$W$2:$W$498,'Region 17'!$A$2:$A$498,H$1,'Region 17'!$X$2:$X$498,$D616,'Region 17'!$S$2:$S$498,$A616)</f>
        <v>#DIV/0!</v>
      </c>
      <c r="I616" t="e">
        <f>AVERAGEIFS('Region 17'!$W$2:$W$498,'Region 17'!$A$2:$A$498,I$1,'Region 17'!$X$2:$X$498,$D616,'Region 17'!$S$2:$S$498,$A616)</f>
        <v>#DIV/0!</v>
      </c>
      <c r="J616" t="e">
        <f>AVERAGEIFS('Region 17'!$W$2:$W$498,'Region 17'!$A$2:$A$498,J$1,'Region 17'!$X$2:$X$498,$D616,'Region 17'!$S$2:$S$498,$A616)</f>
        <v>#DIV/0!</v>
      </c>
      <c r="K616" t="e">
        <f>AVERAGEIFS('Region 17'!$W$2:$W$498,'Region 17'!$A$2:$A$498,K$1,'Region 17'!$X$2:$X$498,$D616,'Region 17'!$S$2:$S$498,$A616)</f>
        <v>#DIV/0!</v>
      </c>
      <c r="L616" t="e">
        <f>AVERAGEIFS('Region 17'!$W$2:$W$498,'Region 17'!$A$2:$A$498,L$1,'Region 17'!$X$2:$X$498,$D616,'Region 17'!$S$2:$S$498,$A616)</f>
        <v>#DIV/0!</v>
      </c>
      <c r="M616" t="e">
        <f>AVERAGEIFS('Region 17'!$W$2:$W$498,'Region 17'!$A$2:$A$498,M$1,'Region 17'!$X$2:$X$498,$D616,'Region 17'!$S$2:$S$498,$A616)</f>
        <v>#DIV/0!</v>
      </c>
      <c r="N616" t="e">
        <f>AVERAGEIFS('Region 17'!$W$2:$W$498,'Region 17'!$A$2:$A$498,N$1,'Region 17'!$X$2:$X$498,$D616,'Region 17'!$S$2:$S$498,$A616)</f>
        <v>#DIV/0!</v>
      </c>
      <c r="Q616" t="str">
        <f t="shared" si="612"/>
        <v>Glass</v>
      </c>
      <c r="R616" t="str">
        <f t="shared" si="613"/>
        <v>High-rise</v>
      </c>
      <c r="S616">
        <f t="shared" si="614"/>
        <v>17</v>
      </c>
      <c r="T616" t="str">
        <f t="shared" si="594"/>
        <v>-</v>
      </c>
      <c r="U616" t="str">
        <f t="shared" si="595"/>
        <v>-</v>
      </c>
      <c r="V616" t="str">
        <f t="shared" si="596"/>
        <v>-</v>
      </c>
      <c r="W616" t="str">
        <f t="shared" si="597"/>
        <v>-</v>
      </c>
      <c r="X616" t="str">
        <f t="shared" si="598"/>
        <v>-</v>
      </c>
      <c r="Y616" t="str">
        <f t="shared" si="599"/>
        <v>-</v>
      </c>
      <c r="Z616" t="str">
        <f t="shared" si="600"/>
        <v>-</v>
      </c>
      <c r="AA616" t="str">
        <f t="shared" si="601"/>
        <v>-</v>
      </c>
      <c r="AB616" t="str">
        <f t="shared" si="602"/>
        <v>-</v>
      </c>
      <c r="AC616" t="str">
        <f t="shared" si="603"/>
        <v>-</v>
      </c>
    </row>
    <row r="617" spans="1:29" x14ac:dyDescent="0.3">
      <c r="A617" t="s">
        <v>437</v>
      </c>
      <c r="B617" t="str">
        <f t="shared" ref="B617:D617" si="643">B513</f>
        <v>High-rise</v>
      </c>
      <c r="C617">
        <f t="shared" si="643"/>
        <v>18</v>
      </c>
      <c r="D617">
        <f t="shared" si="643"/>
        <v>4</v>
      </c>
      <c r="E617" t="e">
        <f>AVERAGEIFS('Region 18'!$W$2:$W$468,'Region 18'!$A$2:$A$468,E$1,'Region 18'!$X$2:$X$468,$D617,'Region 18'!$S$2:$S$468,$A617)</f>
        <v>#DIV/0!</v>
      </c>
      <c r="F617" t="e">
        <f>AVERAGEIFS('Region 18'!$W$2:$W$468,'Region 18'!$A$2:$A$468,F$1,'Region 18'!$X$2:$X$468,$D617,'Region 18'!$S$2:$S$468,$A617)</f>
        <v>#DIV/0!</v>
      </c>
      <c r="G617" t="e">
        <f>AVERAGEIFS('Region 18'!$W$2:$W$468,'Region 18'!$A$2:$A$468,G$1,'Region 18'!$X$2:$X$468,$D617,'Region 18'!$S$2:$S$468,$A617)</f>
        <v>#DIV/0!</v>
      </c>
      <c r="H617" t="e">
        <f>AVERAGEIFS('Region 18'!$W$2:$W$468,'Region 18'!$A$2:$A$468,H$1,'Region 18'!$X$2:$X$468,$D617,'Region 18'!$S$2:$S$468,$A617)</f>
        <v>#DIV/0!</v>
      </c>
      <c r="I617" t="e">
        <f>AVERAGEIFS('Region 18'!$W$2:$W$468,'Region 18'!$A$2:$A$468,I$1,'Region 18'!$X$2:$X$468,$D617,'Region 18'!$S$2:$S$468,$A617)</f>
        <v>#DIV/0!</v>
      </c>
      <c r="J617" t="e">
        <f>AVERAGEIFS('Region 18'!$W$2:$W$468,'Region 18'!$A$2:$A$468,J$1,'Region 18'!$X$2:$X$468,$D617,'Region 18'!$S$2:$S$468,$A617)</f>
        <v>#DIV/0!</v>
      </c>
      <c r="K617" t="e">
        <f>AVERAGEIFS('Region 18'!$W$2:$W$468,'Region 18'!$A$2:$A$468,K$1,'Region 18'!$X$2:$X$468,$D617,'Region 18'!$S$2:$S$468,$A617)</f>
        <v>#DIV/0!</v>
      </c>
      <c r="L617" t="e">
        <f>AVERAGEIFS('Region 18'!$W$2:$W$468,'Region 18'!$A$2:$A$468,L$1,'Region 18'!$X$2:$X$468,$D617,'Region 18'!$S$2:$S$468,$A617)</f>
        <v>#DIV/0!</v>
      </c>
      <c r="M617" t="e">
        <f>AVERAGEIFS('Region 18'!$W$2:$W$468,'Region 18'!$A$2:$A$468,M$1,'Region 18'!$X$2:$X$468,$D617,'Region 18'!$S$2:$S$468,$A617)</f>
        <v>#DIV/0!</v>
      </c>
      <c r="N617" t="e">
        <f>AVERAGEIFS('Region 18'!$W$2:$W$468,'Region 18'!$A$2:$A$468,N$1,'Region 18'!$X$2:$X$468,$D617,'Region 18'!$S$2:$S$468,$A617)</f>
        <v>#DIV/0!</v>
      </c>
      <c r="Q617" t="str">
        <f t="shared" si="612"/>
        <v>Glass</v>
      </c>
      <c r="R617" t="str">
        <f t="shared" si="613"/>
        <v>High-rise</v>
      </c>
      <c r="S617">
        <f t="shared" si="614"/>
        <v>18</v>
      </c>
      <c r="T617" t="str">
        <f t="shared" si="594"/>
        <v>-</v>
      </c>
      <c r="U617" t="str">
        <f t="shared" si="595"/>
        <v>-</v>
      </c>
      <c r="V617" t="str">
        <f t="shared" si="596"/>
        <v>-</v>
      </c>
      <c r="W617" t="str">
        <f t="shared" si="597"/>
        <v>-</v>
      </c>
      <c r="X617" t="str">
        <f t="shared" si="598"/>
        <v>-</v>
      </c>
      <c r="Y617" t="str">
        <f t="shared" si="599"/>
        <v>-</v>
      </c>
      <c r="Z617" t="str">
        <f t="shared" si="600"/>
        <v>-</v>
      </c>
      <c r="AA617" t="str">
        <f t="shared" si="601"/>
        <v>-</v>
      </c>
      <c r="AB617" t="str">
        <f t="shared" si="602"/>
        <v>-</v>
      </c>
      <c r="AC617" t="str">
        <f t="shared" si="603"/>
        <v>-</v>
      </c>
    </row>
    <row r="618" spans="1:29" x14ac:dyDescent="0.3">
      <c r="A618" t="s">
        <v>437</v>
      </c>
      <c r="B618" t="str">
        <f t="shared" ref="B618:D618" si="644">B514</f>
        <v>High-rise</v>
      </c>
      <c r="C618">
        <f t="shared" si="644"/>
        <v>19</v>
      </c>
      <c r="D618">
        <f t="shared" si="644"/>
        <v>4</v>
      </c>
      <c r="E618">
        <f>AVERAGEIFS('Region 19'!$W$2:$W$494,'Region 19'!$A$2:$A$494,E$1,'Region 19'!$X$2:$X$494,$D618,'Region 19'!$S$2:$S$494,$A618)</f>
        <v>5.9505433785664108</v>
      </c>
      <c r="F618" t="e">
        <f>AVERAGEIFS('Region 19'!$W$2:$W$494,'Region 19'!$A$2:$A$494,F$1,'Region 19'!$X$2:$X$494,$D618,'Region 19'!$S$2:$S$494,$A618)</f>
        <v>#DIV/0!</v>
      </c>
      <c r="G618">
        <f>AVERAGEIFS('Region 19'!$W$2:$W$494,'Region 19'!$A$2:$A$494,G$1,'Region 19'!$X$2:$X$494,$D618,'Region 19'!$S$2:$S$494,$A618)</f>
        <v>12.543622491118679</v>
      </c>
      <c r="H618" t="e">
        <f>AVERAGEIFS('Region 19'!$W$2:$W$494,'Region 19'!$A$2:$A$494,H$1,'Region 19'!$X$2:$X$494,$D618,'Region 19'!$S$2:$S$494,$A618)</f>
        <v>#DIV/0!</v>
      </c>
      <c r="I618" t="e">
        <f>AVERAGEIFS('Region 19'!$W$2:$W$494,'Region 19'!$A$2:$A$494,I$1,'Region 19'!$X$2:$X$494,$D618,'Region 19'!$S$2:$S$494,$A618)</f>
        <v>#DIV/0!</v>
      </c>
      <c r="J618" t="e">
        <f>AVERAGEIFS('Region 19'!$W$2:$W$494,'Region 19'!$A$2:$A$494,J$1,'Region 19'!$X$2:$X$494,$D618,'Region 19'!$S$2:$S$494,$A618)</f>
        <v>#DIV/0!</v>
      </c>
      <c r="K618" t="e">
        <f>AVERAGEIFS('Region 19'!$W$2:$W$494,'Region 19'!$A$2:$A$494,K$1,'Region 19'!$X$2:$X$494,$D618,'Region 19'!$S$2:$S$494,$A618)</f>
        <v>#DIV/0!</v>
      </c>
      <c r="L618" t="e">
        <f>AVERAGEIFS('Region 19'!$W$2:$W$494,'Region 19'!$A$2:$A$494,L$1,'Region 19'!$X$2:$X$494,$D618,'Region 19'!$S$2:$S$494,$A618)</f>
        <v>#DIV/0!</v>
      </c>
      <c r="M618" t="e">
        <f>AVERAGEIFS('Region 19'!$W$2:$W$494,'Region 19'!$A$2:$A$494,M$1,'Region 19'!$X$2:$X$494,$D618,'Region 19'!$S$2:$S$494,$A618)</f>
        <v>#DIV/0!</v>
      </c>
      <c r="N618" t="e">
        <f>AVERAGEIFS('Region 19'!$W$2:$W$494,'Region 19'!$A$2:$A$494,N$1,'Region 19'!$X$2:$X$494,$D618,'Region 19'!$S$2:$S$494,$A618)</f>
        <v>#DIV/0!</v>
      </c>
      <c r="Q618" t="str">
        <f t="shared" si="612"/>
        <v>Glass</v>
      </c>
      <c r="R618" t="str">
        <f t="shared" si="613"/>
        <v>High-rise</v>
      </c>
      <c r="S618">
        <f t="shared" si="614"/>
        <v>19</v>
      </c>
      <c r="T618">
        <f t="shared" si="594"/>
        <v>5.9505433785664108</v>
      </c>
      <c r="U618" t="str">
        <f t="shared" si="595"/>
        <v>-</v>
      </c>
      <c r="V618">
        <f t="shared" si="596"/>
        <v>12.543622491118679</v>
      </c>
      <c r="W618" t="str">
        <f t="shared" si="597"/>
        <v>-</v>
      </c>
      <c r="X618" t="str">
        <f t="shared" si="598"/>
        <v>-</v>
      </c>
      <c r="Y618" t="str">
        <f t="shared" si="599"/>
        <v>-</v>
      </c>
      <c r="Z618" t="str">
        <f t="shared" si="600"/>
        <v>-</v>
      </c>
      <c r="AA618" t="str">
        <f t="shared" si="601"/>
        <v>-</v>
      </c>
      <c r="AB618" t="str">
        <f t="shared" si="602"/>
        <v>-</v>
      </c>
      <c r="AC618" t="str">
        <f t="shared" si="603"/>
        <v>-</v>
      </c>
    </row>
    <row r="619" spans="1:29" x14ac:dyDescent="0.3">
      <c r="A619" t="s">
        <v>437</v>
      </c>
      <c r="B619" t="str">
        <f t="shared" ref="B619:D619" si="645">B515</f>
        <v>High-rise</v>
      </c>
      <c r="C619">
        <f t="shared" si="645"/>
        <v>20</v>
      </c>
      <c r="D619">
        <f t="shared" si="645"/>
        <v>4</v>
      </c>
      <c r="E619">
        <f>AVERAGEIFS('Region 20'!$W$2:$W$269,'Region 20'!$A$2:$A$269,E$1,'Region 20'!$X$2:$X$269,$D619,'Region 20'!$S$2:$S$269,$A619)</f>
        <v>1.9687731110563291</v>
      </c>
      <c r="F619" t="e">
        <f>AVERAGEIFS('Region 20'!$W$2:$W$269,'Region 20'!$A$2:$A$269,F$1,'Region 20'!$X$2:$X$269,$D619,'Region 20'!$S$2:$S$269,$A619)</f>
        <v>#DIV/0!</v>
      </c>
      <c r="G619" t="e">
        <f>AVERAGEIFS('Region 20'!$W$2:$W$269,'Region 20'!$A$2:$A$269,G$1,'Region 20'!$X$2:$X$269,$D619,'Region 20'!$S$2:$S$269,$A619)</f>
        <v>#DIV/0!</v>
      </c>
      <c r="H619" t="e">
        <f>AVERAGEIFS('Region 20'!$W$2:$W$269,'Region 20'!$A$2:$A$269,H$1,'Region 20'!$X$2:$X$269,$D619,'Region 20'!$S$2:$S$269,$A619)</f>
        <v>#DIV/0!</v>
      </c>
      <c r="I619" t="e">
        <f>AVERAGEIFS('Region 20'!$W$2:$W$269,'Region 20'!$A$2:$A$269,I$1,'Region 20'!$X$2:$X$269,$D619,'Region 20'!$S$2:$S$269,$A619)</f>
        <v>#DIV/0!</v>
      </c>
      <c r="J619" t="e">
        <f>AVERAGEIFS('Region 20'!$W$2:$W$269,'Region 20'!$A$2:$A$269,J$1,'Region 20'!$X$2:$X$269,$D619,'Region 20'!$S$2:$S$269,$A619)</f>
        <v>#DIV/0!</v>
      </c>
      <c r="K619" t="e">
        <f>AVERAGEIFS('Region 20'!$W$2:$W$269,'Region 20'!$A$2:$A$269,K$1,'Region 20'!$X$2:$X$269,$D619,'Region 20'!$S$2:$S$269,$A619)</f>
        <v>#DIV/0!</v>
      </c>
      <c r="L619" t="e">
        <f>AVERAGEIFS('Region 20'!$W$2:$W$269,'Region 20'!$A$2:$A$269,L$1,'Region 20'!$X$2:$X$269,$D619,'Region 20'!$S$2:$S$269,$A619)</f>
        <v>#DIV/0!</v>
      </c>
      <c r="M619" t="e">
        <f>AVERAGEIFS('Region 20'!$W$2:$W$269,'Region 20'!$A$2:$A$269,M$1,'Region 20'!$X$2:$X$269,$D619,'Region 20'!$S$2:$S$269,$A619)</f>
        <v>#DIV/0!</v>
      </c>
      <c r="N619" t="e">
        <f>AVERAGEIFS('Region 20'!$W$2:$W$269,'Region 20'!$A$2:$A$269,N$1,'Region 20'!$X$2:$X$269,$D619,'Region 20'!$S$2:$S$269,$A619)</f>
        <v>#DIV/0!</v>
      </c>
      <c r="Q619" t="str">
        <f t="shared" si="612"/>
        <v>Glass</v>
      </c>
      <c r="R619" t="str">
        <f t="shared" si="613"/>
        <v>High-rise</v>
      </c>
      <c r="S619">
        <f t="shared" si="614"/>
        <v>20</v>
      </c>
      <c r="T619">
        <f t="shared" si="594"/>
        <v>1.9687731110563291</v>
      </c>
      <c r="U619" t="str">
        <f t="shared" si="595"/>
        <v>-</v>
      </c>
      <c r="V619" t="str">
        <f t="shared" si="596"/>
        <v>-</v>
      </c>
      <c r="W619" t="str">
        <f t="shared" si="597"/>
        <v>-</v>
      </c>
      <c r="X619" t="str">
        <f t="shared" si="598"/>
        <v>-</v>
      </c>
      <c r="Y619" t="str">
        <f t="shared" si="599"/>
        <v>-</v>
      </c>
      <c r="Z619" t="str">
        <f t="shared" si="600"/>
        <v>-</v>
      </c>
      <c r="AA619" t="str">
        <f t="shared" si="601"/>
        <v>-</v>
      </c>
      <c r="AB619" t="str">
        <f t="shared" si="602"/>
        <v>-</v>
      </c>
      <c r="AC619" t="str">
        <f t="shared" si="603"/>
        <v>-</v>
      </c>
    </row>
    <row r="620" spans="1:29" x14ac:dyDescent="0.3">
      <c r="A620" t="s">
        <v>437</v>
      </c>
      <c r="B620" t="str">
        <f t="shared" ref="B620:D620" si="646">B516</f>
        <v>High-rise</v>
      </c>
      <c r="C620">
        <f t="shared" si="646"/>
        <v>21</v>
      </c>
      <c r="D620">
        <f t="shared" si="646"/>
        <v>4</v>
      </c>
      <c r="E620" t="e">
        <f>AVERAGEIFS('Region 21'!$W$2:$W$497,'Region 21'!$A$2:$A$497,E$1,'Region 21'!$X$2:$X$497,$D620,'Region 21'!$S$2:$S$497,$A620)</f>
        <v>#DIV/0!</v>
      </c>
      <c r="F620" t="e">
        <f>AVERAGEIFS('Region 21'!$W$2:$W$497,'Region 21'!$A$2:$A$497,F$1,'Region 21'!$X$2:$X$497,$D620,'Region 21'!$S$2:$S$497,$A620)</f>
        <v>#DIV/0!</v>
      </c>
      <c r="G620" t="e">
        <f>AVERAGEIFS('Region 21'!$W$2:$W$497,'Region 21'!$A$2:$A$497,G$1,'Region 21'!$X$2:$X$497,$D620,'Region 21'!$S$2:$S$497,$A620)</f>
        <v>#DIV/0!</v>
      </c>
      <c r="H620" t="e">
        <f>AVERAGEIFS('Region 21'!$W$2:$W$497,'Region 21'!$A$2:$A$497,H$1,'Region 21'!$X$2:$X$497,$D620,'Region 21'!$S$2:$S$497,$A620)</f>
        <v>#DIV/0!</v>
      </c>
      <c r="I620" t="e">
        <f>AVERAGEIFS('Region 21'!$W$2:$W$497,'Region 21'!$A$2:$A$497,I$1,'Region 21'!$X$2:$X$497,$D620,'Region 21'!$S$2:$S$497,$A620)</f>
        <v>#DIV/0!</v>
      </c>
      <c r="J620" t="e">
        <f>AVERAGEIFS('Region 21'!$W$2:$W$497,'Region 21'!$A$2:$A$497,J$1,'Region 21'!$X$2:$X$497,$D620,'Region 21'!$S$2:$S$497,$A620)</f>
        <v>#DIV/0!</v>
      </c>
      <c r="K620" t="e">
        <f>AVERAGEIFS('Region 21'!$W$2:$W$497,'Region 21'!$A$2:$A$497,K$1,'Region 21'!$X$2:$X$497,$D620,'Region 21'!$S$2:$S$497,$A620)</f>
        <v>#DIV/0!</v>
      </c>
      <c r="L620" t="e">
        <f>AVERAGEIFS('Region 21'!$W$2:$W$497,'Region 21'!$A$2:$A$497,L$1,'Region 21'!$X$2:$X$497,$D620,'Region 21'!$S$2:$S$497,$A620)</f>
        <v>#DIV/0!</v>
      </c>
      <c r="M620" t="e">
        <f>AVERAGEIFS('Region 21'!$W$2:$W$497,'Region 21'!$A$2:$A$497,M$1,'Region 21'!$X$2:$X$497,$D620,'Region 21'!$S$2:$S$497,$A620)</f>
        <v>#DIV/0!</v>
      </c>
      <c r="N620" t="e">
        <f>AVERAGEIFS('Region 21'!$W$2:$W$497,'Region 21'!$A$2:$A$497,N$1,'Region 21'!$X$2:$X$497,$D620,'Region 21'!$S$2:$S$497,$A620)</f>
        <v>#DIV/0!</v>
      </c>
      <c r="Q620" t="str">
        <f t="shared" si="612"/>
        <v>Glass</v>
      </c>
      <c r="R620" t="str">
        <f t="shared" si="613"/>
        <v>High-rise</v>
      </c>
      <c r="S620">
        <f t="shared" si="614"/>
        <v>21</v>
      </c>
      <c r="T620" t="str">
        <f t="shared" si="594"/>
        <v>-</v>
      </c>
      <c r="U620" t="str">
        <f t="shared" si="595"/>
        <v>-</v>
      </c>
      <c r="V620" t="str">
        <f t="shared" si="596"/>
        <v>-</v>
      </c>
      <c r="W620" t="str">
        <f t="shared" si="597"/>
        <v>-</v>
      </c>
      <c r="X620" t="str">
        <f t="shared" si="598"/>
        <v>-</v>
      </c>
      <c r="Y620" t="str">
        <f t="shared" si="599"/>
        <v>-</v>
      </c>
      <c r="Z620" t="str">
        <f t="shared" si="600"/>
        <v>-</v>
      </c>
      <c r="AA620" t="str">
        <f t="shared" si="601"/>
        <v>-</v>
      </c>
      <c r="AB620" t="str">
        <f t="shared" si="602"/>
        <v>-</v>
      </c>
      <c r="AC620" t="str">
        <f t="shared" si="603"/>
        <v>-</v>
      </c>
    </row>
    <row r="621" spans="1:29" x14ac:dyDescent="0.3">
      <c r="A621" t="s">
        <v>437</v>
      </c>
      <c r="B621" t="str">
        <f t="shared" ref="B621:D621" si="647">B517</f>
        <v>High-rise</v>
      </c>
      <c r="C621">
        <f t="shared" si="647"/>
        <v>22</v>
      </c>
      <c r="D621">
        <f t="shared" si="647"/>
        <v>4</v>
      </c>
      <c r="E621">
        <f>AVERAGEIFS('Region 22'!$W$2:$W$510,'Region 22'!$A$2:$A$510,E$1,'Region 22'!$X$2:$X$510,$D621,'Region 22'!$S$2:$S$510,$A621)</f>
        <v>0.72941176470588232</v>
      </c>
      <c r="F621" t="e">
        <f>AVERAGEIFS('Region 22'!$W$2:$W$510,'Region 22'!$A$2:$A$510,F$1,'Region 22'!$X$2:$X$510,$D621,'Region 22'!$S$2:$S$510,$A621)</f>
        <v>#DIV/0!</v>
      </c>
      <c r="G621" t="e">
        <f>AVERAGEIFS('Region 22'!$W$2:$W$510,'Region 22'!$A$2:$A$510,G$1,'Region 22'!$X$2:$X$510,$D621,'Region 22'!$S$2:$S$510,$A621)</f>
        <v>#DIV/0!</v>
      </c>
      <c r="H621" t="e">
        <f>AVERAGEIFS('Region 22'!$W$2:$W$510,'Region 22'!$A$2:$A$510,H$1,'Region 22'!$X$2:$X$510,$D621,'Region 22'!$S$2:$S$510,$A621)</f>
        <v>#DIV/0!</v>
      </c>
      <c r="I621" t="e">
        <f>AVERAGEIFS('Region 22'!$W$2:$W$510,'Region 22'!$A$2:$A$510,I$1,'Region 22'!$X$2:$X$510,$D621,'Region 22'!$S$2:$S$510,$A621)</f>
        <v>#DIV/0!</v>
      </c>
      <c r="J621" t="e">
        <f>AVERAGEIFS('Region 22'!$W$2:$W$510,'Region 22'!$A$2:$A$510,J$1,'Region 22'!$X$2:$X$510,$D621,'Region 22'!$S$2:$S$510,$A621)</f>
        <v>#DIV/0!</v>
      </c>
      <c r="K621" t="e">
        <f>AVERAGEIFS('Region 22'!$W$2:$W$510,'Region 22'!$A$2:$A$510,K$1,'Region 22'!$X$2:$X$510,$D621,'Region 22'!$S$2:$S$510,$A621)</f>
        <v>#DIV/0!</v>
      </c>
      <c r="L621" t="e">
        <f>AVERAGEIFS('Region 22'!$W$2:$W$510,'Region 22'!$A$2:$A$510,L$1,'Region 22'!$X$2:$X$510,$D621,'Region 22'!$S$2:$S$510,$A621)</f>
        <v>#DIV/0!</v>
      </c>
      <c r="M621" t="e">
        <f>AVERAGEIFS('Region 22'!$W$2:$W$510,'Region 22'!$A$2:$A$510,M$1,'Region 22'!$X$2:$X$510,$D621,'Region 22'!$S$2:$S$510,$A621)</f>
        <v>#DIV/0!</v>
      </c>
      <c r="N621" t="e">
        <f>AVERAGEIFS('Region 22'!$W$2:$W$510,'Region 22'!$A$2:$A$510,N$1,'Region 22'!$X$2:$X$510,$D621,'Region 22'!$S$2:$S$510,$A621)</f>
        <v>#DIV/0!</v>
      </c>
      <c r="Q621" t="str">
        <f t="shared" si="612"/>
        <v>Glass</v>
      </c>
      <c r="R621" t="str">
        <f t="shared" si="613"/>
        <v>High-rise</v>
      </c>
      <c r="S621">
        <f t="shared" si="614"/>
        <v>22</v>
      </c>
      <c r="T621">
        <f t="shared" si="594"/>
        <v>0.72941176470588232</v>
      </c>
      <c r="U621" t="str">
        <f t="shared" si="595"/>
        <v>-</v>
      </c>
      <c r="V621" t="str">
        <f t="shared" si="596"/>
        <v>-</v>
      </c>
      <c r="W621" t="str">
        <f t="shared" si="597"/>
        <v>-</v>
      </c>
      <c r="X621" t="str">
        <f t="shared" si="598"/>
        <v>-</v>
      </c>
      <c r="Y621" t="str">
        <f t="shared" si="599"/>
        <v>-</v>
      </c>
      <c r="Z621" t="str">
        <f t="shared" si="600"/>
        <v>-</v>
      </c>
      <c r="AA621" t="str">
        <f t="shared" si="601"/>
        <v>-</v>
      </c>
      <c r="AB621" t="str">
        <f t="shared" si="602"/>
        <v>-</v>
      </c>
      <c r="AC621" t="str">
        <f t="shared" si="603"/>
        <v>-</v>
      </c>
    </row>
    <row r="622" spans="1:29" x14ac:dyDescent="0.3">
      <c r="A622" t="s">
        <v>437</v>
      </c>
      <c r="B622" t="str">
        <f t="shared" ref="B622:D622" si="648">B518</f>
        <v>High-rise</v>
      </c>
      <c r="C622">
        <f t="shared" si="648"/>
        <v>23</v>
      </c>
      <c r="D622">
        <f t="shared" si="648"/>
        <v>4</v>
      </c>
      <c r="E622" t="e">
        <f>AVERAGEIFS('Region 23'!$W$2:$W$468,'Region 23'!$A$2:$A$468,E$1,'Region 23'!$X$2:$X$468,$D622,'Region 23'!$S$2:$S$468,$A622)</f>
        <v>#DIV/0!</v>
      </c>
      <c r="F622">
        <f>AVERAGEIFS('Region 23'!$W$2:$W$468,'Region 23'!$A$2:$A$468,F$1,'Region 23'!$X$2:$X$468,$D622,'Region 23'!$S$2:$S$468,$A622)</f>
        <v>2</v>
      </c>
      <c r="G622" t="e">
        <f>AVERAGEIFS('Region 23'!$W$2:$W$468,'Region 23'!$A$2:$A$468,G$1,'Region 23'!$X$2:$X$468,$D622,'Region 23'!$S$2:$S$468,$A622)</f>
        <v>#DIV/0!</v>
      </c>
      <c r="H622" t="e">
        <f>AVERAGEIFS('Region 23'!$W$2:$W$468,'Region 23'!$A$2:$A$468,H$1,'Region 23'!$X$2:$X$468,$D622,'Region 23'!$S$2:$S$468,$A622)</f>
        <v>#DIV/0!</v>
      </c>
      <c r="I622" t="e">
        <f>AVERAGEIFS('Region 23'!$W$2:$W$468,'Region 23'!$A$2:$A$468,I$1,'Region 23'!$X$2:$X$468,$D622,'Region 23'!$S$2:$S$468,$A622)</f>
        <v>#DIV/0!</v>
      </c>
      <c r="J622" t="e">
        <f>AVERAGEIFS('Region 23'!$W$2:$W$468,'Region 23'!$A$2:$A$468,J$1,'Region 23'!$X$2:$X$468,$D622,'Region 23'!$S$2:$S$468,$A622)</f>
        <v>#DIV/0!</v>
      </c>
      <c r="K622" t="e">
        <f>AVERAGEIFS('Region 23'!$W$2:$W$468,'Region 23'!$A$2:$A$468,K$1,'Region 23'!$X$2:$X$468,$D622,'Region 23'!$S$2:$S$468,$A622)</f>
        <v>#DIV/0!</v>
      </c>
      <c r="L622" t="e">
        <f>AVERAGEIFS('Region 23'!$W$2:$W$468,'Region 23'!$A$2:$A$468,L$1,'Region 23'!$X$2:$X$468,$D622,'Region 23'!$S$2:$S$468,$A622)</f>
        <v>#DIV/0!</v>
      </c>
      <c r="M622" t="e">
        <f>AVERAGEIFS('Region 23'!$W$2:$W$468,'Region 23'!$A$2:$A$468,M$1,'Region 23'!$X$2:$X$468,$D622,'Region 23'!$S$2:$S$468,$A622)</f>
        <v>#DIV/0!</v>
      </c>
      <c r="N622" t="e">
        <f>AVERAGEIFS('Region 23'!$W$2:$W$468,'Region 23'!$A$2:$A$468,N$1,'Region 23'!$X$2:$X$468,$D622,'Region 23'!$S$2:$S$468,$A622)</f>
        <v>#DIV/0!</v>
      </c>
      <c r="Q622" t="str">
        <f t="shared" si="612"/>
        <v>Glass</v>
      </c>
      <c r="R622" t="str">
        <f t="shared" si="613"/>
        <v>High-rise</v>
      </c>
      <c r="S622">
        <f t="shared" si="614"/>
        <v>23</v>
      </c>
      <c r="T622" t="str">
        <f t="shared" si="594"/>
        <v>-</v>
      </c>
      <c r="U622">
        <f t="shared" si="595"/>
        <v>2</v>
      </c>
      <c r="V622" t="str">
        <f t="shared" si="596"/>
        <v>-</v>
      </c>
      <c r="W622" t="str">
        <f t="shared" si="597"/>
        <v>-</v>
      </c>
      <c r="X622" t="str">
        <f t="shared" si="598"/>
        <v>-</v>
      </c>
      <c r="Y622" t="str">
        <f t="shared" si="599"/>
        <v>-</v>
      </c>
      <c r="Z622" t="str">
        <f t="shared" si="600"/>
        <v>-</v>
      </c>
      <c r="AA622" t="str">
        <f t="shared" si="601"/>
        <v>-</v>
      </c>
      <c r="AB622" t="str">
        <f t="shared" si="602"/>
        <v>-</v>
      </c>
      <c r="AC622" t="str">
        <f t="shared" si="603"/>
        <v>-</v>
      </c>
    </row>
    <row r="623" spans="1:29" x14ac:dyDescent="0.3">
      <c r="A623" t="s">
        <v>437</v>
      </c>
      <c r="B623" t="str">
        <f t="shared" ref="B623:D623" si="649">B519</f>
        <v>High-rise</v>
      </c>
      <c r="C623">
        <f t="shared" si="649"/>
        <v>24</v>
      </c>
      <c r="D623">
        <f t="shared" si="649"/>
        <v>4</v>
      </c>
      <c r="E623" t="e">
        <f>AVERAGEIFS('Region 24'!$W$2:$W$454,'Region 24'!$A$2:$A$454,E$1,'Region 24'!$X$2:$X$454,$D623,'Region 24'!$S$2:$S$454,$A623)</f>
        <v>#DIV/0!</v>
      </c>
      <c r="F623" t="e">
        <f>AVERAGEIFS('Region 24'!$W$2:$W$454,'Region 24'!$A$2:$A$454,F$1,'Region 24'!$X$2:$X$454,$D623,'Region 24'!$S$2:$S$454,$A623)</f>
        <v>#DIV/0!</v>
      </c>
      <c r="G623" t="e">
        <f>AVERAGEIFS('Region 24'!$W$2:$W$454,'Region 24'!$A$2:$A$454,G$1,'Region 24'!$X$2:$X$454,$D623,'Region 24'!$S$2:$S$454,$A623)</f>
        <v>#DIV/0!</v>
      </c>
      <c r="H623" t="e">
        <f>AVERAGEIFS('Region 24'!$W$2:$W$454,'Region 24'!$A$2:$A$454,H$1,'Region 24'!$X$2:$X$454,$D623,'Region 24'!$S$2:$S$454,$A623)</f>
        <v>#DIV/0!</v>
      </c>
      <c r="I623" t="e">
        <f>AVERAGEIFS('Region 24'!$W$2:$W$454,'Region 24'!$A$2:$A$454,I$1,'Region 24'!$X$2:$X$454,$D623,'Region 24'!$S$2:$S$454,$A623)</f>
        <v>#DIV/0!</v>
      </c>
      <c r="J623" t="e">
        <f>AVERAGEIFS('Region 24'!$W$2:$W$454,'Region 24'!$A$2:$A$454,J$1,'Region 24'!$X$2:$X$454,$D623,'Region 24'!$S$2:$S$454,$A623)</f>
        <v>#DIV/0!</v>
      </c>
      <c r="K623">
        <f>AVERAGEIFS('Region 24'!$W$2:$W$454,'Region 24'!$A$2:$A$454,K$1,'Region 24'!$X$2:$X$454,$D623,'Region 24'!$S$2:$S$454,$A623)</f>
        <v>7.296034864542424</v>
      </c>
      <c r="L623" t="e">
        <f>AVERAGEIFS('Region 24'!$W$2:$W$454,'Region 24'!$A$2:$A$454,L$1,'Region 24'!$X$2:$X$454,$D623,'Region 24'!$S$2:$S$454,$A623)</f>
        <v>#DIV/0!</v>
      </c>
      <c r="M623" t="e">
        <f>AVERAGEIFS('Region 24'!$W$2:$W$454,'Region 24'!$A$2:$A$454,M$1,'Region 24'!$X$2:$X$454,$D623,'Region 24'!$S$2:$S$454,$A623)</f>
        <v>#DIV/0!</v>
      </c>
      <c r="N623" t="e">
        <f>AVERAGEIFS('Region 24'!$W$2:$W$454,'Region 24'!$A$2:$A$454,N$1,'Region 24'!$X$2:$X$454,$D623,'Region 24'!$S$2:$S$454,$A623)</f>
        <v>#DIV/0!</v>
      </c>
      <c r="Q623" t="str">
        <f t="shared" si="612"/>
        <v>Glass</v>
      </c>
      <c r="R623" t="str">
        <f t="shared" si="613"/>
        <v>High-rise</v>
      </c>
      <c r="S623">
        <f t="shared" si="614"/>
        <v>24</v>
      </c>
      <c r="T623" t="str">
        <f t="shared" si="594"/>
        <v>-</v>
      </c>
      <c r="U623" t="str">
        <f t="shared" si="595"/>
        <v>-</v>
      </c>
      <c r="V623" t="str">
        <f t="shared" si="596"/>
        <v>-</v>
      </c>
      <c r="W623" t="str">
        <f t="shared" si="597"/>
        <v>-</v>
      </c>
      <c r="X623" t="str">
        <f t="shared" si="598"/>
        <v>-</v>
      </c>
      <c r="Y623" t="str">
        <f t="shared" si="599"/>
        <v>-</v>
      </c>
      <c r="Z623">
        <f t="shared" si="600"/>
        <v>7.296034864542424</v>
      </c>
      <c r="AA623" t="str">
        <f t="shared" si="601"/>
        <v>-</v>
      </c>
      <c r="AB623" t="str">
        <f t="shared" si="602"/>
        <v>-</v>
      </c>
      <c r="AC623" t="str">
        <f t="shared" si="603"/>
        <v>-</v>
      </c>
    </row>
    <row r="624" spans="1:29" x14ac:dyDescent="0.3">
      <c r="A624" t="s">
        <v>437</v>
      </c>
      <c r="B624" t="str">
        <f t="shared" ref="B624:D624" si="650">B520</f>
        <v>High-rise</v>
      </c>
      <c r="C624">
        <f t="shared" si="650"/>
        <v>25</v>
      </c>
      <c r="D624">
        <f t="shared" si="650"/>
        <v>4</v>
      </c>
      <c r="E624" t="e">
        <f>AVERAGEIFS('Region 25'!$W$2:$W$499,'Region 25'!$A$2:$A$499,E$1,'Region 25'!$X$2:$X$499,$D624,'Region 25'!$S$2:$S$499,$A624)</f>
        <v>#DIV/0!</v>
      </c>
      <c r="F624" t="e">
        <f>AVERAGEIFS('Region 25'!$W$2:$W$499,'Region 25'!$A$2:$A$499,F$1,'Region 25'!$X$2:$X$499,$D624,'Region 25'!$S$2:$S$499,$A624)</f>
        <v>#DIV/0!</v>
      </c>
      <c r="G624" t="e">
        <f>AVERAGEIFS('Region 25'!$W$2:$W$499,'Region 25'!$A$2:$A$499,G$1,'Region 25'!$X$2:$X$499,$D624,'Region 25'!$S$2:$S$499,$A624)</f>
        <v>#DIV/0!</v>
      </c>
      <c r="H624" t="e">
        <f>AVERAGEIFS('Region 25'!$W$2:$W$499,'Region 25'!$A$2:$A$499,H$1,'Region 25'!$X$2:$X$499,$D624,'Region 25'!$S$2:$S$499,$A624)</f>
        <v>#DIV/0!</v>
      </c>
      <c r="I624" t="e">
        <f>AVERAGEIFS('Region 25'!$W$2:$W$499,'Region 25'!$A$2:$A$499,I$1,'Region 25'!$X$2:$X$499,$D624,'Region 25'!$S$2:$S$499,$A624)</f>
        <v>#DIV/0!</v>
      </c>
      <c r="J624" t="e">
        <f>AVERAGEIFS('Region 25'!$W$2:$W$499,'Region 25'!$A$2:$A$499,J$1,'Region 25'!$X$2:$X$499,$D624,'Region 25'!$S$2:$S$499,$A624)</f>
        <v>#DIV/0!</v>
      </c>
      <c r="K624" t="e">
        <f>AVERAGEIFS('Region 25'!$W$2:$W$499,'Region 25'!$A$2:$A$499,K$1,'Region 25'!$X$2:$X$499,$D624,'Region 25'!$S$2:$S$499,$A624)</f>
        <v>#DIV/0!</v>
      </c>
      <c r="L624" t="e">
        <f>AVERAGEIFS('Region 25'!$W$2:$W$499,'Region 25'!$A$2:$A$499,L$1,'Region 25'!$X$2:$X$499,$D624,'Region 25'!$S$2:$S$499,$A624)</f>
        <v>#DIV/0!</v>
      </c>
      <c r="M624" t="e">
        <f>AVERAGEIFS('Region 25'!$W$2:$W$499,'Region 25'!$A$2:$A$499,M$1,'Region 25'!$X$2:$X$499,$D624,'Region 25'!$S$2:$S$499,$A624)</f>
        <v>#DIV/0!</v>
      </c>
      <c r="N624" t="e">
        <f>AVERAGEIFS('Region 25'!$W$2:$W$499,'Region 25'!$A$2:$A$499,N$1,'Region 25'!$X$2:$X$499,$D624,'Region 25'!$S$2:$S$499,$A624)</f>
        <v>#DIV/0!</v>
      </c>
      <c r="Q624" t="str">
        <f t="shared" si="612"/>
        <v>Glass</v>
      </c>
      <c r="R624" t="str">
        <f t="shared" si="613"/>
        <v>High-rise</v>
      </c>
      <c r="S624">
        <f t="shared" si="614"/>
        <v>25</v>
      </c>
      <c r="T624" t="str">
        <f t="shared" si="594"/>
        <v>-</v>
      </c>
      <c r="U624" t="str">
        <f t="shared" si="595"/>
        <v>-</v>
      </c>
      <c r="V624" t="str">
        <f t="shared" si="596"/>
        <v>-</v>
      </c>
      <c r="W624" t="str">
        <f t="shared" si="597"/>
        <v>-</v>
      </c>
      <c r="X624" t="str">
        <f t="shared" si="598"/>
        <v>-</v>
      </c>
      <c r="Y624" t="str">
        <f t="shared" si="599"/>
        <v>-</v>
      </c>
      <c r="Z624" t="str">
        <f t="shared" si="600"/>
        <v>-</v>
      </c>
      <c r="AA624" t="str">
        <f t="shared" si="601"/>
        <v>-</v>
      </c>
      <c r="AB624" t="str">
        <f t="shared" si="602"/>
        <v>-</v>
      </c>
      <c r="AC624" t="str">
        <f t="shared" si="603"/>
        <v>-</v>
      </c>
    </row>
    <row r="625" spans="1:29" x14ac:dyDescent="0.3">
      <c r="A625" t="s">
        <v>437</v>
      </c>
      <c r="B625" t="str">
        <f t="shared" ref="B625:D625" si="651">B521</f>
        <v>High-rise</v>
      </c>
      <c r="C625">
        <f t="shared" si="651"/>
        <v>26</v>
      </c>
      <c r="D625">
        <f t="shared" si="651"/>
        <v>4</v>
      </c>
      <c r="E625" t="e">
        <f ca="1">AVERAGEIFS('Region 26'!$W$2:$W$500,'Region 26'!$A$2:$A$500,E$1,'Region 26'!$X$2:$X$500,$D625,'Region 26'!$S$2:$S$500,$A625)</f>
        <v>#DIV/0!</v>
      </c>
      <c r="F625" t="e">
        <f ca="1">AVERAGEIFS('Region 26'!$W$2:$W$500,'Region 26'!$A$2:$A$500,F$1,'Region 26'!$X$2:$X$500,$D625,'Region 26'!$S$2:$S$500,$A625)</f>
        <v>#DIV/0!</v>
      </c>
      <c r="G625" t="e">
        <f ca="1">AVERAGEIFS('Region 26'!$W$2:$W$500,'Region 26'!$A$2:$A$500,G$1,'Region 26'!$X$2:$X$500,$D625,'Region 26'!$S$2:$S$500,$A625)</f>
        <v>#DIV/0!</v>
      </c>
      <c r="H625" t="e">
        <f ca="1">AVERAGEIFS('Region 26'!$W$2:$W$500,'Region 26'!$A$2:$A$500,H$1,'Region 26'!$X$2:$X$500,$D625,'Region 26'!$S$2:$S$500,$A625)</f>
        <v>#DIV/0!</v>
      </c>
      <c r="I625" t="e">
        <f ca="1">AVERAGEIFS('Region 26'!$W$2:$W$500,'Region 26'!$A$2:$A$500,I$1,'Region 26'!$X$2:$X$500,$D625,'Region 26'!$S$2:$S$500,$A625)</f>
        <v>#DIV/0!</v>
      </c>
      <c r="J625" t="e">
        <f ca="1">AVERAGEIFS('Region 26'!$W$2:$W$500,'Region 26'!$A$2:$A$500,J$1,'Region 26'!$X$2:$X$500,$D625,'Region 26'!$S$2:$S$500,$A625)</f>
        <v>#DIV/0!</v>
      </c>
      <c r="K625" t="e">
        <f ca="1">AVERAGEIFS('Region 26'!$W$2:$W$500,'Region 26'!$A$2:$A$500,K$1,'Region 26'!$X$2:$X$500,$D625,'Region 26'!$S$2:$S$500,$A625)</f>
        <v>#DIV/0!</v>
      </c>
      <c r="L625" t="e">
        <f ca="1">AVERAGEIFS('Region 26'!$W$2:$W$500,'Region 26'!$A$2:$A$500,L$1,'Region 26'!$X$2:$X$500,$D625,'Region 26'!$S$2:$S$500,$A625)</f>
        <v>#DIV/0!</v>
      </c>
      <c r="M625" t="e">
        <f ca="1">AVERAGEIFS('Region 26'!$W$2:$W$500,'Region 26'!$A$2:$A$500,M$1,'Region 26'!$X$2:$X$500,$D625,'Region 26'!$S$2:$S$500,$A625)</f>
        <v>#DIV/0!</v>
      </c>
      <c r="N625" t="e">
        <f ca="1">AVERAGEIFS('Region 26'!$W$2:$W$500,'Region 26'!$A$2:$A$500,N$1,'Region 26'!$X$2:$X$500,$D625,'Region 26'!$S$2:$S$500,$A625)</f>
        <v>#DIV/0!</v>
      </c>
      <c r="Q625" t="str">
        <f t="shared" si="612"/>
        <v>Glass</v>
      </c>
      <c r="R625" t="str">
        <f t="shared" si="613"/>
        <v>High-rise</v>
      </c>
      <c r="S625">
        <f t="shared" si="614"/>
        <v>26</v>
      </c>
      <c r="T625" t="str">
        <f t="shared" ca="1" si="594"/>
        <v>-</v>
      </c>
      <c r="U625" t="str">
        <f t="shared" ca="1" si="595"/>
        <v>-</v>
      </c>
      <c r="V625" t="str">
        <f t="shared" ca="1" si="596"/>
        <v>-</v>
      </c>
      <c r="W625" t="str">
        <f t="shared" ca="1" si="597"/>
        <v>-</v>
      </c>
      <c r="X625" t="str">
        <f t="shared" ca="1" si="598"/>
        <v>-</v>
      </c>
      <c r="Y625" t="str">
        <f t="shared" ca="1" si="599"/>
        <v>-</v>
      </c>
      <c r="Z625" t="str">
        <f t="shared" ca="1" si="600"/>
        <v>-</v>
      </c>
      <c r="AA625" t="str">
        <f t="shared" ca="1" si="601"/>
        <v>-</v>
      </c>
      <c r="AB625" t="str">
        <f t="shared" ca="1" si="602"/>
        <v>-</v>
      </c>
      <c r="AC625" t="str">
        <f t="shared" ca="1" si="603"/>
        <v>-</v>
      </c>
    </row>
    <row r="628" spans="1:29" x14ac:dyDescent="0.3">
      <c r="C628" t="s">
        <v>65</v>
      </c>
      <c r="G628" t="s">
        <v>30</v>
      </c>
      <c r="K628" t="s">
        <v>67</v>
      </c>
      <c r="O628" t="s">
        <v>414</v>
      </c>
      <c r="S628" t="s">
        <v>290</v>
      </c>
      <c r="W628" t="s">
        <v>437</v>
      </c>
    </row>
    <row r="629" spans="1:29" x14ac:dyDescent="0.3">
      <c r="C629" t="s">
        <v>892</v>
      </c>
      <c r="D629" t="s">
        <v>959</v>
      </c>
      <c r="E629" t="s">
        <v>960</v>
      </c>
      <c r="F629" t="s">
        <v>895</v>
      </c>
      <c r="G629" t="s">
        <v>892</v>
      </c>
      <c r="H629" t="s">
        <v>959</v>
      </c>
      <c r="I629" t="s">
        <v>960</v>
      </c>
      <c r="J629" t="s">
        <v>895</v>
      </c>
      <c r="K629" t="s">
        <v>892</v>
      </c>
      <c r="L629" t="s">
        <v>959</v>
      </c>
      <c r="M629" t="s">
        <v>960</v>
      </c>
      <c r="N629" t="s">
        <v>895</v>
      </c>
      <c r="O629" t="s">
        <v>892</v>
      </c>
      <c r="P629" t="s">
        <v>959</v>
      </c>
      <c r="Q629" t="s">
        <v>960</v>
      </c>
      <c r="R629" t="s">
        <v>895</v>
      </c>
      <c r="S629" t="s">
        <v>892</v>
      </c>
      <c r="T629" t="s">
        <v>959</v>
      </c>
      <c r="U629" t="s">
        <v>960</v>
      </c>
      <c r="V629" t="s">
        <v>895</v>
      </c>
      <c r="W629" t="s">
        <v>892</v>
      </c>
      <c r="X629" t="s">
        <v>959</v>
      </c>
      <c r="Y629" t="s">
        <v>960</v>
      </c>
      <c r="Z629" t="s">
        <v>895</v>
      </c>
    </row>
    <row r="630" spans="1:29" x14ac:dyDescent="0.3">
      <c r="B630" t="s">
        <v>891</v>
      </c>
      <c r="C630">
        <f ca="1">AVERAGE(T2:AC27)</f>
        <v>846.3285351556251</v>
      </c>
      <c r="D630">
        <f ca="1">AVERAGE(T28:AC53)</f>
        <v>1208.1312852136894</v>
      </c>
      <c r="E630">
        <f ca="1">AVERAGE(T54:AC79)</f>
        <v>995.91852899196533</v>
      </c>
      <c r="F630">
        <f ca="1">AVERAGE(T80:AC105)</f>
        <v>910.20572293435953</v>
      </c>
      <c r="G630">
        <f ca="1">AVERAGE(T106:AC131)</f>
        <v>32.629322892548593</v>
      </c>
      <c r="H630">
        <f ca="1">AVERAGE(T132:AC157)</f>
        <v>32.885954043697943</v>
      </c>
      <c r="I630">
        <f ca="1">AVERAGE(T158:AC183)</f>
        <v>97.359592534321166</v>
      </c>
      <c r="J630">
        <f ca="1">AVERAGE(T184:AC209)</f>
        <v>116.98211380575906</v>
      </c>
      <c r="K630">
        <f ca="1">AVERAGE(T210:AC235)</f>
        <v>53.069744949571479</v>
      </c>
      <c r="L630">
        <f ca="1">AVERAGE(T236:AC261)</f>
        <v>34.967952298701427</v>
      </c>
      <c r="M630">
        <f ca="1">AVERAGE(T262:AC287)</f>
        <v>37.165230158382208</v>
      </c>
      <c r="N630">
        <f ca="1">AVERAGE(T288:AC313)</f>
        <v>54.476766411717499</v>
      </c>
      <c r="O630">
        <f ca="1">AVERAGE(T314:AC339)</f>
        <v>1.7277705573587432</v>
      </c>
      <c r="P630">
        <f ca="1">AVERAGE(T340:AC365)</f>
        <v>7.8927836566725466E-3</v>
      </c>
      <c r="Q630">
        <f ca="1">AVERAGE(T366:AC391)</f>
        <v>0.30616553919116662</v>
      </c>
      <c r="R630">
        <f ca="1">AVERAGE(T392:AC417)</f>
        <v>1.3888888888888888E-2</v>
      </c>
      <c r="S630">
        <f ca="1">AVERAGE(T418:AC443)</f>
        <v>3.5634436415305828</v>
      </c>
      <c r="T630">
        <f ca="1">AVERAGE(T444:AC469)</f>
        <v>0.23425925925925928</v>
      </c>
      <c r="U630">
        <f ca="1">AVERAGE(T470:AC495)</f>
        <v>1.9419292556686842</v>
      </c>
      <c r="V630">
        <f ca="1">AVERAGE(T496:AC521)</f>
        <v>2.2022643021626074</v>
      </c>
      <c r="W630">
        <f ca="1">AVERAGE(T522:AC547)</f>
        <v>2.6766873055027003</v>
      </c>
      <c r="X630">
        <f ca="1">AVERAGE(T548:AC573)</f>
        <v>1.0714285714285714</v>
      </c>
      <c r="Y630">
        <f ca="1">AVERAGE(T574:AC599)</f>
        <v>6.3531755971641015</v>
      </c>
      <c r="Z630">
        <f ca="1">AVERAGE(T600:AC625)</f>
        <v>4.4237189028793136</v>
      </c>
    </row>
    <row r="631" spans="1:29" x14ac:dyDescent="0.3">
      <c r="B631" t="s">
        <v>961</v>
      </c>
      <c r="C631">
        <f ca="1">MEDIAN(T2:AC27)</f>
        <v>790.11232323232332</v>
      </c>
      <c r="D631">
        <f ca="1">MEDIAN(T28:AC53)</f>
        <v>1047.931623931624</v>
      </c>
      <c r="E631">
        <f ca="1">MEDIAN(T54:AC79)</f>
        <v>933</v>
      </c>
      <c r="F631">
        <f ca="1">MEDIAN(T80:AC105)</f>
        <v>927.62892874278396</v>
      </c>
      <c r="G631">
        <f ca="1">MEDIAN(T106:AC131)</f>
        <v>28.693750000000001</v>
      </c>
      <c r="H631">
        <f ca="1">MEDIAN(T132:AC157)</f>
        <v>35.583664021164019</v>
      </c>
      <c r="I631">
        <f ca="1">MEDIAN(T158:AC183)</f>
        <v>49.412515964240107</v>
      </c>
      <c r="J631">
        <f ca="1">MEDIAN(T184:AC209)</f>
        <v>81.331100616505807</v>
      </c>
      <c r="K631">
        <f ca="1">MEDIAN(T210:AC235)</f>
        <v>40.705857692307688</v>
      </c>
      <c r="L631">
        <f ca="1">MEDIAN(T236:AC261)</f>
        <v>40</v>
      </c>
      <c r="M631">
        <f ca="1">MEDIAN(T262:AC287)</f>
        <v>22.474076420614232</v>
      </c>
      <c r="N631">
        <f ca="1">MEDIAN(T288:AC313)</f>
        <v>20.059444444444445</v>
      </c>
      <c r="O631">
        <f ca="1">MEDIAN(T314:AC339)</f>
        <v>0.76585365853658538</v>
      </c>
      <c r="P631" s="114">
        <f ca="1">MEDIAN(T340:AC365)</f>
        <v>7.8927836566725466E-3</v>
      </c>
      <c r="Q631">
        <f ca="1">MEDIAN(T366:AC391)</f>
        <v>0.25380250539330323</v>
      </c>
      <c r="R631" s="114">
        <f ca="1">MEDIAN(T392:AC417)</f>
        <v>1.3888888888888888E-2</v>
      </c>
      <c r="S631">
        <f ca="1">MEDIAN(T418:AC443)</f>
        <v>1.5</v>
      </c>
      <c r="T631" s="114">
        <f ca="1">MEDIAN(T444:AC469)</f>
        <v>0.23425925925925928</v>
      </c>
      <c r="U631">
        <f ca="1">MEDIAN(T470:AC495)</f>
        <v>0.46362440546153844</v>
      </c>
      <c r="V631">
        <f ca="1">MEDIAN(T496:AC521)</f>
        <v>2.523691975022933</v>
      </c>
      <c r="W631">
        <f ca="1">MEDIAN(T522:AC547)</f>
        <v>2.1958041958041958</v>
      </c>
      <c r="X631" s="114">
        <f ca="1">MEDIAN(T548:AC573)</f>
        <v>1.0714285714285714</v>
      </c>
      <c r="Y631">
        <f ca="1">MEDIAN(T574:AC599)</f>
        <v>3.5</v>
      </c>
      <c r="Z631">
        <f ca="1">MEDIAN(T600:AC625)</f>
        <v>2.7777777777777777</v>
      </c>
    </row>
    <row r="632" spans="1:29" x14ac:dyDescent="0.3">
      <c r="B632" t="s">
        <v>962</v>
      </c>
      <c r="C632">
        <f ca="1">MEDIAN(T2:AC27)</f>
        <v>790.11232323232332</v>
      </c>
      <c r="D632">
        <f ca="1">MEDIAN(T28:AC53)</f>
        <v>1047.931623931624</v>
      </c>
      <c r="E632">
        <f ca="1">MEDIAN(T54:AC79)</f>
        <v>933</v>
      </c>
      <c r="F632">
        <f ca="1">MEDIAN(T80:AC105)</f>
        <v>927.62892874278396</v>
      </c>
      <c r="G632">
        <f ca="1">MEDIAN(T106:AC131)</f>
        <v>28.693750000000001</v>
      </c>
      <c r="H632">
        <f ca="1">MEDIAN(T132:AC157)</f>
        <v>35.583664021164019</v>
      </c>
      <c r="I632">
        <f ca="1">MEDIAN(T158:AC183)</f>
        <v>49.412515964240107</v>
      </c>
      <c r="J632">
        <f ca="1">MEDIAN(T184:AC209)</f>
        <v>81.331100616505807</v>
      </c>
      <c r="K632">
        <f ca="1">MEDIAN(T210:AC235)</f>
        <v>40.705857692307688</v>
      </c>
      <c r="L632">
        <f ca="1">MEDIAN(T236:AC261)</f>
        <v>40</v>
      </c>
      <c r="M632">
        <f ca="1">MEDIAN(T262:AC287)</f>
        <v>22.474076420614232</v>
      </c>
      <c r="N632">
        <f ca="1">MEDIAN(T288:AC313)</f>
        <v>20.059444444444445</v>
      </c>
      <c r="O632">
        <f ca="1">MEDIAN(T314:AC339)</f>
        <v>0.76585365853658538</v>
      </c>
      <c r="P632" s="110">
        <v>20</v>
      </c>
      <c r="Q632">
        <f ca="1">MEDIAN(T366:AC391)</f>
        <v>0.25380250539330323</v>
      </c>
      <c r="R632" s="110">
        <v>20</v>
      </c>
      <c r="S632">
        <f ca="1">MEDIAN(T418:AC443)</f>
        <v>1.5</v>
      </c>
      <c r="T632" s="110">
        <v>20</v>
      </c>
      <c r="U632">
        <f ca="1">MEDIAN(T470:AC495)</f>
        <v>0.46362440546153844</v>
      </c>
      <c r="V632">
        <f ca="1">MEDIAN(T496:AC521)</f>
        <v>2.523691975022933</v>
      </c>
      <c r="W632">
        <f ca="1">MEDIAN(T522:AC547)</f>
        <v>2.1958041958041958</v>
      </c>
      <c r="X632" s="110">
        <v>20</v>
      </c>
      <c r="Y632">
        <f ca="1">MEDIAN(T574:AC599)</f>
        <v>3.5</v>
      </c>
      <c r="Z632">
        <f ca="1">MEDIAN(T600:AC625)</f>
        <v>2.7777777777777777</v>
      </c>
    </row>
    <row r="633" spans="1:29" x14ac:dyDescent="0.3">
      <c r="B633" t="s">
        <v>889</v>
      </c>
      <c r="C633">
        <f ca="1">MIN(T2:AC27)</f>
        <v>25.775000000000002</v>
      </c>
      <c r="D633">
        <f ca="1">MIN(T28:AC53)</f>
        <v>462.52777777777783</v>
      </c>
      <c r="E633">
        <f ca="1">MIN(T54:AC79)</f>
        <v>47.515166079615383</v>
      </c>
      <c r="F633">
        <f ca="1">MIN(T80:AC105)</f>
        <v>170.00781924072476</v>
      </c>
      <c r="G633">
        <f ca="1">MIN(T106:AC131)</f>
        <v>2.7029864063402087</v>
      </c>
      <c r="H633">
        <f ca="1">MIN(T132:AC157)</f>
        <v>24.632478632478634</v>
      </c>
      <c r="I633">
        <f ca="1">MIN(T158:AC183)</f>
        <v>1.2367070375137466</v>
      </c>
      <c r="J633">
        <f ca="1">MIN(T184:AC209)</f>
        <v>24.847222222222218</v>
      </c>
      <c r="K633">
        <f ca="1">MIN(T210:AC235)</f>
        <v>5.8055555555555554</v>
      </c>
      <c r="L633">
        <f ca="1">MIN(T236:AC261)</f>
        <v>9.7948717948717956</v>
      </c>
      <c r="M633">
        <f ca="1">MIN(T262:AC287)</f>
        <v>2.7</v>
      </c>
      <c r="N633">
        <f ca="1">MIN(T288:AC313)</f>
        <v>2.5379298417204401</v>
      </c>
      <c r="O633">
        <f ca="1">MIN(T314:AC339)</f>
        <v>6.7340067340067337E-3</v>
      </c>
      <c r="P633">
        <f ca="1">MIN(T340:AC365)</f>
        <v>7.8927836566725466E-3</v>
      </c>
      <c r="Q633">
        <f ca="1">MIN(T366:AC391)</f>
        <v>7.9821200510855686E-3</v>
      </c>
      <c r="R633">
        <f ca="1">MIN(T392:AC417)</f>
        <v>1.3888888888888888E-2</v>
      </c>
      <c r="S633">
        <f ca="1">MIN(T418:AC443)</f>
        <v>0.35718616384696095</v>
      </c>
      <c r="T633">
        <f ca="1">MIN(T444:AC469)</f>
        <v>0.23425925925925928</v>
      </c>
      <c r="U633">
        <f ca="1">MIN(T470:AC495)</f>
        <v>0.44000000000000006</v>
      </c>
      <c r="V633">
        <f ca="1">MIN(T496:AC521)</f>
        <v>0.32941176470588235</v>
      </c>
      <c r="W633">
        <f ca="1">MIN(T522:AC547)</f>
        <v>3.5481853116641308E-2</v>
      </c>
      <c r="X633">
        <f ca="1">MIN(T548:AC573)</f>
        <v>1.0714285714285714</v>
      </c>
      <c r="Y633">
        <f ca="1">MIN(T574:AC599)</f>
        <v>0.78</v>
      </c>
      <c r="Z633">
        <f ca="1">MIN(T600:AC625)</f>
        <v>0.66333333333333344</v>
      </c>
    </row>
    <row r="634" spans="1:29" x14ac:dyDescent="0.3">
      <c r="B634" t="s">
        <v>890</v>
      </c>
      <c r="C634">
        <f ca="1">MAX(T2:AC27)</f>
        <v>3062.4073569894426</v>
      </c>
      <c r="D634">
        <f ca="1">MAX(T28:AC53)</f>
        <v>2729.510388437217</v>
      </c>
      <c r="E634">
        <f ca="1">MAX(T54:AC79)</f>
        <v>2319.1767296456533</v>
      </c>
      <c r="F634">
        <f ca="1">MAX(T80:AC105)</f>
        <v>1871</v>
      </c>
      <c r="G634">
        <f ca="1">MAX(T106:AC131)</f>
        <v>102.55316574401792</v>
      </c>
      <c r="H634">
        <f ca="1">MAX(T132:AC157)</f>
        <v>39.285714285714285</v>
      </c>
      <c r="I634">
        <f ca="1">MAX(T158:AC183)</f>
        <v>374.29826628717143</v>
      </c>
      <c r="J634">
        <f ca="1">MAX(T184:AC209)</f>
        <v>427</v>
      </c>
      <c r="K634">
        <f ca="1">MAX(T210:AC235)</f>
        <v>145.88293650793651</v>
      </c>
      <c r="L634">
        <f ca="1">MAX(T236:AC261)</f>
        <v>54.654471544715449</v>
      </c>
      <c r="M634">
        <f ca="1">MAX(T262:AC287)</f>
        <v>102</v>
      </c>
      <c r="N634">
        <f ca="1">MAX(T288:AC313)</f>
        <v>280.66615943866765</v>
      </c>
      <c r="O634">
        <f ca="1">MAX(T314:AC339)</f>
        <v>9</v>
      </c>
      <c r="P634">
        <f ca="1">MAX(T340:AC365)</f>
        <v>7.8927836566725466E-3</v>
      </c>
      <c r="Q634">
        <f ca="1">MAX(T366:AC391)</f>
        <v>0.73282654568780448</v>
      </c>
      <c r="R634">
        <f ca="1">MAX(T392:AC417)</f>
        <v>1.3888888888888888E-2</v>
      </c>
      <c r="S634">
        <f ca="1">MAX(T418:AC443)</f>
        <v>14.454143521142729</v>
      </c>
      <c r="T634">
        <f ca="1">MAX(T444:AC469)</f>
        <v>0.23425925925925928</v>
      </c>
      <c r="U634">
        <f ca="1">MAX(T470:AC495)</f>
        <v>4.9221633615445137</v>
      </c>
      <c r="V634">
        <f ca="1">MAX(T496:AC521)</f>
        <v>3.4322614938986815</v>
      </c>
      <c r="W634">
        <f ca="1">MAX(T522:AC547)</f>
        <v>7.816905474203538</v>
      </c>
      <c r="X634">
        <f ca="1">MAX(T548:AC573)</f>
        <v>1.0714285714285714</v>
      </c>
      <c r="Y634">
        <f ca="1">MAX(T574:AC599)</f>
        <v>21.019211319153843</v>
      </c>
      <c r="Z634">
        <f ca="1">MAX(T600:AC625)</f>
        <v>12.543622491118679</v>
      </c>
    </row>
    <row r="635" spans="1:29" x14ac:dyDescent="0.3">
      <c r="B635" t="s">
        <v>896</v>
      </c>
      <c r="C635">
        <f ca="1">STDEV(T2:AC27)</f>
        <v>727.64681476585815</v>
      </c>
      <c r="D635">
        <f ca="1">STDEV(T28:AC53)</f>
        <v>727.50959720893843</v>
      </c>
      <c r="E635">
        <f ca="1">STDEV(T54:AC79)</f>
        <v>650.84564527500368</v>
      </c>
      <c r="F635">
        <f ca="1">STDEV(T80:AC105)</f>
        <v>463.72388947968074</v>
      </c>
      <c r="G635">
        <f ca="1">STDEV(T106:AC131)</f>
        <v>25.326276727006768</v>
      </c>
      <c r="H635">
        <f ca="1">STDEV(T132:AC157)</f>
        <v>6.6411639525335797</v>
      </c>
      <c r="I635">
        <f ca="1">STDEV(T158:AC183)</f>
        <v>118.50204858205092</v>
      </c>
      <c r="J635">
        <f ca="1">STDEV(T184:AC209)</f>
        <v>103.87857828858688</v>
      </c>
      <c r="K635">
        <f ca="1">STDEV(T210:AC235)</f>
        <v>35.654969633447031</v>
      </c>
      <c r="L635">
        <f ca="1">STDEV(T236:AC261)</f>
        <v>16.969264751497413</v>
      </c>
      <c r="M635">
        <f ca="1">STDEV(T262:AC287)</f>
        <v>33.886462678729117</v>
      </c>
      <c r="N635">
        <f ca="1">STDEV(T288:AC313)</f>
        <v>80.132638681646043</v>
      </c>
      <c r="O635">
        <f ca="1">STDEV(T314:AC339)</f>
        <v>2.6757618211521206</v>
      </c>
      <c r="P635" s="110">
        <v>0</v>
      </c>
      <c r="Q635">
        <f ca="1">STDEV(T366:AC391)</f>
        <v>0.27677869995031179</v>
      </c>
      <c r="R635" s="110">
        <v>0</v>
      </c>
      <c r="S635">
        <f ca="1">STDEV(T418:AC443)</f>
        <v>4.3051892818465411</v>
      </c>
      <c r="T635" s="110">
        <v>0</v>
      </c>
      <c r="U635">
        <f ca="1">STDEV(T470:AC495)</f>
        <v>2.5809854750661581</v>
      </c>
      <c r="V635">
        <f ca="1">STDEV(T496:AC521)</f>
        <v>1.3875167009090221</v>
      </c>
      <c r="W635">
        <f ca="1">STDEV(T522:AC547)</f>
        <v>2.065679100711121</v>
      </c>
      <c r="X635" s="110">
        <v>0</v>
      </c>
      <c r="Y635">
        <f ca="1">STDEV(T574:AC599)</f>
        <v>8.3347048750243058</v>
      </c>
      <c r="Z635">
        <f ca="1">STDEV(T600:AC625)</f>
        <v>3.9813037177554302</v>
      </c>
    </row>
    <row r="636" spans="1:29" x14ac:dyDescent="0.3">
      <c r="B636" t="s">
        <v>900</v>
      </c>
      <c r="C636">
        <f ca="1">COUNT(T2:AC27)</f>
        <v>33</v>
      </c>
      <c r="D636">
        <f ca="1">COUNT(T28:AC53)</f>
        <v>7</v>
      </c>
      <c r="E636">
        <f ca="1">COUNT(T54:AC79)</f>
        <v>13</v>
      </c>
      <c r="F636">
        <f ca="1">COUNT(T80:AC105)</f>
        <v>18</v>
      </c>
      <c r="G636">
        <f ca="1">COUNT(T106:AC131)</f>
        <v>26</v>
      </c>
      <c r="H636">
        <f ca="1">COUNT(T132:AC157)</f>
        <v>5</v>
      </c>
      <c r="I636">
        <f ca="1">COUNT(T158:AC183)</f>
        <v>13</v>
      </c>
      <c r="J636">
        <f ca="1">COUNT(T184:AC209)</f>
        <v>15</v>
      </c>
      <c r="K636">
        <f ca="1">COUNT(T210:AC235)</f>
        <v>32</v>
      </c>
      <c r="L636">
        <f ca="1">COUNT(T236:AC261)</f>
        <v>7</v>
      </c>
      <c r="M636">
        <f ca="1">COUNT(T262:AC287)</f>
        <v>10</v>
      </c>
      <c r="N636">
        <f ca="1">COUNT(T288:AC313)</f>
        <v>12</v>
      </c>
      <c r="O636">
        <f ca="1">COUNT(T314:AC339)</f>
        <v>11</v>
      </c>
      <c r="P636">
        <f ca="1">COUNT(T340:AC365)</f>
        <v>1</v>
      </c>
      <c r="Q636">
        <f ca="1">COUNT(T366:AC391)</f>
        <v>5</v>
      </c>
      <c r="R636">
        <f ca="1">COUNT(T392:AC417)</f>
        <v>1</v>
      </c>
      <c r="S636">
        <f ca="1">COUNT(T418:AC443)</f>
        <v>13</v>
      </c>
      <c r="T636">
        <f ca="1">COUNT(T444:AC469)</f>
        <v>1</v>
      </c>
      <c r="U636">
        <f ca="1">COUNT(T470:AC495)</f>
        <v>3</v>
      </c>
      <c r="V636">
        <f ca="1">COUNT(T496:AC521)</f>
        <v>4</v>
      </c>
      <c r="W636">
        <f ca="1">COUNT(T522:AC547)</f>
        <v>17</v>
      </c>
      <c r="X636">
        <f ca="1">COUNT(T548:AC573)</f>
        <v>1</v>
      </c>
      <c r="Y636">
        <f ca="1">COUNT(T574:AC599)</f>
        <v>5</v>
      </c>
      <c r="Z636">
        <f ca="1">COUNT(T600:AC625)</f>
        <v>10</v>
      </c>
    </row>
    <row r="637" spans="1:29" x14ac:dyDescent="0.3">
      <c r="B637" t="s">
        <v>901</v>
      </c>
      <c r="C637">
        <f ca="1">C634-C630</f>
        <v>2216.0788218338175</v>
      </c>
      <c r="D637">
        <f t="shared" ref="D637:Z637" ca="1" si="652">D634-D630</f>
        <v>1521.3791032235276</v>
      </c>
      <c r="E637">
        <f t="shared" ca="1" si="652"/>
        <v>1323.2582006536879</v>
      </c>
      <c r="F637">
        <f t="shared" ca="1" si="652"/>
        <v>960.79427706564047</v>
      </c>
      <c r="G637">
        <f t="shared" ca="1" si="652"/>
        <v>69.923842851469317</v>
      </c>
      <c r="H637">
        <f t="shared" ca="1" si="652"/>
        <v>6.3997602420163417</v>
      </c>
      <c r="I637">
        <f t="shared" ca="1" si="652"/>
        <v>276.93867375285026</v>
      </c>
      <c r="J637">
        <f t="shared" ca="1" si="652"/>
        <v>310.01788619424093</v>
      </c>
      <c r="K637">
        <f t="shared" ca="1" si="652"/>
        <v>92.81319155836502</v>
      </c>
      <c r="L637">
        <f t="shared" ca="1" si="652"/>
        <v>19.686519246014022</v>
      </c>
      <c r="M637">
        <f t="shared" ca="1" si="652"/>
        <v>64.834769841617799</v>
      </c>
      <c r="N637">
        <f t="shared" ca="1" si="652"/>
        <v>226.18939302695014</v>
      </c>
      <c r="O637">
        <f t="shared" ca="1" si="652"/>
        <v>7.2722294426412564</v>
      </c>
      <c r="P637">
        <f t="shared" ca="1" si="652"/>
        <v>0</v>
      </c>
      <c r="Q637">
        <f t="shared" ca="1" si="652"/>
        <v>0.42666100649663785</v>
      </c>
      <c r="R637">
        <f t="shared" ca="1" si="652"/>
        <v>0</v>
      </c>
      <c r="S637">
        <f t="shared" ca="1" si="652"/>
        <v>10.890699879612146</v>
      </c>
      <c r="T637">
        <f t="shared" ca="1" si="652"/>
        <v>0</v>
      </c>
      <c r="U637">
        <f t="shared" ca="1" si="652"/>
        <v>2.9802341058758293</v>
      </c>
      <c r="V637">
        <f t="shared" ca="1" si="652"/>
        <v>1.2299971917360741</v>
      </c>
      <c r="W637">
        <f t="shared" ca="1" si="652"/>
        <v>5.1402181687008373</v>
      </c>
      <c r="X637">
        <f t="shared" ca="1" si="652"/>
        <v>0</v>
      </c>
      <c r="Y637">
        <f t="shared" ca="1" si="652"/>
        <v>14.666035721989742</v>
      </c>
      <c r="Z637">
        <f t="shared" ca="1" si="652"/>
        <v>8.1199035882393655</v>
      </c>
    </row>
    <row r="638" spans="1:29" x14ac:dyDescent="0.3">
      <c r="B638" t="s">
        <v>902</v>
      </c>
      <c r="C638">
        <f ca="1">C630-C633</f>
        <v>820.55353515562513</v>
      </c>
      <c r="D638">
        <f t="shared" ref="D638:Z638" ca="1" si="653">D630-D633</f>
        <v>745.60350743591152</v>
      </c>
      <c r="E638">
        <f t="shared" ca="1" si="653"/>
        <v>948.40336291234996</v>
      </c>
      <c r="F638">
        <f t="shared" ca="1" si="653"/>
        <v>740.19790369363477</v>
      </c>
      <c r="G638">
        <f t="shared" ca="1" si="653"/>
        <v>29.926336486208385</v>
      </c>
      <c r="H638">
        <f t="shared" ca="1" si="653"/>
        <v>8.2534754112193092</v>
      </c>
      <c r="I638">
        <f t="shared" ca="1" si="653"/>
        <v>96.122885496807413</v>
      </c>
      <c r="J638">
        <f t="shared" ca="1" si="653"/>
        <v>92.134891583536842</v>
      </c>
      <c r="K638">
        <f t="shared" ca="1" si="653"/>
        <v>47.264189394015922</v>
      </c>
      <c r="L638">
        <f t="shared" ca="1" si="653"/>
        <v>25.173080503829631</v>
      </c>
      <c r="M638">
        <f t="shared" ca="1" si="653"/>
        <v>34.465230158382205</v>
      </c>
      <c r="N638">
        <f t="shared" ca="1" si="653"/>
        <v>51.938836569997058</v>
      </c>
      <c r="O638">
        <f t="shared" ca="1" si="653"/>
        <v>1.7210365506247365</v>
      </c>
      <c r="P638">
        <f t="shared" ca="1" si="653"/>
        <v>0</v>
      </c>
      <c r="Q638">
        <f t="shared" ca="1" si="653"/>
        <v>0.29818341914008106</v>
      </c>
      <c r="R638">
        <f t="shared" ca="1" si="653"/>
        <v>0</v>
      </c>
      <c r="S638">
        <f t="shared" ca="1" si="653"/>
        <v>3.2062574776836219</v>
      </c>
      <c r="T638">
        <f t="shared" ca="1" si="653"/>
        <v>0</v>
      </c>
      <c r="U638">
        <f t="shared" ca="1" si="653"/>
        <v>1.5019292556686841</v>
      </c>
      <c r="V638">
        <f t="shared" ca="1" si="653"/>
        <v>1.8728525374567251</v>
      </c>
      <c r="W638">
        <f t="shared" ca="1" si="653"/>
        <v>2.6412054523860591</v>
      </c>
      <c r="X638">
        <f t="shared" ca="1" si="653"/>
        <v>0</v>
      </c>
      <c r="Y638">
        <f t="shared" ca="1" si="653"/>
        <v>5.5731755971641013</v>
      </c>
      <c r="Z638">
        <f t="shared" ca="1" si="653"/>
        <v>3.76038556954598</v>
      </c>
    </row>
    <row r="640" spans="1:29" x14ac:dyDescent="0.3">
      <c r="C640">
        <f t="shared" ref="C640:Z640" ca="1" si="654">C642-C630</f>
        <v>256.43572939463979</v>
      </c>
      <c r="D640">
        <f t="shared" ca="1" si="654"/>
        <v>86.090937008532819</v>
      </c>
      <c r="E640">
        <f t="shared" ca="1" si="654"/>
        <v>374.27128918985341</v>
      </c>
      <c r="F640">
        <f t="shared" ca="1" si="654"/>
        <v>223.82249777015977</v>
      </c>
      <c r="G640">
        <f t="shared" ca="1" si="654"/>
        <v>14.710859755853228</v>
      </c>
      <c r="H640">
        <f t="shared" ca="1" si="654"/>
        <v>5.3135194367511431</v>
      </c>
      <c r="I640">
        <f t="shared" ca="1" si="654"/>
        <v>9.0047576734449848</v>
      </c>
      <c r="J640">
        <f t="shared" ca="1" si="654"/>
        <v>29.185406086868724</v>
      </c>
      <c r="K640">
        <f t="shared" ca="1" si="654"/>
        <v>28.37477311925597</v>
      </c>
      <c r="L640">
        <f t="shared" ca="1" si="654"/>
        <v>15.468343997594879</v>
      </c>
      <c r="M640">
        <f t="shared" ca="1" si="654"/>
        <v>29.981898973343057</v>
      </c>
      <c r="N640">
        <f t="shared" ca="1" si="654"/>
        <v>16.023969998507205</v>
      </c>
      <c r="O640">
        <f t="shared" ca="1" si="654"/>
        <v>0.67352115415901759</v>
      </c>
      <c r="P640">
        <f t="shared" ca="1" si="654"/>
        <v>0</v>
      </c>
      <c r="Q640">
        <f t="shared" ca="1" si="654"/>
        <v>0.15259489189761388</v>
      </c>
      <c r="R640">
        <f t="shared" ca="1" si="654"/>
        <v>0</v>
      </c>
      <c r="S640">
        <f t="shared" ca="1" si="654"/>
        <v>1.6010097267533494</v>
      </c>
      <c r="T640">
        <f t="shared" ca="1" si="654"/>
        <v>0</v>
      </c>
      <c r="U640">
        <f t="shared" ca="1" si="654"/>
        <v>1.1968185234426396</v>
      </c>
      <c r="V640">
        <f t="shared" ca="1" si="654"/>
        <v>0.99907066542438505</v>
      </c>
      <c r="W640">
        <f t="shared" ca="1" si="654"/>
        <v>1.5802366582180816</v>
      </c>
      <c r="X640">
        <f t="shared" ca="1" si="654"/>
        <v>0</v>
      </c>
      <c r="Y640">
        <f t="shared" ca="1" si="654"/>
        <v>1.5840000000000032</v>
      </c>
      <c r="Z640">
        <f t="shared" ca="1" si="654"/>
        <v>3.0797756554212921</v>
      </c>
    </row>
    <row r="641" spans="1:26" x14ac:dyDescent="0.3">
      <c r="A641">
        <v>0.2</v>
      </c>
      <c r="B641" t="s">
        <v>906</v>
      </c>
      <c r="C641">
        <f ca="1">_xlfn.PERCENTILE.INC(T2:AC27,A641)</f>
        <v>246.32796224404763</v>
      </c>
      <c r="D641">
        <f ca="1">_xlfn.PERCENTILE.INC(T28:AC53,A641)</f>
        <v>815.75619047619045</v>
      </c>
      <c r="E641">
        <f ca="1">_xlfn.PERCENTILE.INC(T54:AC79,A641)</f>
        <v>585.94433862433868</v>
      </c>
      <c r="F641">
        <f ca="1">_xlfn.PERCENTILE.INC(T80:AC105,A641)</f>
        <v>568.80755555555561</v>
      </c>
      <c r="G641">
        <f ca="1">_xlfn.PERCENTILE.INC(T106:AC131,A641)</f>
        <v>8.9345216411166355</v>
      </c>
      <c r="H641">
        <f ca="1">_xlfn.PERCENTILE.INC(T132:AC157,A641)</f>
        <v>26.526495726495728</v>
      </c>
      <c r="I641">
        <f ca="1">_xlfn.PERCENTILE.INC(T158:AC183,A641)</f>
        <v>29.615037037037041</v>
      </c>
      <c r="J641">
        <f ca="1">_xlfn.PERCENTILE.INC(T184:AC209,A641)</f>
        <v>45.685609105474747</v>
      </c>
      <c r="K641">
        <f ca="1">_xlfn.PERCENTILE.INC(T210:AC235,A641)</f>
        <v>23.68972602739726</v>
      </c>
      <c r="L641">
        <f ca="1">_xlfn.PERCENTILE.INC(T236:AC261,A641)</f>
        <v>20.041666666666668</v>
      </c>
      <c r="M641">
        <f ca="1">_xlfn.PERCENTILE.INC(T262:AC287,A641)</f>
        <v>10.918545454545455</v>
      </c>
      <c r="N641">
        <f ca="1">_xlfn.PERCENTILE.INC(T288:AC313,A641)</f>
        <v>8.6521346153846164</v>
      </c>
      <c r="O641">
        <f ca="1">_xlfn.PERCENTILE.INC(T314:AC339,A641)</f>
        <v>0.20370370370370369</v>
      </c>
      <c r="P641">
        <f ca="1">_xlfn.PERCENTILE.INC(T340:AC365,A641)</f>
        <v>7.8927836566725466E-3</v>
      </c>
      <c r="Q641">
        <f ca="1">_xlfn.PERCENTILE.INC(T366:AC391,A641)</f>
        <v>0.11837452191790943</v>
      </c>
      <c r="R641">
        <f ca="1">_xlfn.PERCENTILE.INC(T392:AC417,A641)</f>
        <v>1.3888888888888888E-2</v>
      </c>
      <c r="S641">
        <f ca="1">_xlfn.PERCENTILE.INC(T418:AC443,A641)</f>
        <v>0.98811023835603506</v>
      </c>
      <c r="T641">
        <f ca="1">_xlfn.PERCENTILE.INC(T444:AC469,A641)</f>
        <v>0.23425925925925928</v>
      </c>
      <c r="U641">
        <f ca="1">_xlfn.PERCENTILE.INC(T470:AC495,A641)</f>
        <v>0.44944976218461541</v>
      </c>
      <c r="V641">
        <f ca="1">_xlfn.PERCENTILE.INC(T496:AC521,A641)</f>
        <v>1.331764705882353</v>
      </c>
      <c r="W641">
        <f ca="1">_xlfn.PERCENTILE.INC(T522:AC547,A641)</f>
        <v>0.89665517241379322</v>
      </c>
      <c r="X641">
        <f ca="1">_xlfn.PERCENTILE.INC(T548:AC573,A641)</f>
        <v>1.0714285714285714</v>
      </c>
      <c r="Y641">
        <f ca="1">_xlfn.PERCENTILE.INC(T574:AC599,A641)</f>
        <v>1.5960000000000001</v>
      </c>
      <c r="Z641">
        <f ca="1">_xlfn.PERCENTILE.INC(T600:AC625,A641)</f>
        <v>1.1031473102061335</v>
      </c>
    </row>
    <row r="642" spans="1:26" x14ac:dyDescent="0.3">
      <c r="A642">
        <v>0.8</v>
      </c>
      <c r="B642" t="s">
        <v>906</v>
      </c>
      <c r="C642">
        <f ca="1">_xlfn.PERCENTILE.INC(T2:AC27,A642)</f>
        <v>1102.7642645502649</v>
      </c>
      <c r="D642">
        <f ca="1">_xlfn.PERCENTILE.INC(T28:AC53,A642)</f>
        <v>1294.2222222222222</v>
      </c>
      <c r="E642">
        <f ca="1">_xlfn.PERCENTILE.INC(T54:AC79,A642)</f>
        <v>1370.1898181818187</v>
      </c>
      <c r="F642">
        <f ca="1">_xlfn.PERCENTILE.INC(T80:AC105,A642)</f>
        <v>1134.0282207045193</v>
      </c>
      <c r="G642">
        <f ca="1">_xlfn.PERCENTILE.INC(T106:AC131,A642)</f>
        <v>47.340182648401822</v>
      </c>
      <c r="H642">
        <f ca="1">_xlfn.PERCENTILE.INC(T132:AC157,A642)</f>
        <v>38.199473480449086</v>
      </c>
      <c r="I642">
        <f ca="1">_xlfn.PERCENTILE.INC(T158:AC183,A642)</f>
        <v>106.36435020776615</v>
      </c>
      <c r="J642">
        <f ca="1">_xlfn.PERCENTILE.INC(T184:AC209,A642)</f>
        <v>146.16751989262778</v>
      </c>
      <c r="K642">
        <f ca="1">_xlfn.PERCENTILE.INC(T210:AC235,A642)</f>
        <v>81.444518068827449</v>
      </c>
      <c r="L642">
        <f ca="1">_xlfn.PERCENTILE.INC(T236:AC261,A642)</f>
        <v>50.436296296296305</v>
      </c>
      <c r="M642">
        <f ca="1">_xlfn.PERCENTILE.INC(T262:AC287,A642)</f>
        <v>67.147129131725265</v>
      </c>
      <c r="N642">
        <f ca="1">_xlfn.PERCENTILE.INC(T288:AC313,A642)</f>
        <v>70.500736410224704</v>
      </c>
      <c r="O642">
        <f ca="1">_xlfn.PERCENTILE.INC(T314:AC339,A642)</f>
        <v>2.4012917115177608</v>
      </c>
      <c r="P642">
        <f ca="1">_xlfn.PERCENTILE.INC(T340:AC365,A642)</f>
        <v>7.8927836566725466E-3</v>
      </c>
      <c r="Q642">
        <f ca="1">_xlfn.PERCENTILE.INC(T366:AC391,A642)</f>
        <v>0.45876043108878051</v>
      </c>
      <c r="R642">
        <f ca="1">_xlfn.PERCENTILE.INC(T392:AC417,A642)</f>
        <v>1.3888888888888888E-2</v>
      </c>
      <c r="S642">
        <f ca="1">_xlfn.PERCENTILE.INC(T418:AC443,A642)</f>
        <v>5.1644533682839322</v>
      </c>
      <c r="T642">
        <f ca="1">_xlfn.PERCENTILE.INC(T444:AC469,A642)</f>
        <v>0.23425925925925928</v>
      </c>
      <c r="U642">
        <f ca="1">_xlfn.PERCENTILE.INC(T470:AC495,A642)</f>
        <v>3.1387477791113239</v>
      </c>
      <c r="V642">
        <f ca="1">_xlfn.PERCENTILE.INC(T496:AC521,A642)</f>
        <v>3.2013349675869924</v>
      </c>
      <c r="W642">
        <f ca="1">_xlfn.PERCENTILE.INC(T522:AC547,A642)</f>
        <v>4.2569239637207819</v>
      </c>
      <c r="X642">
        <f ca="1">_xlfn.PERCENTILE.INC(T548:AC573,A642)</f>
        <v>1.0714285714285714</v>
      </c>
      <c r="Y642">
        <f ca="1">_xlfn.PERCENTILE.INC(T574:AC599,A642)</f>
        <v>7.9371755971641047</v>
      </c>
      <c r="Z642">
        <f ca="1">_xlfn.PERCENTILE.INC(T600:AC625,A642)</f>
        <v>7.5034945583006056</v>
      </c>
    </row>
    <row r="643" spans="1:26" x14ac:dyDescent="0.3">
      <c r="B643" t="s">
        <v>905</v>
      </c>
      <c r="C643">
        <f ca="1">C642-C641</f>
        <v>856.43630230621727</v>
      </c>
      <c r="D643">
        <f t="shared" ref="D643:Z643" ca="1" si="655">D642-D641</f>
        <v>478.46603174603172</v>
      </c>
      <c r="E643">
        <f t="shared" ca="1" si="655"/>
        <v>784.24547955748005</v>
      </c>
      <c r="F643">
        <f t="shared" ca="1" si="655"/>
        <v>565.22066514896369</v>
      </c>
      <c r="G643">
        <f t="shared" ca="1" si="655"/>
        <v>38.40566100728519</v>
      </c>
      <c r="H643">
        <f t="shared" ca="1" si="655"/>
        <v>11.672977753953358</v>
      </c>
      <c r="I643">
        <f t="shared" ca="1" si="655"/>
        <v>76.74931317072911</v>
      </c>
      <c r="J643">
        <f t="shared" ca="1" si="655"/>
        <v>100.48191078715303</v>
      </c>
      <c r="K643">
        <f t="shared" ca="1" si="655"/>
        <v>57.754792041430193</v>
      </c>
      <c r="L643">
        <f t="shared" ca="1" si="655"/>
        <v>30.394629629629637</v>
      </c>
      <c r="M643">
        <f t="shared" ca="1" si="655"/>
        <v>56.228583677179813</v>
      </c>
      <c r="N643">
        <f t="shared" ca="1" si="655"/>
        <v>61.848601794840086</v>
      </c>
      <c r="O643">
        <f t="shared" ca="1" si="655"/>
        <v>2.1975880078140571</v>
      </c>
      <c r="P643">
        <f t="shared" ca="1" si="655"/>
        <v>0</v>
      </c>
      <c r="Q643">
        <f t="shared" ca="1" si="655"/>
        <v>0.34038590917087108</v>
      </c>
      <c r="R643">
        <f t="shared" ca="1" si="655"/>
        <v>0</v>
      </c>
      <c r="S643">
        <f t="shared" ca="1" si="655"/>
        <v>4.176343129927897</v>
      </c>
      <c r="T643">
        <f t="shared" ca="1" si="655"/>
        <v>0</v>
      </c>
      <c r="U643">
        <f t="shared" ca="1" si="655"/>
        <v>2.6892980169267084</v>
      </c>
      <c r="V643">
        <f t="shared" ca="1" si="655"/>
        <v>1.8695702617046395</v>
      </c>
      <c r="W643">
        <f t="shared" ca="1" si="655"/>
        <v>3.3602687913069884</v>
      </c>
      <c r="X643">
        <f t="shared" ca="1" si="655"/>
        <v>0</v>
      </c>
      <c r="Y643">
        <f t="shared" ca="1" si="655"/>
        <v>6.3411755971641046</v>
      </c>
      <c r="Z643">
        <f t="shared" ca="1" si="655"/>
        <v>6.4003472480944721</v>
      </c>
    </row>
    <row r="644" spans="1:26" x14ac:dyDescent="0.3">
      <c r="B644" t="s">
        <v>904</v>
      </c>
      <c r="C644">
        <f ca="1">3500-C642</f>
        <v>2397.2357354497353</v>
      </c>
      <c r="D644">
        <f t="shared" ref="D644:F644" ca="1" si="656">3500-D642</f>
        <v>2205.7777777777778</v>
      </c>
      <c r="E644">
        <f t="shared" ca="1" si="656"/>
        <v>2129.8101818181813</v>
      </c>
      <c r="F644">
        <f t="shared" ca="1" si="656"/>
        <v>2365.9717792954807</v>
      </c>
      <c r="G644">
        <f ca="1">450-G642</f>
        <v>402.65981735159818</v>
      </c>
      <c r="H644">
        <f t="shared" ref="H644:N644" ca="1" si="657">450-H642</f>
        <v>411.80052651955089</v>
      </c>
      <c r="I644">
        <f t="shared" ca="1" si="657"/>
        <v>343.63564979223383</v>
      </c>
      <c r="J644">
        <f t="shared" ca="1" si="657"/>
        <v>303.83248010737225</v>
      </c>
      <c r="K644">
        <f t="shared" ca="1" si="657"/>
        <v>368.55548193117255</v>
      </c>
      <c r="L644">
        <f t="shared" ca="1" si="657"/>
        <v>399.56370370370371</v>
      </c>
      <c r="M644">
        <f t="shared" ca="1" si="657"/>
        <v>382.85287086827475</v>
      </c>
      <c r="N644">
        <f t="shared" ca="1" si="657"/>
        <v>379.4992635897753</v>
      </c>
      <c r="O644">
        <f ca="1">15-O642</f>
        <v>12.598708288482239</v>
      </c>
      <c r="P644">
        <f t="shared" ref="P644:Z644" ca="1" si="658">15-P642</f>
        <v>14.992107216343328</v>
      </c>
      <c r="Q644">
        <f t="shared" ca="1" si="658"/>
        <v>14.541239568911219</v>
      </c>
      <c r="R644">
        <f t="shared" ca="1" si="658"/>
        <v>14.986111111111111</v>
      </c>
      <c r="S644">
        <f t="shared" ca="1" si="658"/>
        <v>9.8355466317160669</v>
      </c>
      <c r="T644">
        <f t="shared" ca="1" si="658"/>
        <v>14.765740740740741</v>
      </c>
      <c r="U644">
        <f t="shared" ca="1" si="658"/>
        <v>11.861252220888677</v>
      </c>
      <c r="V644">
        <f t="shared" ca="1" si="658"/>
        <v>11.798665032413007</v>
      </c>
      <c r="W644">
        <f t="shared" ca="1" si="658"/>
        <v>10.743076036279218</v>
      </c>
      <c r="X644">
        <f t="shared" ca="1" si="658"/>
        <v>13.928571428571429</v>
      </c>
      <c r="Y644">
        <f t="shared" ca="1" si="658"/>
        <v>7.0628244028358953</v>
      </c>
      <c r="Z644">
        <f t="shared" ca="1" si="658"/>
        <v>7.4965054416993944</v>
      </c>
    </row>
    <row r="669" spans="2:7" x14ac:dyDescent="0.3">
      <c r="B669" t="s">
        <v>907</v>
      </c>
      <c r="D669" t="s">
        <v>909</v>
      </c>
      <c r="F669" t="s">
        <v>910</v>
      </c>
      <c r="G669" t="s">
        <v>911</v>
      </c>
    </row>
    <row r="670" spans="2:7" x14ac:dyDescent="0.3">
      <c r="D670" t="s">
        <v>912</v>
      </c>
      <c r="F670" t="s">
        <v>913</v>
      </c>
      <c r="G670" t="s">
        <v>914</v>
      </c>
    </row>
    <row r="672" spans="2:7" x14ac:dyDescent="0.3">
      <c r="B672" t="s">
        <v>958</v>
      </c>
    </row>
    <row r="674" spans="2:7" x14ac:dyDescent="0.3">
      <c r="B674" t="s">
        <v>907</v>
      </c>
      <c r="D674" t="s">
        <v>909</v>
      </c>
      <c r="F674" t="s">
        <v>910</v>
      </c>
      <c r="G674" t="s">
        <v>911</v>
      </c>
    </row>
    <row r="675" spans="2:7" x14ac:dyDescent="0.3">
      <c r="D675" t="s">
        <v>912</v>
      </c>
      <c r="F675" t="s">
        <v>913</v>
      </c>
      <c r="G675" t="s">
        <v>914</v>
      </c>
    </row>
  </sheetData>
  <conditionalFormatting sqref="C640:Z640">
    <cfRule type="cellIs" dxfId="0" priority="1" operator="greaterThan">
      <formula>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A16"/>
  <sheetViews>
    <sheetView zoomScaleNormal="100" workbookViewId="0">
      <selection activeCell="N12" sqref="N12"/>
    </sheetView>
  </sheetViews>
  <sheetFormatPr defaultColWidth="9.21875" defaultRowHeight="14.4" x14ac:dyDescent="0.3"/>
  <cols>
    <col min="1" max="1" width="3.44140625" style="11" customWidth="1"/>
    <col min="2" max="2" width="31.21875" style="11" customWidth="1"/>
    <col min="3" max="3" width="42.77734375" style="11" customWidth="1"/>
    <col min="4" max="4" width="21.77734375" style="11" customWidth="1"/>
    <col min="5" max="5" width="22.44140625" style="11" customWidth="1"/>
    <col min="6" max="6" width="19" style="11" customWidth="1"/>
    <col min="7" max="7" width="9.21875" style="11"/>
    <col min="8" max="8" width="16.21875" style="11" customWidth="1"/>
    <col min="9" max="9" width="26.21875" style="11" customWidth="1"/>
    <col min="10" max="10" width="17.44140625" style="11" customWidth="1"/>
    <col min="11" max="11" width="38.21875" style="11" customWidth="1"/>
    <col min="12" max="12" width="13" style="11" customWidth="1"/>
    <col min="13" max="13" width="11.44140625" style="11" customWidth="1"/>
    <col min="14" max="14" width="23" style="11" customWidth="1"/>
    <col min="15" max="15" width="13.21875" style="11" customWidth="1"/>
    <col min="16" max="16" width="15.44140625" style="11" customWidth="1"/>
    <col min="17" max="18" width="12.21875" style="11" customWidth="1"/>
    <col min="19" max="19" width="27.77734375" style="42" customWidth="1"/>
    <col min="20" max="22" width="11.44140625" style="11" customWidth="1"/>
    <col min="23" max="23" width="12.44140625" style="42" customWidth="1"/>
    <col min="24" max="24" width="11.44140625" style="42" customWidth="1"/>
    <col min="25" max="25" width="11.21875" style="11" customWidth="1"/>
    <col min="26" max="26" width="9.21875" style="11"/>
    <col min="27" max="27" width="43.77734375" style="11" customWidth="1"/>
    <col min="28" max="16384" width="9.21875" style="12"/>
  </cols>
  <sheetData>
    <row r="1" spans="1:27"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241</v>
      </c>
      <c r="R1" s="56" t="s">
        <v>416</v>
      </c>
      <c r="S1" s="56" t="s">
        <v>193</v>
      </c>
      <c r="T1" s="56" t="s">
        <v>421</v>
      </c>
      <c r="U1" s="56" t="s">
        <v>521</v>
      </c>
      <c r="V1" s="56" t="s">
        <v>192</v>
      </c>
      <c r="W1" s="56" t="s">
        <v>246</v>
      </c>
      <c r="X1" s="56" t="s">
        <v>418</v>
      </c>
      <c r="Y1" s="56" t="s">
        <v>242</v>
      </c>
      <c r="Z1" s="56" t="s">
        <v>191</v>
      </c>
      <c r="AA1" s="56" t="s">
        <v>190</v>
      </c>
    </row>
    <row r="2" spans="1:27" ht="40.049999999999997" customHeight="1" x14ac:dyDescent="0.3">
      <c r="A2" s="11">
        <v>1</v>
      </c>
      <c r="B2" s="11" t="s">
        <v>651</v>
      </c>
      <c r="C2" s="11" t="s">
        <v>648</v>
      </c>
      <c r="D2" s="11" t="s">
        <v>803</v>
      </c>
      <c r="E2" s="11" t="s">
        <v>523</v>
      </c>
      <c r="G2" s="11" t="s">
        <v>58</v>
      </c>
      <c r="I2" s="11" t="s">
        <v>391</v>
      </c>
      <c r="J2" s="11" t="s">
        <v>520</v>
      </c>
      <c r="K2" s="11" t="s">
        <v>652</v>
      </c>
      <c r="L2" s="11">
        <v>1980</v>
      </c>
      <c r="M2" s="11">
        <v>2</v>
      </c>
      <c r="N2" s="11">
        <v>2</v>
      </c>
      <c r="O2" s="11">
        <v>4</v>
      </c>
      <c r="P2" s="53">
        <v>236.15</v>
      </c>
      <c r="Q2" s="54">
        <f>236.15-21.55-22.02-16.16</f>
        <v>176.42</v>
      </c>
      <c r="R2" s="54">
        <f t="shared" ref="R2:R9" si="0">Q2/O2</f>
        <v>44.104999999999997</v>
      </c>
      <c r="S2" s="11" t="s">
        <v>290</v>
      </c>
      <c r="U2" s="11">
        <f>2.55*1000</f>
        <v>2550</v>
      </c>
      <c r="V2" s="11" t="s">
        <v>244</v>
      </c>
      <c r="W2" s="55">
        <f>U2/Q2</f>
        <v>14.454143521142729</v>
      </c>
      <c r="X2" s="53">
        <v>1</v>
      </c>
      <c r="Y2" s="11">
        <f t="shared" ref="Y2:Y11" si="1">U2/O2</f>
        <v>637.5</v>
      </c>
      <c r="Z2" s="11" t="s">
        <v>245</v>
      </c>
      <c r="AA2" s="11" t="s">
        <v>639</v>
      </c>
    </row>
    <row r="3" spans="1:27" ht="40.049999999999997" customHeight="1" x14ac:dyDescent="0.3">
      <c r="A3" s="11">
        <v>1</v>
      </c>
      <c r="B3" s="11" t="s">
        <v>800</v>
      </c>
      <c r="E3" s="11" t="s">
        <v>523</v>
      </c>
      <c r="G3" s="11" t="s">
        <v>58</v>
      </c>
      <c r="I3" s="11" t="s">
        <v>391</v>
      </c>
      <c r="J3" s="11" t="s">
        <v>520</v>
      </c>
      <c r="M3" s="11">
        <v>2</v>
      </c>
      <c r="N3" s="11">
        <v>2</v>
      </c>
      <c r="O3" s="11">
        <v>4</v>
      </c>
      <c r="Q3" s="11">
        <f>236.15-21.55-22.02-16.16</f>
        <v>176.42</v>
      </c>
      <c r="R3" s="54">
        <f t="shared" si="0"/>
        <v>44.104999999999997</v>
      </c>
      <c r="S3" s="11" t="s">
        <v>65</v>
      </c>
      <c r="T3" s="11">
        <v>2320</v>
      </c>
      <c r="U3" s="11">
        <f>17.5*T3</f>
        <v>40600</v>
      </c>
      <c r="V3" s="11" t="s">
        <v>244</v>
      </c>
      <c r="W3" s="55">
        <f>U3/Q3</f>
        <v>230.13263802289993</v>
      </c>
      <c r="X3" s="53">
        <v>1</v>
      </c>
      <c r="Y3" s="11">
        <f t="shared" si="1"/>
        <v>10150</v>
      </c>
      <c r="AA3" s="11" t="s">
        <v>639</v>
      </c>
    </row>
    <row r="4" spans="1:27" ht="40.049999999999997" customHeight="1" x14ac:dyDescent="0.3">
      <c r="A4" s="11">
        <v>1</v>
      </c>
      <c r="B4" s="11" t="s">
        <v>800</v>
      </c>
      <c r="E4" s="11" t="s">
        <v>523</v>
      </c>
      <c r="G4" s="11" t="s">
        <v>58</v>
      </c>
      <c r="I4" s="11" t="s">
        <v>391</v>
      </c>
      <c r="J4" s="11" t="s">
        <v>520</v>
      </c>
      <c r="M4" s="11">
        <v>2</v>
      </c>
      <c r="N4" s="11">
        <v>2</v>
      </c>
      <c r="O4" s="11">
        <v>4</v>
      </c>
      <c r="Q4" s="11">
        <f>236.15-21.55-22.02-16.16</f>
        <v>176.42</v>
      </c>
      <c r="R4" s="54">
        <f t="shared" si="0"/>
        <v>44.104999999999997</v>
      </c>
      <c r="S4" s="11" t="s">
        <v>30</v>
      </c>
      <c r="U4" s="11">
        <f>(1.88+0.01+0.44+0.04)*1000</f>
        <v>2370</v>
      </c>
      <c r="V4" s="11" t="s">
        <v>244</v>
      </c>
      <c r="W4" s="55">
        <f>U4/Q2</f>
        <v>13.433851037297359</v>
      </c>
      <c r="X4" s="53">
        <v>1</v>
      </c>
      <c r="Y4" s="11">
        <f t="shared" si="1"/>
        <v>592.5</v>
      </c>
      <c r="AA4" s="11" t="s">
        <v>639</v>
      </c>
    </row>
    <row r="5" spans="1:27" ht="40.049999999999997" customHeight="1" x14ac:dyDescent="0.3">
      <c r="A5" s="11">
        <v>1</v>
      </c>
      <c r="B5" s="11" t="s">
        <v>800</v>
      </c>
      <c r="E5" s="11" t="s">
        <v>523</v>
      </c>
      <c r="G5" s="11" t="s">
        <v>58</v>
      </c>
      <c r="I5" s="11" t="s">
        <v>391</v>
      </c>
      <c r="J5" s="11" t="s">
        <v>520</v>
      </c>
      <c r="M5" s="11">
        <v>2</v>
      </c>
      <c r="N5" s="11">
        <v>2</v>
      </c>
      <c r="O5" s="11">
        <v>4</v>
      </c>
      <c r="Q5" s="11">
        <f>236.15-21.55-22.02-16.16</f>
        <v>176.42</v>
      </c>
      <c r="R5" s="54">
        <f t="shared" si="0"/>
        <v>44.104999999999997</v>
      </c>
      <c r="S5" s="11" t="s">
        <v>67</v>
      </c>
      <c r="T5" s="11">
        <v>450</v>
      </c>
      <c r="U5" s="11">
        <f>(10.29+8.56+2.47)*T5</f>
        <v>9594</v>
      </c>
      <c r="V5" s="11" t="s">
        <v>244</v>
      </c>
      <c r="W5" s="55">
        <f t="shared" ref="W5:W12" si="2">U5/Q5</f>
        <v>54.381589388958169</v>
      </c>
      <c r="X5" s="53">
        <v>1</v>
      </c>
      <c r="Y5" s="11">
        <f t="shared" si="1"/>
        <v>2398.5</v>
      </c>
      <c r="AA5" s="11" t="s">
        <v>639</v>
      </c>
    </row>
    <row r="6" spans="1:27" ht="40.049999999999997" customHeight="1" x14ac:dyDescent="0.3">
      <c r="A6" s="11">
        <v>2</v>
      </c>
      <c r="B6" s="11" t="s">
        <v>650</v>
      </c>
      <c r="C6" s="11" t="s">
        <v>804</v>
      </c>
      <c r="D6" s="11" t="s">
        <v>805</v>
      </c>
      <c r="E6" s="11" t="s">
        <v>523</v>
      </c>
      <c r="G6" s="11" t="s">
        <v>58</v>
      </c>
      <c r="I6" s="11" t="s">
        <v>440</v>
      </c>
      <c r="J6" s="11" t="s">
        <v>533</v>
      </c>
      <c r="K6" s="11" t="s">
        <v>808</v>
      </c>
      <c r="M6" s="11">
        <v>8</v>
      </c>
      <c r="N6" s="11">
        <f>4*M6</f>
        <v>32</v>
      </c>
      <c r="O6" s="11">
        <f>3*N6</f>
        <v>96</v>
      </c>
      <c r="P6" s="11">
        <v>4160</v>
      </c>
      <c r="Q6" s="11">
        <f>P6*0.9</f>
        <v>3744</v>
      </c>
      <c r="R6" s="54">
        <f t="shared" si="0"/>
        <v>39</v>
      </c>
      <c r="S6" s="11" t="s">
        <v>65</v>
      </c>
      <c r="U6" s="11">
        <f>(987.43+2907.63)*1000</f>
        <v>3895060</v>
      </c>
      <c r="V6" s="11" t="s">
        <v>244</v>
      </c>
      <c r="W6" s="55">
        <f t="shared" si="2"/>
        <v>1040.3472222222222</v>
      </c>
      <c r="X6" s="53">
        <v>4</v>
      </c>
      <c r="Y6" s="54">
        <f t="shared" si="1"/>
        <v>40573.541666666664</v>
      </c>
      <c r="AA6" s="11" t="s">
        <v>494</v>
      </c>
    </row>
    <row r="7" spans="1:27" ht="40.049999999999997" customHeight="1" x14ac:dyDescent="0.3">
      <c r="A7" s="11">
        <v>2</v>
      </c>
      <c r="B7" s="11" t="s">
        <v>801</v>
      </c>
      <c r="E7" s="11" t="s">
        <v>523</v>
      </c>
      <c r="G7" s="11" t="s">
        <v>58</v>
      </c>
      <c r="I7" s="11" t="s">
        <v>440</v>
      </c>
      <c r="J7" s="11" t="s">
        <v>533</v>
      </c>
      <c r="M7" s="11">
        <v>8</v>
      </c>
      <c r="N7" s="11">
        <f>4*M7</f>
        <v>32</v>
      </c>
      <c r="O7" s="11">
        <f>3*N7</f>
        <v>96</v>
      </c>
      <c r="P7" s="11">
        <v>4160</v>
      </c>
      <c r="Q7" s="11">
        <f>P7*0.9</f>
        <v>3744</v>
      </c>
      <c r="R7" s="54">
        <f t="shared" si="0"/>
        <v>39</v>
      </c>
      <c r="S7" s="11" t="s">
        <v>30</v>
      </c>
      <c r="U7" s="11">
        <f>(3.9+167.51)*1000</f>
        <v>171410</v>
      </c>
      <c r="V7" s="11" t="s">
        <v>244</v>
      </c>
      <c r="W7" s="55">
        <f t="shared" si="2"/>
        <v>45.782585470085472</v>
      </c>
      <c r="X7" s="53">
        <v>4</v>
      </c>
      <c r="Y7" s="54">
        <f t="shared" si="1"/>
        <v>1785.5208333333333</v>
      </c>
      <c r="AA7" s="11" t="s">
        <v>494</v>
      </c>
    </row>
    <row r="8" spans="1:27" ht="40.049999999999997" customHeight="1" x14ac:dyDescent="0.3">
      <c r="A8" s="11">
        <v>2</v>
      </c>
      <c r="B8" s="11" t="s">
        <v>801</v>
      </c>
      <c r="E8" s="11" t="s">
        <v>523</v>
      </c>
      <c r="G8" s="11" t="s">
        <v>58</v>
      </c>
      <c r="I8" s="11" t="s">
        <v>440</v>
      </c>
      <c r="J8" s="11" t="s">
        <v>533</v>
      </c>
      <c r="M8" s="11">
        <v>8</v>
      </c>
      <c r="N8" s="11">
        <f>4*M8</f>
        <v>32</v>
      </c>
      <c r="O8" s="11">
        <f>3*N8</f>
        <v>96</v>
      </c>
      <c r="P8" s="11">
        <v>4160</v>
      </c>
      <c r="Q8" s="11">
        <f>P8*0.9</f>
        <v>3744</v>
      </c>
      <c r="R8" s="54">
        <f t="shared" si="0"/>
        <v>39</v>
      </c>
      <c r="S8" s="11" t="s">
        <v>437</v>
      </c>
      <c r="U8" s="11">
        <v>4480</v>
      </c>
      <c r="V8" s="11" t="s">
        <v>244</v>
      </c>
      <c r="W8" s="55">
        <f t="shared" si="2"/>
        <v>1.1965811965811965</v>
      </c>
      <c r="X8" s="53">
        <v>4</v>
      </c>
      <c r="Y8" s="54">
        <f t="shared" si="1"/>
        <v>46.666666666666664</v>
      </c>
      <c r="AA8" s="11" t="s">
        <v>494</v>
      </c>
    </row>
    <row r="9" spans="1:27" ht="40.049999999999997" customHeight="1" x14ac:dyDescent="0.3">
      <c r="A9" s="11">
        <v>2</v>
      </c>
      <c r="B9" s="11" t="s">
        <v>801</v>
      </c>
      <c r="E9" s="11" t="s">
        <v>523</v>
      </c>
      <c r="G9" s="11" t="s">
        <v>58</v>
      </c>
      <c r="I9" s="11" t="s">
        <v>440</v>
      </c>
      <c r="J9" s="11" t="s">
        <v>533</v>
      </c>
      <c r="M9" s="11">
        <v>8</v>
      </c>
      <c r="N9" s="11">
        <f>4*M9</f>
        <v>32</v>
      </c>
      <c r="O9" s="11">
        <f>3*N9</f>
        <v>96</v>
      </c>
      <c r="P9" s="11">
        <v>4160</v>
      </c>
      <c r="Q9" s="11">
        <f>P9*0.9</f>
        <v>3744</v>
      </c>
      <c r="R9" s="54">
        <f t="shared" si="0"/>
        <v>39</v>
      </c>
      <c r="S9" s="11" t="s">
        <v>67</v>
      </c>
      <c r="U9" s="11">
        <f>(2.58+52.43+52.28)*1000</f>
        <v>107289.99999999999</v>
      </c>
      <c r="V9" s="11" t="s">
        <v>244</v>
      </c>
      <c r="W9" s="55">
        <f t="shared" si="2"/>
        <v>28.65651709401709</v>
      </c>
      <c r="X9" s="53">
        <v>4</v>
      </c>
      <c r="Y9" s="54">
        <f t="shared" si="1"/>
        <v>1117.6041666666665</v>
      </c>
      <c r="AA9" s="11" t="s">
        <v>494</v>
      </c>
    </row>
    <row r="10" spans="1:27" ht="40.049999999999997" customHeight="1" x14ac:dyDescent="0.3">
      <c r="A10" s="11">
        <v>3</v>
      </c>
      <c r="B10" s="11" t="s">
        <v>807</v>
      </c>
      <c r="C10" s="11" t="s">
        <v>645</v>
      </c>
      <c r="D10" s="11" t="s">
        <v>806</v>
      </c>
      <c r="E10" s="11" t="s">
        <v>523</v>
      </c>
      <c r="G10" s="11" t="s">
        <v>58</v>
      </c>
      <c r="I10" s="11" t="s">
        <v>391</v>
      </c>
      <c r="J10" s="11" t="s">
        <v>653</v>
      </c>
      <c r="M10" s="11">
        <v>2</v>
      </c>
      <c r="N10" s="11">
        <v>1</v>
      </c>
      <c r="O10" s="11">
        <v>4</v>
      </c>
      <c r="Q10" s="11">
        <v>200</v>
      </c>
      <c r="R10" s="54">
        <f>Q10/O10</f>
        <v>50</v>
      </c>
      <c r="S10" s="11" t="s">
        <v>290</v>
      </c>
      <c r="U10" s="11">
        <f>0.9535*1000</f>
        <v>953.5</v>
      </c>
      <c r="V10" s="11" t="s">
        <v>244</v>
      </c>
      <c r="W10" s="55">
        <f t="shared" si="2"/>
        <v>4.7675000000000001</v>
      </c>
      <c r="X10" s="53">
        <v>1</v>
      </c>
      <c r="Y10" s="54">
        <f t="shared" si="1"/>
        <v>238.375</v>
      </c>
      <c r="AA10" s="11" t="s">
        <v>639</v>
      </c>
    </row>
    <row r="11" spans="1:27" ht="40.049999999999997" customHeight="1" x14ac:dyDescent="0.3">
      <c r="A11" s="11">
        <v>3</v>
      </c>
      <c r="B11" s="11" t="s">
        <v>802</v>
      </c>
      <c r="E11" s="11" t="s">
        <v>523</v>
      </c>
      <c r="G11" s="11" t="s">
        <v>58</v>
      </c>
      <c r="I11" s="11" t="s">
        <v>391</v>
      </c>
      <c r="J11" s="11" t="s">
        <v>653</v>
      </c>
      <c r="M11" s="11">
        <v>2</v>
      </c>
      <c r="N11" s="11">
        <v>1</v>
      </c>
      <c r="O11" s="11">
        <v>4</v>
      </c>
      <c r="Q11" s="11">
        <v>200</v>
      </c>
      <c r="R11" s="54">
        <f>Q11/O11</f>
        <v>50</v>
      </c>
      <c r="S11" s="11" t="s">
        <v>30</v>
      </c>
      <c r="U11" s="11">
        <f>(0.9929+0.2063+1.6778)*1000</f>
        <v>2877</v>
      </c>
      <c r="V11" s="11" t="s">
        <v>244</v>
      </c>
      <c r="W11" s="55">
        <f t="shared" si="2"/>
        <v>14.385</v>
      </c>
      <c r="X11" s="53">
        <v>1</v>
      </c>
      <c r="Y11" s="54">
        <f t="shared" si="1"/>
        <v>719.25</v>
      </c>
      <c r="AA11" s="11" t="s">
        <v>639</v>
      </c>
    </row>
    <row r="12" spans="1:27" ht="40.049999999999997" customHeight="1" x14ac:dyDescent="0.3">
      <c r="A12" s="11">
        <v>3</v>
      </c>
      <c r="B12" s="11" t="s">
        <v>802</v>
      </c>
      <c r="E12" s="11" t="s">
        <v>523</v>
      </c>
      <c r="G12" s="11" t="s">
        <v>58</v>
      </c>
      <c r="I12" s="11" t="s">
        <v>391</v>
      </c>
      <c r="J12" s="11" t="s">
        <v>653</v>
      </c>
      <c r="M12" s="11">
        <v>2</v>
      </c>
      <c r="N12" s="11">
        <v>1</v>
      </c>
      <c r="O12" s="11">
        <v>4</v>
      </c>
      <c r="Q12" s="11">
        <v>200</v>
      </c>
      <c r="R12" s="54">
        <f>Q12/O12</f>
        <v>50</v>
      </c>
      <c r="S12" s="11" t="s">
        <v>65</v>
      </c>
      <c r="T12" s="11">
        <v>2320</v>
      </c>
      <c r="U12" s="11">
        <f>49.7196*T12</f>
        <v>115349.47199999999</v>
      </c>
      <c r="V12" s="11" t="s">
        <v>244</v>
      </c>
      <c r="W12" s="55">
        <f t="shared" si="2"/>
        <v>576.74735999999996</v>
      </c>
      <c r="X12" s="53">
        <v>1</v>
      </c>
      <c r="Y12" s="54">
        <f t="shared" ref="Y12:Y16" si="3">U12/O12</f>
        <v>28837.367999999999</v>
      </c>
      <c r="AA12" s="11" t="s">
        <v>639</v>
      </c>
    </row>
    <row r="13" spans="1:27" ht="40.049999999999997" customHeight="1" x14ac:dyDescent="0.3">
      <c r="A13" s="11">
        <v>3</v>
      </c>
      <c r="B13" s="11" t="s">
        <v>802</v>
      </c>
      <c r="E13" s="11" t="s">
        <v>523</v>
      </c>
      <c r="G13" s="11" t="s">
        <v>58</v>
      </c>
      <c r="I13" s="11" t="s">
        <v>391</v>
      </c>
      <c r="J13" s="11" t="s">
        <v>653</v>
      </c>
      <c r="M13" s="11">
        <v>2</v>
      </c>
      <c r="N13" s="11">
        <v>1</v>
      </c>
      <c r="O13" s="11">
        <v>4</v>
      </c>
      <c r="Q13" s="11">
        <v>200</v>
      </c>
      <c r="R13" s="54">
        <f>Q13/O13</f>
        <v>50</v>
      </c>
      <c r="S13" s="11" t="s">
        <v>67</v>
      </c>
      <c r="T13" s="11">
        <v>450</v>
      </c>
      <c r="U13" s="11">
        <f>(6.3607+12.8069)*T13</f>
        <v>8625.42</v>
      </c>
      <c r="V13" s="11" t="s">
        <v>244</v>
      </c>
      <c r="W13" s="55">
        <f>U13/Q13</f>
        <v>43.127099999999999</v>
      </c>
      <c r="X13" s="53">
        <v>1</v>
      </c>
      <c r="Y13" s="54">
        <f t="shared" si="3"/>
        <v>2156.355</v>
      </c>
      <c r="AA13" s="11" t="s">
        <v>639</v>
      </c>
    </row>
    <row r="14" spans="1:27" ht="40.049999999999997" customHeight="1" x14ac:dyDescent="0.3">
      <c r="A14" s="11">
        <v>3</v>
      </c>
      <c r="B14" s="11" t="s">
        <v>802</v>
      </c>
      <c r="E14" s="11" t="s">
        <v>523</v>
      </c>
      <c r="G14" s="11" t="s">
        <v>58</v>
      </c>
      <c r="I14" s="11" t="s">
        <v>440</v>
      </c>
      <c r="J14" s="11" t="s">
        <v>654</v>
      </c>
      <c r="M14" s="11">
        <v>8</v>
      </c>
      <c r="N14" s="11">
        <f>6*7</f>
        <v>42</v>
      </c>
      <c r="O14" s="11">
        <f>3*N14</f>
        <v>126</v>
      </c>
      <c r="Q14" s="11">
        <v>4000</v>
      </c>
      <c r="R14" s="54">
        <f>Q15/O14</f>
        <v>31.746031746031747</v>
      </c>
      <c r="S14" s="11" t="s">
        <v>290</v>
      </c>
      <c r="U14" s="11">
        <f>34.3954*1000</f>
        <v>34395.4</v>
      </c>
      <c r="V14" s="11" t="s">
        <v>244</v>
      </c>
      <c r="W14" s="55">
        <f>U14/Q14</f>
        <v>8.5988500000000005</v>
      </c>
      <c r="X14" s="53">
        <v>1</v>
      </c>
      <c r="Y14" s="54">
        <f t="shared" si="3"/>
        <v>272.9793650793651</v>
      </c>
      <c r="AA14" s="11" t="s">
        <v>639</v>
      </c>
    </row>
    <row r="15" spans="1:27" ht="40.049999999999997" customHeight="1" x14ac:dyDescent="0.3">
      <c r="A15" s="11">
        <v>3</v>
      </c>
      <c r="B15" s="11" t="s">
        <v>802</v>
      </c>
      <c r="E15" s="11" t="s">
        <v>523</v>
      </c>
      <c r="G15" s="11" t="s">
        <v>58</v>
      </c>
      <c r="I15" s="11" t="s">
        <v>440</v>
      </c>
      <c r="J15" s="11" t="s">
        <v>654</v>
      </c>
      <c r="M15" s="11">
        <v>8</v>
      </c>
      <c r="N15" s="11">
        <f>6*7</f>
        <v>42</v>
      </c>
      <c r="O15" s="11">
        <f>3*N15</f>
        <v>126</v>
      </c>
      <c r="Q15" s="11">
        <v>4000</v>
      </c>
      <c r="R15" s="54">
        <f>Q16/O15</f>
        <v>31.746031746031747</v>
      </c>
      <c r="S15" s="11" t="s">
        <v>30</v>
      </c>
      <c r="U15" s="11">
        <f>(7.5265+4.0241+264.8485)*1000</f>
        <v>276399.09999999998</v>
      </c>
      <c r="V15" s="11" t="s">
        <v>244</v>
      </c>
      <c r="W15" s="55">
        <f>U15/Q15</f>
        <v>69.099774999999994</v>
      </c>
      <c r="X15" s="53">
        <v>1</v>
      </c>
      <c r="Y15" s="54">
        <f t="shared" si="3"/>
        <v>2193.6436507936505</v>
      </c>
      <c r="AA15" s="11" t="s">
        <v>639</v>
      </c>
    </row>
    <row r="16" spans="1:27" ht="40.049999999999997" customHeight="1" x14ac:dyDescent="0.3">
      <c r="A16" s="11">
        <v>3</v>
      </c>
      <c r="B16" s="11" t="s">
        <v>802</v>
      </c>
      <c r="E16" s="11" t="s">
        <v>523</v>
      </c>
      <c r="G16" s="11" t="s">
        <v>58</v>
      </c>
      <c r="I16" s="11" t="s">
        <v>440</v>
      </c>
      <c r="J16" s="11" t="s">
        <v>654</v>
      </c>
      <c r="M16" s="11">
        <v>8</v>
      </c>
      <c r="N16" s="11">
        <f>6*7</f>
        <v>42</v>
      </c>
      <c r="O16" s="11">
        <f>3*N16</f>
        <v>126</v>
      </c>
      <c r="Q16" s="11">
        <v>4000</v>
      </c>
      <c r="R16" s="54">
        <f>Q16/O16</f>
        <v>31.746031746031747</v>
      </c>
      <c r="S16" s="11" t="s">
        <v>65</v>
      </c>
      <c r="T16" s="11">
        <v>2320</v>
      </c>
      <c r="U16" s="11">
        <f>(180.6732+1040.9091+1921.9318)*T16</f>
        <v>7292952.7120000012</v>
      </c>
      <c r="V16" s="11" t="s">
        <v>244</v>
      </c>
      <c r="W16" s="55">
        <f>U16/Q16</f>
        <v>1823.2381780000003</v>
      </c>
      <c r="X16" s="55">
        <v>1</v>
      </c>
      <c r="Y16" s="54">
        <f t="shared" si="3"/>
        <v>57880.577079365088</v>
      </c>
      <c r="AA16" s="11" t="s">
        <v>639</v>
      </c>
    </row>
  </sheetData>
  <pageMargins left="0.7" right="0.7" top="0.75" bottom="0.75" header="0.3" footer="0.3"/>
  <pageSetup paperSize="9" orientation="portrait" horizontalDpi="0" verticalDpi="0" r:id="rId1"/>
  <ignoredErrors>
    <ignoredError sqref="W4"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1EDD-6442-426E-B531-3A9266704952}">
  <sheetPr>
    <tabColor rgb="FF00B050"/>
  </sheetPr>
  <dimension ref="A1:AA29"/>
  <sheetViews>
    <sheetView zoomScaleNormal="100" workbookViewId="0">
      <selection activeCell="D29" sqref="D29"/>
    </sheetView>
  </sheetViews>
  <sheetFormatPr defaultColWidth="9.21875" defaultRowHeight="14.4" x14ac:dyDescent="0.3"/>
  <cols>
    <col min="1" max="1" width="3.44140625" style="11" customWidth="1"/>
    <col min="2" max="2" width="31.21875" style="11" customWidth="1"/>
    <col min="3" max="3" width="42.77734375" style="11" customWidth="1"/>
    <col min="4" max="4" width="21.77734375" style="11" customWidth="1"/>
    <col min="5" max="5" width="22.44140625" style="11" customWidth="1"/>
    <col min="6" max="6" width="19" style="11" customWidth="1"/>
    <col min="7" max="7" width="9.21875" style="11"/>
    <col min="8" max="8" width="16.21875" style="11" customWidth="1"/>
    <col min="9" max="9" width="26.21875" style="11" customWidth="1"/>
    <col min="10" max="10" width="17.44140625" style="11" customWidth="1"/>
    <col min="11" max="11" width="38.21875" style="11" customWidth="1"/>
    <col min="12" max="12" width="13" style="11" customWidth="1"/>
    <col min="13" max="13" width="11.44140625" style="11" customWidth="1"/>
    <col min="14" max="14" width="23" style="11" customWidth="1"/>
    <col min="15" max="15" width="13.21875" style="11" customWidth="1"/>
    <col min="16" max="16" width="15.44140625" style="11" customWidth="1"/>
    <col min="17" max="18" width="12.21875" style="11" customWidth="1"/>
    <col min="19" max="19" width="27.77734375" style="42" customWidth="1"/>
    <col min="20" max="22" width="11.44140625" style="11" customWidth="1"/>
    <col min="23" max="23" width="12.44140625" style="42" customWidth="1"/>
    <col min="24" max="24" width="11.44140625" style="42" customWidth="1"/>
    <col min="25" max="25" width="11.21875" style="11" customWidth="1"/>
    <col min="26" max="26" width="9.21875" style="11"/>
    <col min="27" max="27" width="43.77734375" style="11" customWidth="1"/>
    <col min="28" max="16384" width="9.21875" style="12"/>
  </cols>
  <sheetData>
    <row r="1" spans="1:27"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6" t="s">
        <v>195</v>
      </c>
      <c r="P1" s="56" t="s">
        <v>194</v>
      </c>
      <c r="Q1" s="56" t="s">
        <v>241</v>
      </c>
      <c r="R1" s="56" t="s">
        <v>416</v>
      </c>
      <c r="S1" s="56" t="s">
        <v>193</v>
      </c>
      <c r="T1" s="56" t="s">
        <v>421</v>
      </c>
      <c r="U1" s="56" t="s">
        <v>521</v>
      </c>
      <c r="V1" s="56" t="s">
        <v>192</v>
      </c>
      <c r="W1" s="56" t="s">
        <v>246</v>
      </c>
      <c r="X1" s="56" t="s">
        <v>418</v>
      </c>
      <c r="Y1" s="56" t="s">
        <v>242</v>
      </c>
      <c r="Z1" s="56" t="s">
        <v>191</v>
      </c>
      <c r="AA1" s="56" t="s">
        <v>190</v>
      </c>
    </row>
    <row r="2" spans="1:27" ht="40.049999999999997" customHeight="1" x14ac:dyDescent="0.3">
      <c r="A2" s="11">
        <v>1</v>
      </c>
      <c r="B2" s="11" t="s">
        <v>940</v>
      </c>
      <c r="C2" s="11" t="s">
        <v>431</v>
      </c>
      <c r="D2" s="11" t="s">
        <v>809</v>
      </c>
      <c r="E2" s="11" t="s">
        <v>429</v>
      </c>
      <c r="G2" s="11" t="s">
        <v>58</v>
      </c>
      <c r="I2" s="11" t="s">
        <v>391</v>
      </c>
      <c r="J2" s="11" t="s">
        <v>430</v>
      </c>
      <c r="L2" s="11" t="s">
        <v>432</v>
      </c>
      <c r="M2" s="11">
        <v>2</v>
      </c>
      <c r="N2" s="11">
        <v>1</v>
      </c>
      <c r="O2" s="11">
        <v>4</v>
      </c>
      <c r="Q2" s="53">
        <v>227.61240000000001</v>
      </c>
      <c r="R2" s="54">
        <f>Q2/O2</f>
        <v>56.903100000000002</v>
      </c>
      <c r="S2" s="42" t="s">
        <v>65</v>
      </c>
      <c r="U2" s="11">
        <v>181042.1</v>
      </c>
      <c r="V2" s="11" t="s">
        <v>244</v>
      </c>
      <c r="W2" s="54">
        <f t="shared" ref="W2:W27" si="0">U2/Q2</f>
        <v>795.39647224843634</v>
      </c>
      <c r="X2" s="11">
        <v>1</v>
      </c>
      <c r="Y2" s="54">
        <f>U2/O2</f>
        <v>45260.525000000001</v>
      </c>
      <c r="Z2" s="11" t="s">
        <v>427</v>
      </c>
    </row>
    <row r="3" spans="1:27" ht="40.049999999999997" customHeight="1" x14ac:dyDescent="0.3">
      <c r="A3" s="11">
        <v>1</v>
      </c>
      <c r="B3" s="11" t="s">
        <v>655</v>
      </c>
      <c r="E3" s="11" t="s">
        <v>429</v>
      </c>
      <c r="G3" s="11" t="s">
        <v>58</v>
      </c>
      <c r="I3" s="11" t="s">
        <v>391</v>
      </c>
      <c r="J3" s="11" t="s">
        <v>430</v>
      </c>
      <c r="L3" s="11" t="s">
        <v>432</v>
      </c>
      <c r="M3" s="11">
        <v>2</v>
      </c>
      <c r="N3" s="11">
        <v>1</v>
      </c>
      <c r="O3" s="11">
        <v>4</v>
      </c>
      <c r="Q3" s="53">
        <v>227.61240000000001</v>
      </c>
      <c r="R3" s="54">
        <f>Q3/O3</f>
        <v>56.903100000000002</v>
      </c>
      <c r="S3" s="42" t="s">
        <v>30</v>
      </c>
      <c r="U3" s="11">
        <f>14.8+3901</f>
        <v>3915.8</v>
      </c>
      <c r="V3" s="11" t="s">
        <v>244</v>
      </c>
      <c r="W3" s="54">
        <f t="shared" si="0"/>
        <v>17.2038078768995</v>
      </c>
      <c r="X3" s="11">
        <v>1</v>
      </c>
      <c r="Y3" s="54">
        <f t="shared" ref="Y3:Y28" si="1">U3/O3</f>
        <v>978.95</v>
      </c>
      <c r="Z3" s="11" t="s">
        <v>427</v>
      </c>
    </row>
    <row r="4" spans="1:27" ht="40.049999999999997" customHeight="1" x14ac:dyDescent="0.3">
      <c r="A4" s="11">
        <v>1</v>
      </c>
      <c r="B4" s="11" t="s">
        <v>655</v>
      </c>
      <c r="E4" s="11" t="s">
        <v>429</v>
      </c>
      <c r="G4" s="11" t="s">
        <v>58</v>
      </c>
      <c r="I4" s="11" t="s">
        <v>391</v>
      </c>
      <c r="J4" s="11" t="s">
        <v>430</v>
      </c>
      <c r="L4" s="11" t="s">
        <v>432</v>
      </c>
      <c r="M4" s="11">
        <v>2</v>
      </c>
      <c r="N4" s="11">
        <v>1</v>
      </c>
      <c r="O4" s="11">
        <v>4</v>
      </c>
      <c r="Q4" s="53">
        <v>227.61240000000001</v>
      </c>
      <c r="R4" s="54">
        <f t="shared" ref="R4:R29" si="2">Q4/O4</f>
        <v>56.903100000000002</v>
      </c>
      <c r="S4" s="42" t="s">
        <v>290</v>
      </c>
      <c r="U4" s="11">
        <f>38.6+42.7</f>
        <v>81.300000000000011</v>
      </c>
      <c r="V4" s="11" t="s">
        <v>244</v>
      </c>
      <c r="W4" s="54">
        <f t="shared" si="0"/>
        <v>0.35718616384696095</v>
      </c>
      <c r="X4" s="11">
        <v>1</v>
      </c>
      <c r="Y4" s="54">
        <f t="shared" si="1"/>
        <v>20.325000000000003</v>
      </c>
      <c r="Z4" s="11" t="s">
        <v>427</v>
      </c>
    </row>
    <row r="5" spans="1:27" ht="40.049999999999997" customHeight="1" x14ac:dyDescent="0.3">
      <c r="A5" s="11">
        <v>1</v>
      </c>
      <c r="B5" s="11" t="s">
        <v>655</v>
      </c>
      <c r="E5" s="11" t="s">
        <v>429</v>
      </c>
      <c r="G5" s="11" t="s">
        <v>58</v>
      </c>
      <c r="I5" s="11" t="s">
        <v>391</v>
      </c>
      <c r="J5" s="11" t="s">
        <v>430</v>
      </c>
      <c r="L5" s="11" t="s">
        <v>432</v>
      </c>
      <c r="M5" s="11">
        <v>2</v>
      </c>
      <c r="N5" s="11">
        <v>1</v>
      </c>
      <c r="O5" s="11">
        <v>4</v>
      </c>
      <c r="Q5" s="53">
        <v>227.61240000000001</v>
      </c>
      <c r="R5" s="54">
        <f t="shared" si="2"/>
        <v>56.903100000000002</v>
      </c>
      <c r="S5" s="42" t="s">
        <v>414</v>
      </c>
      <c r="U5" s="11">
        <v>256.89999999999998</v>
      </c>
      <c r="V5" s="11" t="s">
        <v>244</v>
      </c>
      <c r="W5" s="54">
        <f t="shared" si="0"/>
        <v>1.128673130286399</v>
      </c>
      <c r="X5" s="11">
        <v>1</v>
      </c>
      <c r="Y5" s="54">
        <f>U5/O5</f>
        <v>64.224999999999994</v>
      </c>
      <c r="Z5" s="11" t="s">
        <v>427</v>
      </c>
    </row>
    <row r="6" spans="1:27" ht="40.049999999999997" customHeight="1" x14ac:dyDescent="0.3">
      <c r="A6" s="11">
        <v>1</v>
      </c>
      <c r="B6" s="11" t="s">
        <v>655</v>
      </c>
      <c r="E6" s="11" t="s">
        <v>429</v>
      </c>
      <c r="G6" s="11" t="s">
        <v>58</v>
      </c>
      <c r="I6" s="11" t="s">
        <v>391</v>
      </c>
      <c r="J6" s="11" t="s">
        <v>430</v>
      </c>
      <c r="L6" s="11" t="s">
        <v>432</v>
      </c>
      <c r="M6" s="11">
        <v>2</v>
      </c>
      <c r="N6" s="11">
        <v>1</v>
      </c>
      <c r="O6" s="11">
        <v>4</v>
      </c>
      <c r="Q6" s="53">
        <v>227.61240000000001</v>
      </c>
      <c r="R6" s="54">
        <f t="shared" si="2"/>
        <v>56.903100000000002</v>
      </c>
      <c r="S6" s="42" t="s">
        <v>67</v>
      </c>
      <c r="U6" s="11">
        <v>15323.8</v>
      </c>
      <c r="V6" s="11" t="s">
        <v>244</v>
      </c>
      <c r="W6" s="54">
        <f t="shared" si="0"/>
        <v>67.324100092965054</v>
      </c>
      <c r="X6" s="11">
        <v>1</v>
      </c>
      <c r="Y6" s="54">
        <f t="shared" si="1"/>
        <v>3830.95</v>
      </c>
      <c r="Z6" s="11" t="s">
        <v>427</v>
      </c>
    </row>
    <row r="7" spans="1:27" ht="40.049999999999997" customHeight="1" x14ac:dyDescent="0.3">
      <c r="A7" s="11">
        <v>1</v>
      </c>
      <c r="B7" s="11" t="s">
        <v>655</v>
      </c>
      <c r="E7" s="11" t="s">
        <v>429</v>
      </c>
      <c r="G7" s="11" t="s">
        <v>58</v>
      </c>
      <c r="I7" s="11" t="s">
        <v>391</v>
      </c>
      <c r="J7" s="11" t="s">
        <v>430</v>
      </c>
      <c r="L7" s="11" t="s">
        <v>432</v>
      </c>
      <c r="M7" s="11">
        <v>2</v>
      </c>
      <c r="N7" s="11">
        <v>1</v>
      </c>
      <c r="O7" s="11">
        <v>4</v>
      </c>
      <c r="Q7" s="53">
        <v>227.61240000000001</v>
      </c>
      <c r="R7" s="54">
        <f t="shared" si="2"/>
        <v>56.903100000000002</v>
      </c>
      <c r="S7" s="42" t="s">
        <v>437</v>
      </c>
      <c r="U7" s="11">
        <v>1012</v>
      </c>
      <c r="V7" s="11" t="s">
        <v>244</v>
      </c>
      <c r="W7" s="54">
        <f t="shared" si="0"/>
        <v>4.4461549546509769</v>
      </c>
      <c r="X7" s="11">
        <v>1</v>
      </c>
      <c r="Y7" s="54">
        <f t="shared" si="1"/>
        <v>253</v>
      </c>
      <c r="Z7" s="11" t="s">
        <v>427</v>
      </c>
    </row>
    <row r="8" spans="1:27" ht="40.049999999999997" customHeight="1" x14ac:dyDescent="0.3">
      <c r="A8" s="11">
        <v>2</v>
      </c>
      <c r="B8" s="11" t="s">
        <v>657</v>
      </c>
      <c r="C8" s="11" t="s">
        <v>642</v>
      </c>
      <c r="D8" s="11" t="s">
        <v>810</v>
      </c>
      <c r="E8" s="11" t="s">
        <v>433</v>
      </c>
      <c r="G8" s="11" t="s">
        <v>58</v>
      </c>
      <c r="I8" s="11" t="s">
        <v>391</v>
      </c>
      <c r="J8" s="11" t="s">
        <v>430</v>
      </c>
      <c r="L8" s="11" t="s">
        <v>432</v>
      </c>
      <c r="M8" s="11">
        <v>2</v>
      </c>
      <c r="N8" s="11">
        <v>1</v>
      </c>
      <c r="O8" s="11">
        <v>4</v>
      </c>
      <c r="Q8" s="11">
        <v>286</v>
      </c>
      <c r="R8" s="54">
        <f t="shared" si="2"/>
        <v>71.5</v>
      </c>
      <c r="S8" s="42" t="s">
        <v>65</v>
      </c>
      <c r="U8" s="11">
        <f>101951+55850</f>
        <v>157801</v>
      </c>
      <c r="V8" s="11" t="s">
        <v>244</v>
      </c>
      <c r="W8" s="54">
        <f t="shared" si="0"/>
        <v>551.75174825174827</v>
      </c>
      <c r="X8" s="11">
        <v>1</v>
      </c>
      <c r="Y8" s="54">
        <f t="shared" si="1"/>
        <v>39450.25</v>
      </c>
      <c r="Z8" s="11" t="s">
        <v>438</v>
      </c>
    </row>
    <row r="9" spans="1:27" ht="40.049999999999997" customHeight="1" x14ac:dyDescent="0.3">
      <c r="A9" s="11">
        <v>2</v>
      </c>
      <c r="B9" s="11" t="s">
        <v>656</v>
      </c>
      <c r="E9" s="11" t="s">
        <v>433</v>
      </c>
      <c r="G9" s="11" t="s">
        <v>58</v>
      </c>
      <c r="I9" s="11" t="s">
        <v>391</v>
      </c>
      <c r="J9" s="11" t="s">
        <v>430</v>
      </c>
      <c r="L9" s="11" t="s">
        <v>432</v>
      </c>
      <c r="M9" s="11">
        <v>2</v>
      </c>
      <c r="N9" s="11">
        <v>1</v>
      </c>
      <c r="O9" s="11">
        <v>4</v>
      </c>
      <c r="Q9" s="11">
        <v>286</v>
      </c>
      <c r="R9" s="54">
        <f t="shared" si="2"/>
        <v>71.5</v>
      </c>
      <c r="S9" s="42" t="s">
        <v>290</v>
      </c>
      <c r="U9" s="11">
        <v>390</v>
      </c>
      <c r="V9" s="11" t="s">
        <v>244</v>
      </c>
      <c r="W9" s="54">
        <f t="shared" si="0"/>
        <v>1.3636363636363635</v>
      </c>
      <c r="X9" s="11">
        <v>1</v>
      </c>
      <c r="Y9" s="54">
        <f t="shared" si="1"/>
        <v>97.5</v>
      </c>
      <c r="Z9" s="11" t="s">
        <v>438</v>
      </c>
    </row>
    <row r="10" spans="1:27" ht="40.049999999999997" customHeight="1" x14ac:dyDescent="0.3">
      <c r="A10" s="11">
        <v>2</v>
      </c>
      <c r="B10" s="11" t="s">
        <v>656</v>
      </c>
      <c r="E10" s="11" t="s">
        <v>433</v>
      </c>
      <c r="G10" s="11" t="s">
        <v>58</v>
      </c>
      <c r="I10" s="11" t="s">
        <v>391</v>
      </c>
      <c r="J10" s="11" t="s">
        <v>430</v>
      </c>
      <c r="L10" s="11" t="s">
        <v>432</v>
      </c>
      <c r="M10" s="11">
        <v>2</v>
      </c>
      <c r="N10" s="11">
        <v>1</v>
      </c>
      <c r="O10" s="11">
        <v>4</v>
      </c>
      <c r="Q10" s="11">
        <v>286</v>
      </c>
      <c r="R10" s="54">
        <f t="shared" si="2"/>
        <v>71.5</v>
      </c>
      <c r="S10" s="42" t="s">
        <v>414</v>
      </c>
      <c r="U10" s="11">
        <v>136</v>
      </c>
      <c r="V10" s="11" t="s">
        <v>244</v>
      </c>
      <c r="W10" s="54">
        <f t="shared" si="0"/>
        <v>0.47552447552447552</v>
      </c>
      <c r="X10" s="11">
        <v>1</v>
      </c>
      <c r="Y10" s="54">
        <f t="shared" si="1"/>
        <v>34</v>
      </c>
      <c r="Z10" s="11" t="s">
        <v>438</v>
      </c>
    </row>
    <row r="11" spans="1:27" ht="40.049999999999997" customHeight="1" x14ac:dyDescent="0.3">
      <c r="A11" s="11">
        <v>2</v>
      </c>
      <c r="B11" s="11" t="s">
        <v>656</v>
      </c>
      <c r="E11" s="11" t="s">
        <v>433</v>
      </c>
      <c r="G11" s="11" t="s">
        <v>58</v>
      </c>
      <c r="I11" s="11" t="s">
        <v>391</v>
      </c>
      <c r="J11" s="11" t="s">
        <v>430</v>
      </c>
      <c r="L11" s="11" t="s">
        <v>432</v>
      </c>
      <c r="M11" s="11">
        <v>2</v>
      </c>
      <c r="N11" s="11">
        <v>1</v>
      </c>
      <c r="O11" s="11">
        <v>4</v>
      </c>
      <c r="Q11" s="11">
        <v>286</v>
      </c>
      <c r="R11" s="54">
        <f t="shared" si="2"/>
        <v>71.5</v>
      </c>
      <c r="S11" s="42" t="s">
        <v>67</v>
      </c>
      <c r="U11" s="11">
        <v>8457</v>
      </c>
      <c r="V11" s="11" t="s">
        <v>244</v>
      </c>
      <c r="W11" s="54">
        <f t="shared" si="0"/>
        <v>29.56993006993007</v>
      </c>
      <c r="X11" s="11">
        <v>1</v>
      </c>
      <c r="Y11" s="54">
        <f t="shared" si="1"/>
        <v>2114.25</v>
      </c>
      <c r="Z11" s="11" t="s">
        <v>438</v>
      </c>
    </row>
    <row r="12" spans="1:27" ht="40.049999999999997" customHeight="1" x14ac:dyDescent="0.3">
      <c r="A12" s="11">
        <v>2</v>
      </c>
      <c r="B12" s="11" t="s">
        <v>656</v>
      </c>
      <c r="E12" s="11" t="s">
        <v>433</v>
      </c>
      <c r="G12" s="11" t="s">
        <v>58</v>
      </c>
      <c r="I12" s="11" t="s">
        <v>391</v>
      </c>
      <c r="J12" s="11" t="s">
        <v>430</v>
      </c>
      <c r="L12" s="11" t="s">
        <v>432</v>
      </c>
      <c r="M12" s="11">
        <v>2</v>
      </c>
      <c r="N12" s="11">
        <v>1</v>
      </c>
      <c r="O12" s="11">
        <v>4</v>
      </c>
      <c r="Q12" s="11">
        <v>286</v>
      </c>
      <c r="R12" s="54">
        <f t="shared" si="2"/>
        <v>71.5</v>
      </c>
      <c r="S12" s="42" t="s">
        <v>437</v>
      </c>
      <c r="U12" s="11">
        <v>628</v>
      </c>
      <c r="V12" s="11" t="s">
        <v>244</v>
      </c>
      <c r="W12" s="54">
        <f t="shared" si="0"/>
        <v>2.1958041958041958</v>
      </c>
      <c r="X12" s="11">
        <v>1</v>
      </c>
      <c r="Y12" s="54">
        <f t="shared" si="1"/>
        <v>157</v>
      </c>
      <c r="Z12" s="11" t="s">
        <v>438</v>
      </c>
    </row>
    <row r="13" spans="1:27" ht="40.049999999999997" customHeight="1" x14ac:dyDescent="0.3">
      <c r="A13" s="11">
        <v>3</v>
      </c>
      <c r="B13" s="11" t="s">
        <v>658</v>
      </c>
      <c r="C13" s="11" t="s">
        <v>507</v>
      </c>
      <c r="D13" s="11" t="s">
        <v>811</v>
      </c>
      <c r="E13" s="11" t="s">
        <v>522</v>
      </c>
      <c r="G13" s="11" t="s">
        <v>58</v>
      </c>
      <c r="I13" s="11" t="s">
        <v>391</v>
      </c>
      <c r="J13" s="11" t="s">
        <v>508</v>
      </c>
      <c r="L13" s="11" t="s">
        <v>509</v>
      </c>
      <c r="M13" s="11">
        <v>1</v>
      </c>
      <c r="N13" s="11">
        <v>1</v>
      </c>
      <c r="O13" s="11">
        <v>4</v>
      </c>
      <c r="P13" s="58">
        <f>0.092903*(30*40)</f>
        <v>111.4836</v>
      </c>
      <c r="Q13" s="53">
        <f t="shared" ref="Q13:Q29" si="3">P13*0.9</f>
        <v>100.33524</v>
      </c>
      <c r="R13" s="54">
        <f t="shared" si="2"/>
        <v>25.08381</v>
      </c>
      <c r="S13" s="42" t="s">
        <v>290</v>
      </c>
      <c r="U13" s="11">
        <f>0.31*1000</f>
        <v>310</v>
      </c>
      <c r="V13" s="11" t="s">
        <v>244</v>
      </c>
      <c r="W13" s="54">
        <f t="shared" si="0"/>
        <v>3.0896422832097676</v>
      </c>
      <c r="X13" s="11">
        <v>1</v>
      </c>
      <c r="Y13" s="54">
        <f t="shared" si="1"/>
        <v>77.5</v>
      </c>
      <c r="Z13" s="11" t="s">
        <v>438</v>
      </c>
      <c r="AA13" s="11" t="s">
        <v>524</v>
      </c>
    </row>
    <row r="14" spans="1:27" ht="40.049999999999997" customHeight="1" x14ac:dyDescent="0.3">
      <c r="A14" s="11">
        <v>3</v>
      </c>
      <c r="B14" s="11" t="s">
        <v>659</v>
      </c>
      <c r="E14" s="11" t="s">
        <v>522</v>
      </c>
      <c r="G14" s="11" t="s">
        <v>58</v>
      </c>
      <c r="I14" s="11" t="s">
        <v>391</v>
      </c>
      <c r="J14" s="11" t="s">
        <v>514</v>
      </c>
      <c r="L14" s="11" t="s">
        <v>509</v>
      </c>
      <c r="M14" s="11">
        <v>1</v>
      </c>
      <c r="N14" s="11">
        <v>1</v>
      </c>
      <c r="O14" s="11">
        <v>4</v>
      </c>
      <c r="P14" s="58">
        <f>0.092903*(30*40)</f>
        <v>111.4836</v>
      </c>
      <c r="Q14" s="53">
        <f t="shared" si="3"/>
        <v>100.33524</v>
      </c>
      <c r="R14" s="54">
        <f t="shared" si="2"/>
        <v>25.08381</v>
      </c>
      <c r="S14" s="42" t="s">
        <v>30</v>
      </c>
      <c r="U14" s="11">
        <f>0.52*1000</f>
        <v>520</v>
      </c>
      <c r="V14" s="11" t="s">
        <v>244</v>
      </c>
      <c r="W14" s="54">
        <f t="shared" si="0"/>
        <v>5.1826257653841266</v>
      </c>
      <c r="X14" s="11">
        <v>1</v>
      </c>
      <c r="Y14" s="54">
        <f t="shared" si="1"/>
        <v>130</v>
      </c>
      <c r="Z14" s="11" t="s">
        <v>438</v>
      </c>
      <c r="AA14" s="11" t="s">
        <v>524</v>
      </c>
    </row>
    <row r="15" spans="1:27" ht="40.049999999999997" customHeight="1" x14ac:dyDescent="0.3">
      <c r="A15" s="11">
        <v>3</v>
      </c>
      <c r="B15" s="11" t="s">
        <v>659</v>
      </c>
      <c r="E15" s="11" t="s">
        <v>522</v>
      </c>
      <c r="G15" s="11" t="s">
        <v>58</v>
      </c>
      <c r="I15" s="11" t="s">
        <v>391</v>
      </c>
      <c r="J15" s="11" t="s">
        <v>511</v>
      </c>
      <c r="L15" s="11" t="s">
        <v>75</v>
      </c>
      <c r="M15" s="11">
        <v>1</v>
      </c>
      <c r="N15" s="11">
        <v>1</v>
      </c>
      <c r="O15" s="11">
        <v>4</v>
      </c>
      <c r="P15" s="58">
        <f>0.092903*1400</f>
        <v>130.0642</v>
      </c>
      <c r="Q15" s="53">
        <f t="shared" si="3"/>
        <v>117.05778000000001</v>
      </c>
      <c r="R15" s="54">
        <f t="shared" si="2"/>
        <v>29.264445000000002</v>
      </c>
      <c r="S15" s="42" t="s">
        <v>290</v>
      </c>
      <c r="U15" s="11">
        <f>0.31*1000</f>
        <v>310</v>
      </c>
      <c r="V15" s="11" t="s">
        <v>244</v>
      </c>
      <c r="W15" s="54">
        <f t="shared" si="0"/>
        <v>2.6482648141798006</v>
      </c>
      <c r="X15" s="11">
        <v>1</v>
      </c>
      <c r="Y15" s="54">
        <f t="shared" si="1"/>
        <v>77.5</v>
      </c>
      <c r="Z15" s="11" t="s">
        <v>438</v>
      </c>
      <c r="AA15" s="11" t="s">
        <v>524</v>
      </c>
    </row>
    <row r="16" spans="1:27" ht="40.049999999999997" customHeight="1" x14ac:dyDescent="0.3">
      <c r="A16" s="11">
        <v>3</v>
      </c>
      <c r="B16" s="11" t="s">
        <v>659</v>
      </c>
      <c r="E16" s="11" t="s">
        <v>522</v>
      </c>
      <c r="G16" s="11" t="s">
        <v>58</v>
      </c>
      <c r="I16" s="11" t="s">
        <v>391</v>
      </c>
      <c r="J16" s="11" t="s">
        <v>515</v>
      </c>
      <c r="L16" s="11" t="s">
        <v>75</v>
      </c>
      <c r="M16" s="11">
        <v>1</v>
      </c>
      <c r="N16" s="11">
        <v>1</v>
      </c>
      <c r="O16" s="11">
        <v>4</v>
      </c>
      <c r="P16" s="58">
        <f>0.092903*1400</f>
        <v>130.0642</v>
      </c>
      <c r="Q16" s="53">
        <f t="shared" si="3"/>
        <v>117.05778000000001</v>
      </c>
      <c r="R16" s="54">
        <f t="shared" si="2"/>
        <v>29.264445000000002</v>
      </c>
      <c r="S16" s="42" t="s">
        <v>30</v>
      </c>
      <c r="U16" s="11">
        <f>0.44*1000</f>
        <v>440</v>
      </c>
      <c r="V16" s="11" t="s">
        <v>244</v>
      </c>
      <c r="W16" s="54">
        <f t="shared" si="0"/>
        <v>3.7588274781906845</v>
      </c>
      <c r="X16" s="11">
        <v>1</v>
      </c>
      <c r="Y16" s="54">
        <f t="shared" si="1"/>
        <v>110</v>
      </c>
      <c r="Z16" s="11" t="s">
        <v>438</v>
      </c>
      <c r="AA16" s="11" t="s">
        <v>524</v>
      </c>
    </row>
    <row r="17" spans="1:27" ht="43.2" x14ac:dyDescent="0.3">
      <c r="A17" s="11">
        <v>3</v>
      </c>
      <c r="B17" s="11" t="s">
        <v>659</v>
      </c>
      <c r="E17" s="11" t="s">
        <v>522</v>
      </c>
      <c r="G17" s="11" t="s">
        <v>58</v>
      </c>
      <c r="I17" s="11" t="s">
        <v>391</v>
      </c>
      <c r="J17" s="11" t="s">
        <v>516</v>
      </c>
      <c r="L17" s="11" t="s">
        <v>75</v>
      </c>
      <c r="M17" s="11">
        <v>1</v>
      </c>
      <c r="N17" s="11">
        <v>1</v>
      </c>
      <c r="O17" s="11">
        <v>4</v>
      </c>
      <c r="P17" s="58">
        <f>0.092903*1400</f>
        <v>130.0642</v>
      </c>
      <c r="Q17" s="53">
        <f t="shared" si="3"/>
        <v>117.05778000000001</v>
      </c>
      <c r="R17" s="54">
        <f t="shared" si="2"/>
        <v>29.264445000000002</v>
      </c>
      <c r="S17" s="42" t="s">
        <v>65</v>
      </c>
      <c r="T17" s="11">
        <v>2320</v>
      </c>
      <c r="U17" s="53">
        <f>(17.86/1.308)*T17</f>
        <v>31678.2874617737</v>
      </c>
      <c r="V17" s="11" t="s">
        <v>244</v>
      </c>
      <c r="W17" s="54">
        <f>U17/Q17</f>
        <v>270.62094857576915</v>
      </c>
      <c r="X17" s="11">
        <v>1</v>
      </c>
      <c r="Y17" s="54">
        <f>U17/O17</f>
        <v>7919.5718654434249</v>
      </c>
      <c r="Z17" s="11" t="s">
        <v>438</v>
      </c>
      <c r="AA17" s="11" t="s">
        <v>524</v>
      </c>
    </row>
    <row r="18" spans="1:27" ht="43.2" x14ac:dyDescent="0.3">
      <c r="A18" s="11">
        <v>3</v>
      </c>
      <c r="B18" s="11" t="s">
        <v>659</v>
      </c>
      <c r="E18" s="11" t="s">
        <v>522</v>
      </c>
      <c r="G18" s="11" t="s">
        <v>58</v>
      </c>
      <c r="I18" s="11" t="s">
        <v>391</v>
      </c>
      <c r="J18" s="11" t="s">
        <v>510</v>
      </c>
      <c r="L18" s="11" t="s">
        <v>512</v>
      </c>
      <c r="M18" s="11">
        <v>1</v>
      </c>
      <c r="N18" s="11">
        <v>1</v>
      </c>
      <c r="O18" s="11">
        <v>4</v>
      </c>
      <c r="P18" s="58">
        <f>0.092903*(42*50)</f>
        <v>195.09629999999999</v>
      </c>
      <c r="Q18" s="53">
        <f t="shared" si="3"/>
        <v>175.58667</v>
      </c>
      <c r="R18" s="54">
        <f t="shared" si="2"/>
        <v>43.8966675</v>
      </c>
      <c r="S18" s="42" t="s">
        <v>290</v>
      </c>
      <c r="U18" s="53">
        <f>0.31*1000</f>
        <v>310</v>
      </c>
      <c r="V18" s="11" t="s">
        <v>244</v>
      </c>
      <c r="W18" s="54">
        <f t="shared" si="0"/>
        <v>1.7655098761198673</v>
      </c>
      <c r="X18" s="11">
        <v>1</v>
      </c>
      <c r="Y18" s="54">
        <f t="shared" si="1"/>
        <v>77.5</v>
      </c>
      <c r="Z18" s="11" t="s">
        <v>438</v>
      </c>
      <c r="AA18" s="11" t="s">
        <v>524</v>
      </c>
    </row>
    <row r="19" spans="1:27" ht="43.2" x14ac:dyDescent="0.3">
      <c r="A19" s="11">
        <v>3</v>
      </c>
      <c r="B19" s="11" t="s">
        <v>659</v>
      </c>
      <c r="E19" s="11" t="s">
        <v>522</v>
      </c>
      <c r="G19" s="11" t="s">
        <v>58</v>
      </c>
      <c r="I19" s="11" t="s">
        <v>391</v>
      </c>
      <c r="J19" s="11" t="s">
        <v>517</v>
      </c>
      <c r="L19" s="11" t="s">
        <v>512</v>
      </c>
      <c r="M19" s="11">
        <v>1</v>
      </c>
      <c r="N19" s="11">
        <v>1</v>
      </c>
      <c r="O19" s="11">
        <v>4</v>
      </c>
      <c r="P19" s="58">
        <f>0.092903*(42*50)</f>
        <v>195.09629999999999</v>
      </c>
      <c r="Q19" s="53">
        <f t="shared" si="3"/>
        <v>175.58667</v>
      </c>
      <c r="R19" s="54">
        <f t="shared" si="2"/>
        <v>43.8966675</v>
      </c>
      <c r="S19" s="42" t="s">
        <v>30</v>
      </c>
      <c r="U19" s="53">
        <f>0.51*1000</f>
        <v>510</v>
      </c>
      <c r="V19" s="11" t="s">
        <v>244</v>
      </c>
      <c r="W19" s="54">
        <f t="shared" si="0"/>
        <v>2.9045485058746201</v>
      </c>
      <c r="X19" s="11">
        <v>1</v>
      </c>
      <c r="Y19" s="54">
        <f t="shared" si="1"/>
        <v>127.5</v>
      </c>
      <c r="Z19" s="11" t="s">
        <v>438</v>
      </c>
      <c r="AA19" s="11" t="s">
        <v>524</v>
      </c>
    </row>
    <row r="20" spans="1:27" ht="43.2" x14ac:dyDescent="0.3">
      <c r="A20" s="11">
        <v>3</v>
      </c>
      <c r="B20" s="11" t="s">
        <v>659</v>
      </c>
      <c r="E20" s="11" t="s">
        <v>522</v>
      </c>
      <c r="G20" s="11" t="s">
        <v>58</v>
      </c>
      <c r="I20" s="11" t="s">
        <v>391</v>
      </c>
      <c r="J20" s="11" t="s">
        <v>518</v>
      </c>
      <c r="L20" s="11" t="s">
        <v>512</v>
      </c>
      <c r="M20" s="11">
        <v>1</v>
      </c>
      <c r="N20" s="11">
        <v>1</v>
      </c>
      <c r="O20" s="11">
        <v>4</v>
      </c>
      <c r="P20" s="58">
        <f>0.092903*(42*50)</f>
        <v>195.09629999999999</v>
      </c>
      <c r="Q20" s="53">
        <f t="shared" si="3"/>
        <v>175.58667</v>
      </c>
      <c r="R20" s="54">
        <f t="shared" si="2"/>
        <v>43.8966675</v>
      </c>
      <c r="S20" s="42" t="s">
        <v>65</v>
      </c>
      <c r="T20" s="11">
        <v>2320</v>
      </c>
      <c r="U20" s="53">
        <f>(26.79/1.308)*T20</f>
        <v>47517.431192660544</v>
      </c>
      <c r="V20" s="11" t="s">
        <v>244</v>
      </c>
      <c r="W20" s="54">
        <f>U20/Q20</f>
        <v>270.62094857576915</v>
      </c>
      <c r="X20" s="11">
        <v>1</v>
      </c>
      <c r="Y20" s="54">
        <f>U20/O20</f>
        <v>11879.357798165136</v>
      </c>
      <c r="Z20" s="11" t="s">
        <v>438</v>
      </c>
      <c r="AA20" s="11" t="s">
        <v>524</v>
      </c>
    </row>
    <row r="21" spans="1:27" ht="43.2" x14ac:dyDescent="0.3">
      <c r="A21" s="11">
        <v>3</v>
      </c>
      <c r="B21" s="11" t="s">
        <v>659</v>
      </c>
      <c r="E21" s="11" t="s">
        <v>522</v>
      </c>
      <c r="G21" s="11" t="s">
        <v>58</v>
      </c>
      <c r="I21" s="11" t="s">
        <v>440</v>
      </c>
      <c r="J21" s="11" t="s">
        <v>513</v>
      </c>
      <c r="L21" s="11" t="s">
        <v>75</v>
      </c>
      <c r="M21" s="11">
        <v>10</v>
      </c>
      <c r="N21" s="11">
        <f>10*M21</f>
        <v>100</v>
      </c>
      <c r="O21" s="11">
        <f>4*N21</f>
        <v>400</v>
      </c>
      <c r="P21" s="58">
        <f>0.092903*1000*N21</f>
        <v>9290.3000000000011</v>
      </c>
      <c r="Q21" s="53">
        <f t="shared" si="3"/>
        <v>8361.27</v>
      </c>
      <c r="R21" s="54">
        <f t="shared" si="2"/>
        <v>20.903175000000001</v>
      </c>
      <c r="S21" s="42" t="s">
        <v>290</v>
      </c>
      <c r="U21" s="53">
        <f>25.48*1000</f>
        <v>25480</v>
      </c>
      <c r="V21" s="11" t="s">
        <v>244</v>
      </c>
      <c r="W21" s="54">
        <f t="shared" si="0"/>
        <v>3.0473839500458659</v>
      </c>
      <c r="X21" s="11">
        <v>4</v>
      </c>
      <c r="Y21" s="54">
        <f t="shared" si="1"/>
        <v>63.7</v>
      </c>
      <c r="Z21" s="11" t="s">
        <v>438</v>
      </c>
      <c r="AA21" s="11" t="s">
        <v>494</v>
      </c>
    </row>
    <row r="22" spans="1:27" ht="43.2" x14ac:dyDescent="0.3">
      <c r="A22" s="11">
        <v>3</v>
      </c>
      <c r="B22" s="11" t="s">
        <v>659</v>
      </c>
      <c r="E22" s="11" t="s">
        <v>522</v>
      </c>
      <c r="G22" s="11" t="s">
        <v>58</v>
      </c>
      <c r="I22" s="11" t="s">
        <v>440</v>
      </c>
      <c r="J22" s="11" t="s">
        <v>513</v>
      </c>
      <c r="L22" s="11" t="s">
        <v>75</v>
      </c>
      <c r="M22" s="11">
        <v>10</v>
      </c>
      <c r="N22" s="11">
        <f>10*M22</f>
        <v>100</v>
      </c>
      <c r="O22" s="11">
        <f>4*N22</f>
        <v>400</v>
      </c>
      <c r="P22" s="58">
        <f>0.092903*1000*N22</f>
        <v>9290.3000000000011</v>
      </c>
      <c r="Q22" s="53">
        <f t="shared" si="3"/>
        <v>8361.27</v>
      </c>
      <c r="R22" s="54">
        <f t="shared" si="2"/>
        <v>20.903175000000001</v>
      </c>
      <c r="S22" s="42" t="s">
        <v>30</v>
      </c>
      <c r="U22" s="53">
        <f>(101.38+27.57+50.5+0.99+333.65)*1000</f>
        <v>514089.99999999994</v>
      </c>
      <c r="V22" s="11" t="s">
        <v>244</v>
      </c>
      <c r="W22" s="54">
        <f t="shared" si="0"/>
        <v>61.484678762915195</v>
      </c>
      <c r="X22" s="11">
        <v>4</v>
      </c>
      <c r="Y22" s="54">
        <f t="shared" si="1"/>
        <v>1285.2249999999999</v>
      </c>
      <c r="Z22" s="11" t="s">
        <v>438</v>
      </c>
      <c r="AA22" s="11" t="s">
        <v>494</v>
      </c>
    </row>
    <row r="23" spans="1:27" ht="43.2" x14ac:dyDescent="0.3">
      <c r="A23" s="11">
        <v>3</v>
      </c>
      <c r="B23" s="11" t="s">
        <v>659</v>
      </c>
      <c r="E23" s="11" t="s">
        <v>522</v>
      </c>
      <c r="G23" s="11" t="s">
        <v>58</v>
      </c>
      <c r="I23" s="11" t="s">
        <v>440</v>
      </c>
      <c r="J23" s="11" t="s">
        <v>513</v>
      </c>
      <c r="L23" s="11" t="s">
        <v>75</v>
      </c>
      <c r="M23" s="11">
        <v>10</v>
      </c>
      <c r="N23" s="11">
        <f>10*M23</f>
        <v>100</v>
      </c>
      <c r="O23" s="11">
        <f>4*N23</f>
        <v>400</v>
      </c>
      <c r="P23" s="58">
        <f>0.092903*1000*N23</f>
        <v>9290.3000000000011</v>
      </c>
      <c r="Q23" s="53">
        <f t="shared" si="3"/>
        <v>8361.27</v>
      </c>
      <c r="R23" s="54">
        <f t="shared" si="2"/>
        <v>20.903175000000001</v>
      </c>
      <c r="S23" s="42" t="s">
        <v>65</v>
      </c>
      <c r="T23" s="11">
        <v>2320</v>
      </c>
      <c r="U23" s="53">
        <f>((127.59+1122.78)/1.308)*T23</f>
        <v>2217781.6513761464</v>
      </c>
      <c r="V23" s="11" t="s">
        <v>244</v>
      </c>
      <c r="W23" s="54">
        <f t="shared" si="0"/>
        <v>265.24459219426546</v>
      </c>
      <c r="X23" s="11">
        <v>4</v>
      </c>
      <c r="Y23" s="54">
        <f t="shared" si="1"/>
        <v>5544.4541284403658</v>
      </c>
      <c r="Z23" s="11" t="s">
        <v>438</v>
      </c>
      <c r="AA23" s="11" t="s">
        <v>494</v>
      </c>
    </row>
    <row r="24" spans="1:27" ht="43.2" x14ac:dyDescent="0.3">
      <c r="A24" s="11">
        <v>3</v>
      </c>
      <c r="B24" s="11" t="s">
        <v>659</v>
      </c>
      <c r="E24" s="11" t="s">
        <v>522</v>
      </c>
      <c r="G24" s="11" t="s">
        <v>58</v>
      </c>
      <c r="I24" s="11" t="s">
        <v>441</v>
      </c>
      <c r="J24" s="11" t="s">
        <v>519</v>
      </c>
      <c r="L24" s="11" t="s">
        <v>75</v>
      </c>
      <c r="M24" s="11">
        <v>3</v>
      </c>
      <c r="N24" s="11">
        <f t="shared" ref="N24:N29" si="4">5*M24</f>
        <v>15</v>
      </c>
      <c r="O24" s="11">
        <f>3*N24</f>
        <v>45</v>
      </c>
      <c r="P24" s="58">
        <f>((720+1040)/2)*0.092903*N24</f>
        <v>1226.3195999999998</v>
      </c>
      <c r="Q24" s="53">
        <f t="shared" si="3"/>
        <v>1103.6876399999999</v>
      </c>
      <c r="R24" s="54">
        <f t="shared" si="2"/>
        <v>24.526391999999998</v>
      </c>
      <c r="S24" s="42" t="s">
        <v>290</v>
      </c>
      <c r="U24" s="11">
        <f>3.62*1000</f>
        <v>3620</v>
      </c>
      <c r="V24" s="11" t="s">
        <v>244</v>
      </c>
      <c r="W24" s="54">
        <f t="shared" si="0"/>
        <v>3.2799135088619824</v>
      </c>
      <c r="X24" s="11">
        <v>3</v>
      </c>
      <c r="Y24" s="54">
        <f t="shared" si="1"/>
        <v>80.444444444444443</v>
      </c>
      <c r="Z24" s="11" t="s">
        <v>438</v>
      </c>
      <c r="AA24" s="11" t="s">
        <v>494</v>
      </c>
    </row>
    <row r="25" spans="1:27" ht="43.2" x14ac:dyDescent="0.3">
      <c r="A25" s="11">
        <v>3</v>
      </c>
      <c r="B25" s="11" t="s">
        <v>659</v>
      </c>
      <c r="E25" s="11" t="s">
        <v>522</v>
      </c>
      <c r="G25" s="11" t="s">
        <v>58</v>
      </c>
      <c r="I25" s="11" t="s">
        <v>441</v>
      </c>
      <c r="J25" s="11" t="s">
        <v>519</v>
      </c>
      <c r="L25" s="11" t="s">
        <v>75</v>
      </c>
      <c r="M25" s="11">
        <v>3</v>
      </c>
      <c r="N25" s="11">
        <f t="shared" si="4"/>
        <v>15</v>
      </c>
      <c r="O25" s="11">
        <f>3*N25</f>
        <v>45</v>
      </c>
      <c r="P25" s="58">
        <f>((720+1040)/2)*0.092903*N25</f>
        <v>1226.3195999999998</v>
      </c>
      <c r="Q25" s="53">
        <f t="shared" si="3"/>
        <v>1103.6876399999999</v>
      </c>
      <c r="R25" s="54">
        <f t="shared" si="2"/>
        <v>24.526391999999998</v>
      </c>
      <c r="S25" s="42" t="s">
        <v>30</v>
      </c>
      <c r="U25" s="11">
        <f>2.37*1000</f>
        <v>2370</v>
      </c>
      <c r="V25" s="11" t="s">
        <v>244</v>
      </c>
      <c r="W25" s="54">
        <f t="shared" si="0"/>
        <v>2.1473466895035629</v>
      </c>
      <c r="X25" s="11">
        <v>3</v>
      </c>
      <c r="Y25" s="54">
        <f t="shared" si="1"/>
        <v>52.666666666666664</v>
      </c>
      <c r="Z25" s="11" t="s">
        <v>438</v>
      </c>
      <c r="AA25" s="11" t="s">
        <v>494</v>
      </c>
    </row>
    <row r="26" spans="1:27" ht="43.2" x14ac:dyDescent="0.3">
      <c r="A26" s="11">
        <v>3</v>
      </c>
      <c r="B26" s="11" t="s">
        <v>659</v>
      </c>
      <c r="E26" s="11" t="s">
        <v>522</v>
      </c>
      <c r="G26" s="11" t="s">
        <v>58</v>
      </c>
      <c r="I26" s="11" t="s">
        <v>441</v>
      </c>
      <c r="J26" s="11" t="s">
        <v>519</v>
      </c>
      <c r="L26" s="11" t="s">
        <v>75</v>
      </c>
      <c r="M26" s="11">
        <v>3</v>
      </c>
      <c r="N26" s="11">
        <f t="shared" si="4"/>
        <v>15</v>
      </c>
      <c r="O26" s="11">
        <f>3*N26</f>
        <v>45</v>
      </c>
      <c r="P26" s="58">
        <f>((720+1040)/2)*0.092903*N26</f>
        <v>1226.3195999999998</v>
      </c>
      <c r="Q26" s="53">
        <f t="shared" si="3"/>
        <v>1103.6876399999999</v>
      </c>
      <c r="R26" s="54">
        <f t="shared" si="2"/>
        <v>24.526391999999998</v>
      </c>
      <c r="S26" s="42" t="s">
        <v>65</v>
      </c>
      <c r="T26" s="11">
        <v>2320</v>
      </c>
      <c r="U26" s="53">
        <f>(53.08/1.308)*T26</f>
        <v>94148.012232415902</v>
      </c>
      <c r="V26" s="11" t="s">
        <v>244</v>
      </c>
      <c r="W26" s="54">
        <f>U26/Q26</f>
        <v>85.303131810387868</v>
      </c>
      <c r="X26" s="11">
        <v>3</v>
      </c>
      <c r="Y26" s="54">
        <f t="shared" si="1"/>
        <v>2092.1780496092424</v>
      </c>
      <c r="Z26" s="11" t="s">
        <v>438</v>
      </c>
      <c r="AA26" s="11" t="s">
        <v>494</v>
      </c>
    </row>
    <row r="27" spans="1:27" ht="43.2" x14ac:dyDescent="0.3">
      <c r="A27" s="11">
        <v>3</v>
      </c>
      <c r="B27" s="11" t="s">
        <v>659</v>
      </c>
      <c r="E27" s="11" t="s">
        <v>522</v>
      </c>
      <c r="G27" s="11" t="s">
        <v>58</v>
      </c>
      <c r="I27" s="11" t="s">
        <v>441</v>
      </c>
      <c r="J27" s="11" t="s">
        <v>636</v>
      </c>
      <c r="L27" s="11" t="s">
        <v>637</v>
      </c>
      <c r="M27" s="11">
        <v>3</v>
      </c>
      <c r="N27" s="11">
        <f t="shared" si="4"/>
        <v>15</v>
      </c>
      <c r="O27" s="11">
        <f>4*N27</f>
        <v>60</v>
      </c>
      <c r="P27" s="58">
        <f>0.092903*1296*N27</f>
        <v>1806.03432</v>
      </c>
      <c r="Q27" s="53">
        <f t="shared" si="3"/>
        <v>1625.4308880000001</v>
      </c>
      <c r="R27" s="54">
        <f t="shared" si="2"/>
        <v>27.090514800000001</v>
      </c>
      <c r="S27" s="42" t="s">
        <v>290</v>
      </c>
      <c r="U27" s="11">
        <f>10.67*1000</f>
        <v>10670</v>
      </c>
      <c r="V27" s="11" t="s">
        <v>244</v>
      </c>
      <c r="W27" s="54">
        <f t="shared" si="0"/>
        <v>6.564413214227045</v>
      </c>
      <c r="X27" s="11">
        <v>3</v>
      </c>
      <c r="Y27" s="54">
        <f t="shared" si="1"/>
        <v>177.83333333333334</v>
      </c>
      <c r="Z27" s="11" t="s">
        <v>438</v>
      </c>
      <c r="AA27" s="11" t="s">
        <v>494</v>
      </c>
    </row>
    <row r="28" spans="1:27" ht="43.2" x14ac:dyDescent="0.3">
      <c r="A28" s="11">
        <v>3</v>
      </c>
      <c r="B28" s="11" t="s">
        <v>659</v>
      </c>
      <c r="E28" s="11" t="s">
        <v>522</v>
      </c>
      <c r="G28" s="11" t="s">
        <v>58</v>
      </c>
      <c r="I28" s="11" t="s">
        <v>441</v>
      </c>
      <c r="J28" s="11" t="s">
        <v>636</v>
      </c>
      <c r="L28" s="11" t="s">
        <v>637</v>
      </c>
      <c r="M28" s="11">
        <v>3</v>
      </c>
      <c r="N28" s="11">
        <f t="shared" si="4"/>
        <v>15</v>
      </c>
      <c r="O28" s="11">
        <f>4*N28</f>
        <v>60</v>
      </c>
      <c r="P28" s="58">
        <f>0.092903*1296*N28</f>
        <v>1806.03432</v>
      </c>
      <c r="Q28" s="53">
        <f t="shared" si="3"/>
        <v>1625.4308880000001</v>
      </c>
      <c r="R28" s="54">
        <f t="shared" si="2"/>
        <v>27.090514800000001</v>
      </c>
      <c r="S28" s="42" t="s">
        <v>30</v>
      </c>
      <c r="U28" s="11">
        <f>0.53*1000</f>
        <v>530</v>
      </c>
      <c r="V28" s="11" t="s">
        <v>244</v>
      </c>
      <c r="W28" s="54">
        <f>U28/Q28</f>
        <v>0.32606738552393005</v>
      </c>
      <c r="X28" s="11">
        <v>3</v>
      </c>
      <c r="Y28" s="54">
        <f t="shared" si="1"/>
        <v>8.8333333333333339</v>
      </c>
      <c r="Z28" s="11" t="s">
        <v>438</v>
      </c>
      <c r="AA28" s="11" t="s">
        <v>494</v>
      </c>
    </row>
    <row r="29" spans="1:27" ht="43.2" x14ac:dyDescent="0.3">
      <c r="A29" s="11">
        <v>3</v>
      </c>
      <c r="B29" s="11" t="s">
        <v>659</v>
      </c>
      <c r="E29" s="11" t="s">
        <v>522</v>
      </c>
      <c r="G29" s="11" t="s">
        <v>58</v>
      </c>
      <c r="I29" s="11" t="s">
        <v>441</v>
      </c>
      <c r="J29" s="11" t="s">
        <v>636</v>
      </c>
      <c r="L29" s="11" t="s">
        <v>637</v>
      </c>
      <c r="M29" s="11">
        <v>3</v>
      </c>
      <c r="N29" s="11">
        <f t="shared" si="4"/>
        <v>15</v>
      </c>
      <c r="O29" s="11">
        <f>4*N29</f>
        <v>60</v>
      </c>
      <c r="P29" s="58">
        <f>0.092903*1296*N29</f>
        <v>1806.03432</v>
      </c>
      <c r="Q29" s="53">
        <f t="shared" si="3"/>
        <v>1625.4308880000001</v>
      </c>
      <c r="R29" s="54">
        <f t="shared" si="2"/>
        <v>27.090514800000001</v>
      </c>
      <c r="S29" s="42" t="s">
        <v>65</v>
      </c>
      <c r="T29" s="11">
        <v>2320</v>
      </c>
      <c r="U29" s="53">
        <f>(27.56/1.308)*T29</f>
        <v>48883.180428134554</v>
      </c>
      <c r="V29" s="11" t="s">
        <v>244</v>
      </c>
      <c r="W29" s="54">
        <f>U29/Q29</f>
        <v>30.073982713766757</v>
      </c>
      <c r="X29" s="11">
        <v>3</v>
      </c>
      <c r="Y29" s="54">
        <f>U29/O29</f>
        <v>814.7196738022426</v>
      </c>
      <c r="Z29" s="11" t="s">
        <v>438</v>
      </c>
      <c r="AA29" s="11" t="s">
        <v>494</v>
      </c>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AA1"/>
  <sheetViews>
    <sheetView zoomScaleNormal="100" workbookViewId="0">
      <selection activeCell="F11" sqref="F11"/>
    </sheetView>
  </sheetViews>
  <sheetFormatPr defaultColWidth="9.21875" defaultRowHeight="14.4" x14ac:dyDescent="0.3"/>
  <cols>
    <col min="1" max="1" width="4.77734375" style="11" customWidth="1"/>
    <col min="2" max="2" width="10.77734375" style="11" customWidth="1"/>
    <col min="3" max="4" width="13" style="11" customWidth="1"/>
    <col min="5" max="5" width="25" style="11" customWidth="1"/>
    <col min="6" max="6" width="19.21875" style="11" customWidth="1"/>
    <col min="7" max="7" width="9.21875" style="11"/>
    <col min="8" max="8" width="16.21875" style="11" customWidth="1"/>
    <col min="9" max="9" width="27.77734375" style="11" customWidth="1"/>
    <col min="10" max="10" width="16" style="11" customWidth="1"/>
    <col min="11" max="11" width="12.44140625" style="11" customWidth="1"/>
    <col min="12" max="13" width="22.44140625" style="11" customWidth="1"/>
    <col min="14" max="14" width="23" style="11" customWidth="1"/>
    <col min="15" max="15" width="13.21875" style="11" customWidth="1"/>
    <col min="16" max="16" width="13.44140625" style="11" customWidth="1"/>
    <col min="17" max="17" width="12.21875" style="11" customWidth="1"/>
    <col min="18" max="18" width="13.21875" style="11" customWidth="1"/>
    <col min="19" max="19" width="12" style="11" customWidth="1"/>
    <col min="20" max="20" width="9.21875" style="11"/>
    <col min="21" max="21" width="9.44140625" style="11" bestFit="1" customWidth="1"/>
    <col min="22" max="22" width="9.21875" style="11"/>
    <col min="23" max="23" width="16.21875" style="11" customWidth="1"/>
    <col min="24" max="24" width="10.21875" style="11" customWidth="1"/>
    <col min="25" max="25" width="11.44140625" style="11" bestFit="1" customWidth="1"/>
    <col min="26" max="26" width="9.21875" style="11"/>
    <col min="27" max="27" width="15.44140625" style="11" customWidth="1"/>
    <col min="28" max="16384" width="9.21875" style="11"/>
  </cols>
  <sheetData>
    <row r="1" spans="1:27" ht="44.25" customHeight="1" x14ac:dyDescent="0.3">
      <c r="A1" s="56" t="s">
        <v>206</v>
      </c>
      <c r="B1" s="56" t="s">
        <v>205</v>
      </c>
      <c r="C1" s="56" t="s">
        <v>204</v>
      </c>
      <c r="D1" s="56" t="s">
        <v>649</v>
      </c>
      <c r="E1" s="56" t="s">
        <v>203</v>
      </c>
      <c r="F1" s="56" t="s">
        <v>417</v>
      </c>
      <c r="G1" s="56" t="s">
        <v>202</v>
      </c>
      <c r="H1" s="56" t="s">
        <v>201</v>
      </c>
      <c r="I1" s="56" t="s">
        <v>200</v>
      </c>
      <c r="J1" s="56" t="s">
        <v>240</v>
      </c>
      <c r="K1" s="56" t="s">
        <v>199</v>
      </c>
      <c r="L1" s="56" t="s">
        <v>198</v>
      </c>
      <c r="M1" s="56" t="s">
        <v>197</v>
      </c>
      <c r="N1" s="56" t="s">
        <v>196</v>
      </c>
      <c r="O1" s="57" t="s">
        <v>195</v>
      </c>
      <c r="P1" s="56" t="s">
        <v>194</v>
      </c>
      <c r="Q1" s="56" t="s">
        <v>415</v>
      </c>
      <c r="R1" s="56" t="s">
        <v>416</v>
      </c>
      <c r="S1" s="56" t="s">
        <v>193</v>
      </c>
      <c r="T1" s="56" t="s">
        <v>421</v>
      </c>
      <c r="U1" s="56" t="s">
        <v>521</v>
      </c>
      <c r="V1" s="56" t="s">
        <v>192</v>
      </c>
      <c r="W1" s="56" t="s">
        <v>386</v>
      </c>
      <c r="X1" s="56" t="s">
        <v>418</v>
      </c>
      <c r="Y1" s="56" t="s">
        <v>242</v>
      </c>
      <c r="Z1" s="57" t="s">
        <v>191</v>
      </c>
      <c r="AA1" s="56"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Description</vt:lpstr>
      <vt:lpstr>Housing types</vt:lpstr>
      <vt:lpstr>Materials</vt:lpstr>
      <vt:lpstr>Export</vt:lpstr>
      <vt:lpstr>Export2</vt:lpstr>
      <vt:lpstr>Boxplots</vt:lpstr>
      <vt:lpstr>Region 1</vt:lpstr>
      <vt:lpstr>Region 2</vt:lpstr>
      <vt:lpstr>Region 3</vt:lpstr>
      <vt:lpstr>Region 4</vt:lpstr>
      <vt:lpstr>Region 5</vt:lpstr>
      <vt:lpstr>Region 6</vt:lpstr>
      <vt:lpstr>Region 7</vt:lpstr>
      <vt:lpstr>Region 8</vt:lpstr>
      <vt:lpstr>Region 9</vt:lpstr>
      <vt:lpstr>Region 10</vt:lpstr>
      <vt:lpstr>Region 11</vt:lpstr>
      <vt:lpstr>Region 12</vt:lpstr>
      <vt:lpstr>Region 13</vt:lpstr>
      <vt:lpstr>Region 14</vt:lpstr>
      <vt:lpstr>Region 15</vt:lpstr>
      <vt:lpstr>Region 16</vt:lpstr>
      <vt:lpstr>Region 17</vt:lpstr>
      <vt:lpstr>Region 18</vt:lpstr>
      <vt:lpstr>Region 19</vt:lpstr>
      <vt:lpstr>Region 20</vt:lpstr>
      <vt:lpstr>Region 21</vt:lpstr>
      <vt:lpstr>Region 22</vt:lpstr>
      <vt:lpstr>Region 23</vt:lpstr>
      <vt:lpstr>Region 24</vt:lpstr>
      <vt:lpstr>Region 25</vt:lpstr>
      <vt:lpstr>Region 26</vt:lpstr>
    </vt:vector>
  </TitlesOfParts>
  <Company>Universiteit Leiden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Marinova, S.A.</dc:creator>
  <cp:lastModifiedBy>Deetman, S.P. (Sebastiaan)</cp:lastModifiedBy>
  <dcterms:created xsi:type="dcterms:W3CDTF">2018-03-15T10:29:04Z</dcterms:created>
  <dcterms:modified xsi:type="dcterms:W3CDTF">2019-11-13T13:17:56Z</dcterms:modified>
</cp:coreProperties>
</file>