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F104101\surfdrive\Paper_3\Python_compact_Github\excel files\"/>
    </mc:Choice>
  </mc:AlternateContent>
  <xr:revisionPtr revIDLastSave="0" documentId="13_ncr:1_{4C3C4745-1727-48A4-9B31-37EB23175EA2}" xr6:coauthVersionLast="41" xr6:coauthVersionMax="43" xr10:uidLastSave="{00000000-0000-0000-0000-000000000000}"/>
  <bookViews>
    <workbookView xWindow="-108" yWindow="-108" windowWidth="23256" windowHeight="12576" tabRatio="759" xr2:uid="{00000000-000D-0000-FFFF-FFFF00000000}"/>
  </bookViews>
  <sheets>
    <sheet name="COMPARE" sheetId="61" r:id="rId1"/>
    <sheet name="Compare_tranposed" sheetId="75" r:id="rId2"/>
    <sheet name="materials_commercial" sheetId="64" r:id="rId3"/>
    <sheet name="materials_commercial_mean" sheetId="78" r:id="rId4"/>
    <sheet name="materials_commercial_median" sheetId="81" r:id="rId5"/>
    <sheet name="materials_commercial_high" sheetId="79" r:id="rId6"/>
    <sheet name="materials_commercial_low" sheetId="80" r:id="rId7"/>
    <sheet name="Kashkooli" sheetId="12" r:id="rId8"/>
    <sheet name="Kofoworola" sheetId="30" r:id="rId9"/>
    <sheet name="Oka" sheetId="49" r:id="rId10"/>
    <sheet name="Kumanayake" sheetId="34" r:id="rId11"/>
    <sheet name="Reyna" sheetId="59" r:id="rId12"/>
    <sheet name="Ecoinvent" sheetId="63" r:id="rId13"/>
    <sheet name="Schebek" sheetId="66" r:id="rId14"/>
    <sheet name="Rossello-Batle" sheetId="68" r:id="rId15"/>
    <sheet name="Gruhler" sheetId="73" r:id="rId16"/>
    <sheet name="Marcellus‐Zamora" sheetId="74" r:id="rId17"/>
    <sheet name="Conversion_factors" sheetId="60" r:id="rId18"/>
    <sheet name="Ecoinvent_background" sheetId="6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4" i="65" l="1"/>
  <c r="AB15" i="65"/>
  <c r="AB16" i="65"/>
  <c r="AB17" i="65"/>
  <c r="AB13" i="65"/>
  <c r="Z31" i="65"/>
  <c r="Z32" i="65"/>
  <c r="Z33" i="65"/>
  <c r="Z34" i="65"/>
  <c r="Z30" i="65"/>
  <c r="Z14" i="65"/>
  <c r="Z15" i="65"/>
  <c r="Z16" i="65"/>
  <c r="Z17" i="65"/>
  <c r="Z13" i="65"/>
  <c r="K9" i="61" l="1"/>
  <c r="K8" i="61"/>
  <c r="K7" i="61"/>
  <c r="K6" i="61"/>
  <c r="K5" i="61"/>
  <c r="Q9" i="61"/>
  <c r="Q8" i="61"/>
  <c r="E5" i="64" s="1"/>
  <c r="Q7" i="61"/>
  <c r="H18" i="75" s="1"/>
  <c r="Q6" i="61"/>
  <c r="G18" i="75" s="1"/>
  <c r="Q5" i="61"/>
  <c r="F18" i="75" s="1"/>
  <c r="E19" i="75"/>
  <c r="D19" i="75"/>
  <c r="C19" i="75"/>
  <c r="E18" i="75"/>
  <c r="D18" i="75"/>
  <c r="C18" i="75"/>
  <c r="E17" i="75"/>
  <c r="D17" i="75"/>
  <c r="C17" i="75"/>
  <c r="E16" i="75"/>
  <c r="D16" i="75"/>
  <c r="C16" i="75"/>
  <c r="B16" i="75"/>
  <c r="E15" i="75"/>
  <c r="D15" i="75"/>
  <c r="C15" i="75"/>
  <c r="E14" i="75"/>
  <c r="D14" i="75"/>
  <c r="C14" i="75"/>
  <c r="E13" i="75"/>
  <c r="D13" i="75"/>
  <c r="C13" i="75"/>
  <c r="B13" i="75"/>
  <c r="E12" i="75"/>
  <c r="D12" i="75"/>
  <c r="C12" i="75"/>
  <c r="D11" i="75"/>
  <c r="C11" i="75"/>
  <c r="E10" i="75"/>
  <c r="D10" i="75"/>
  <c r="C10" i="75"/>
  <c r="E9" i="75"/>
  <c r="D9" i="75"/>
  <c r="C9" i="75"/>
  <c r="B9" i="75"/>
  <c r="D8" i="75"/>
  <c r="C8" i="75"/>
  <c r="E7" i="75"/>
  <c r="D7" i="75"/>
  <c r="C7" i="75"/>
  <c r="E6" i="75"/>
  <c r="D6" i="75"/>
  <c r="C6" i="75"/>
  <c r="E5" i="75"/>
  <c r="D5" i="75"/>
  <c r="C5" i="75"/>
  <c r="E4" i="75"/>
  <c r="D4" i="75"/>
  <c r="C4" i="75"/>
  <c r="E3" i="75"/>
  <c r="D3" i="75"/>
  <c r="C3" i="75"/>
  <c r="B3" i="75"/>
  <c r="K2" i="75"/>
  <c r="J2" i="75"/>
  <c r="I2" i="75"/>
  <c r="H2" i="75"/>
  <c r="G2" i="75"/>
  <c r="F2" i="75"/>
  <c r="E2" i="75"/>
  <c r="D2" i="75"/>
  <c r="R10" i="61"/>
  <c r="K19" i="75" s="1"/>
  <c r="R5" i="61"/>
  <c r="F19" i="75" s="1"/>
  <c r="W3" i="74"/>
  <c r="R6" i="61" s="1"/>
  <c r="G19" i="75" s="1"/>
  <c r="J18" i="75" l="1"/>
  <c r="E6" i="64"/>
  <c r="I18" i="75"/>
  <c r="N9" i="61"/>
  <c r="N8" i="61"/>
  <c r="N7" i="61"/>
  <c r="H15" i="75" s="1"/>
  <c r="N6" i="61"/>
  <c r="G15" i="75" s="1"/>
  <c r="N5" i="61"/>
  <c r="F15" i="75" s="1"/>
  <c r="J12" i="75"/>
  <c r="I12" i="75"/>
  <c r="H12" i="75"/>
  <c r="G12" i="75"/>
  <c r="F12" i="75"/>
  <c r="J15" i="75" l="1"/>
  <c r="I15" i="75"/>
  <c r="W22" i="68" l="1"/>
  <c r="W21" i="68"/>
  <c r="W20" i="68"/>
  <c r="W3" i="68"/>
  <c r="W10" i="68"/>
  <c r="W17" i="68"/>
  <c r="W19" i="68"/>
  <c r="W18" i="68"/>
  <c r="W16" i="68"/>
  <c r="W15" i="68"/>
  <c r="W14" i="68"/>
  <c r="W13" i="68"/>
  <c r="W12" i="68"/>
  <c r="W11" i="68"/>
  <c r="W9" i="68"/>
  <c r="W8" i="68"/>
  <c r="W7" i="68"/>
  <c r="W6" i="68"/>
  <c r="W5" i="68"/>
  <c r="W4" i="68"/>
  <c r="W2" i="68"/>
  <c r="W27" i="68" l="1"/>
  <c r="M8" i="61" s="1"/>
  <c r="W24" i="68"/>
  <c r="M7" i="61" s="1"/>
  <c r="H14" i="75" s="1"/>
  <c r="W28" i="68"/>
  <c r="W29" i="68"/>
  <c r="M5" i="61" s="1"/>
  <c r="F14" i="75" s="1"/>
  <c r="W30" i="68"/>
  <c r="M9" i="61" s="1"/>
  <c r="D6" i="64" s="1"/>
  <c r="W26" i="68"/>
  <c r="M10" i="61" s="1"/>
  <c r="K14" i="75" s="1"/>
  <c r="J14" i="75"/>
  <c r="W25" i="68"/>
  <c r="M6" i="61" s="1"/>
  <c r="G14" i="75" s="1"/>
  <c r="I14" i="75"/>
  <c r="D5" i="64"/>
  <c r="I6" i="65"/>
  <c r="T110" i="66" l="1"/>
  <c r="W110" i="66" s="1"/>
  <c r="J8" i="61" s="1"/>
  <c r="T111" i="66"/>
  <c r="W111" i="66" s="1"/>
  <c r="J7" i="61" s="1"/>
  <c r="H11" i="75" s="1"/>
  <c r="T112" i="66"/>
  <c r="W112" i="66" s="1"/>
  <c r="J6" i="61" s="1"/>
  <c r="G11" i="75" s="1"/>
  <c r="T113" i="66"/>
  <c r="W113" i="66" s="1"/>
  <c r="T114" i="66"/>
  <c r="W114" i="66" s="1"/>
  <c r="T115" i="66"/>
  <c r="W115" i="66" s="1"/>
  <c r="T109" i="66"/>
  <c r="W109" i="66" s="1"/>
  <c r="J5" i="61" s="1"/>
  <c r="F11" i="75" s="1"/>
  <c r="T103" i="66"/>
  <c r="W103" i="66" s="1"/>
  <c r="G8" i="61" s="1"/>
  <c r="I8" i="75" s="1"/>
  <c r="T104" i="66"/>
  <c r="W104" i="66" s="1"/>
  <c r="G7" i="61" s="1"/>
  <c r="H8" i="75" s="1"/>
  <c r="T105" i="66"/>
  <c r="W105" i="66" s="1"/>
  <c r="G6" i="61" s="1"/>
  <c r="G8" i="75" s="1"/>
  <c r="T106" i="66"/>
  <c r="W106" i="66" s="1"/>
  <c r="T107" i="66"/>
  <c r="W107" i="66" s="1"/>
  <c r="T108" i="66"/>
  <c r="W108" i="66" s="1"/>
  <c r="T102" i="66"/>
  <c r="W102" i="66" s="1"/>
  <c r="G5" i="61" s="1"/>
  <c r="F8" i="75" s="1"/>
  <c r="C5" i="64" l="1"/>
  <c r="I11" i="75"/>
  <c r="J9" i="61"/>
  <c r="J11" i="75" s="1"/>
  <c r="G9" i="61"/>
  <c r="J8" i="75" s="1"/>
  <c r="J10" i="61"/>
  <c r="K11" i="75" s="1"/>
  <c r="G10" i="61"/>
  <c r="K8" i="75" s="1"/>
  <c r="W3" i="66"/>
  <c r="W5" i="66"/>
  <c r="W6" i="66"/>
  <c r="W7" i="66"/>
  <c r="W8" i="66"/>
  <c r="W9" i="66"/>
  <c r="W12" i="66"/>
  <c r="W13" i="66"/>
  <c r="W15" i="66"/>
  <c r="W16" i="66"/>
  <c r="W17" i="66"/>
  <c r="W18" i="66"/>
  <c r="W19" i="66"/>
  <c r="W20" i="66"/>
  <c r="W21" i="66"/>
  <c r="W22" i="66"/>
  <c r="W23" i="66"/>
  <c r="W24" i="66"/>
  <c r="W25" i="66"/>
  <c r="W26" i="66"/>
  <c r="W27" i="66"/>
  <c r="W28" i="66"/>
  <c r="W30" i="66"/>
  <c r="W31" i="66"/>
  <c r="W32" i="66"/>
  <c r="W33" i="66"/>
  <c r="W34" i="66"/>
  <c r="W35" i="66"/>
  <c r="W37" i="66"/>
  <c r="W38" i="66"/>
  <c r="W39" i="66"/>
  <c r="W40" i="66"/>
  <c r="W41" i="66"/>
  <c r="W42" i="66"/>
  <c r="W44" i="66"/>
  <c r="W45" i="66"/>
  <c r="W46" i="66"/>
  <c r="W47" i="66"/>
  <c r="W48" i="66"/>
  <c r="W49" i="66"/>
  <c r="W50" i="66"/>
  <c r="W51" i="66"/>
  <c r="W52" i="66"/>
  <c r="W53" i="66"/>
  <c r="W54" i="66"/>
  <c r="W55" i="66"/>
  <c r="W56" i="66"/>
  <c r="W57" i="66"/>
  <c r="W58" i="66"/>
  <c r="W59" i="66"/>
  <c r="W61" i="66"/>
  <c r="W62" i="66"/>
  <c r="W65" i="66"/>
  <c r="W66" i="66"/>
  <c r="W68" i="66"/>
  <c r="W69" i="66"/>
  <c r="W70" i="66"/>
  <c r="W72" i="66"/>
  <c r="W73" i="66"/>
  <c r="W74" i="66"/>
  <c r="W75" i="66"/>
  <c r="W76" i="66"/>
  <c r="W77" i="66"/>
  <c r="W78" i="66"/>
  <c r="W79" i="66"/>
  <c r="W80" i="66"/>
  <c r="W81" i="66"/>
  <c r="W82" i="66"/>
  <c r="W83" i="66"/>
  <c r="W84" i="66"/>
  <c r="W85" i="66"/>
  <c r="W86" i="66"/>
  <c r="W87" i="66"/>
  <c r="W89" i="66"/>
  <c r="W90" i="66"/>
  <c r="W91" i="66"/>
  <c r="W92" i="66"/>
  <c r="W93" i="66"/>
  <c r="W94" i="66"/>
  <c r="W96" i="66"/>
  <c r="W97" i="66"/>
  <c r="W98" i="66"/>
  <c r="W99" i="66"/>
  <c r="W2" i="66"/>
  <c r="K55" i="65" l="1"/>
  <c r="K54" i="65"/>
  <c r="K53" i="65"/>
  <c r="W49" i="65" s="1"/>
  <c r="K52" i="65"/>
  <c r="W51" i="65" s="1"/>
  <c r="K51" i="65"/>
  <c r="K50" i="65"/>
  <c r="W53" i="65" s="1"/>
  <c r="K49" i="65"/>
  <c r="W52" i="65" s="1"/>
  <c r="K48" i="65"/>
  <c r="W55" i="65" s="1"/>
  <c r="K47" i="65"/>
  <c r="K46" i="65"/>
  <c r="K45" i="65"/>
  <c r="W50" i="65" s="1"/>
  <c r="I40" i="65"/>
  <c r="I39" i="65"/>
  <c r="I38" i="65"/>
  <c r="I35" i="65"/>
  <c r="K35" i="65" s="1"/>
  <c r="I34" i="65"/>
  <c r="K34" i="65" s="1"/>
  <c r="W35" i="65" s="1"/>
  <c r="W33" i="65"/>
  <c r="I33" i="65"/>
  <c r="K33" i="65" s="1"/>
  <c r="I32" i="65"/>
  <c r="K32" i="65" s="1"/>
  <c r="I31" i="65"/>
  <c r="K31" i="65" s="1"/>
  <c r="I30" i="65"/>
  <c r="K30" i="65" s="1"/>
  <c r="I29" i="65"/>
  <c r="K29" i="65" s="1"/>
  <c r="W32" i="65" s="1"/>
  <c r="I28" i="65"/>
  <c r="K28" i="65" s="1"/>
  <c r="W31" i="65" s="1"/>
  <c r="I27" i="65"/>
  <c r="K27" i="65" s="1"/>
  <c r="I26" i="65"/>
  <c r="K26" i="65" s="1"/>
  <c r="I17" i="65"/>
  <c r="K17" i="65" s="1"/>
  <c r="I16" i="65"/>
  <c r="K16" i="65" s="1"/>
  <c r="I15" i="65"/>
  <c r="K15" i="65" s="1"/>
  <c r="I14" i="65"/>
  <c r="K14" i="65" s="1"/>
  <c r="I13" i="65"/>
  <c r="K13" i="65" s="1"/>
  <c r="I12" i="65"/>
  <c r="K12" i="65" s="1"/>
  <c r="I11" i="65"/>
  <c r="K11" i="65" s="1"/>
  <c r="W17" i="65" s="1"/>
  <c r="I10" i="65"/>
  <c r="K10" i="65" s="1"/>
  <c r="I9" i="65"/>
  <c r="K9" i="65" s="1"/>
  <c r="W15" i="65" s="1"/>
  <c r="I8" i="65"/>
  <c r="K8" i="65" s="1"/>
  <c r="W14" i="65" s="1"/>
  <c r="I7" i="65"/>
  <c r="K7" i="65" s="1"/>
  <c r="K6" i="65"/>
  <c r="W34" i="65" l="1"/>
  <c r="W13" i="65"/>
  <c r="W16" i="65"/>
  <c r="W30" i="65"/>
  <c r="W54" i="65"/>
  <c r="U3" i="34"/>
  <c r="W6" i="34"/>
  <c r="O10" i="61" s="1"/>
  <c r="U7" i="34"/>
  <c r="W7" i="34" s="1"/>
  <c r="U2" i="34"/>
  <c r="U4" i="34"/>
  <c r="W4" i="34" s="1"/>
  <c r="O5" i="61" s="1"/>
  <c r="H11" i="61"/>
  <c r="B11" i="61"/>
  <c r="H6" i="61"/>
  <c r="G9" i="75" s="1"/>
  <c r="H7" i="61"/>
  <c r="H9" i="75" s="1"/>
  <c r="H9" i="61"/>
  <c r="H10" i="61"/>
  <c r="K9" i="75" s="1"/>
  <c r="H5" i="61"/>
  <c r="F9" i="75" s="1"/>
  <c r="S21" i="49"/>
  <c r="S22" i="49"/>
  <c r="S20" i="49"/>
  <c r="B6" i="61"/>
  <c r="B7" i="61"/>
  <c r="B8" i="61"/>
  <c r="B9" i="61"/>
  <c r="B10" i="61"/>
  <c r="B5" i="61"/>
  <c r="F16" i="75" l="1"/>
  <c r="K16" i="75"/>
  <c r="J3" i="75"/>
  <c r="I3" i="75"/>
  <c r="C6" i="64"/>
  <c r="J9" i="75"/>
  <c r="H3" i="75"/>
  <c r="F3" i="75"/>
  <c r="K3" i="75"/>
  <c r="G3" i="75"/>
  <c r="U10" i="59" l="1"/>
  <c r="U9" i="59"/>
  <c r="Q9" i="59"/>
  <c r="Q10" i="59"/>
  <c r="Q8" i="59"/>
  <c r="U42" i="59"/>
  <c r="U41" i="59"/>
  <c r="Q42" i="59"/>
  <c r="U37" i="59"/>
  <c r="Q38" i="59"/>
  <c r="Q39" i="59"/>
  <c r="W39" i="59" s="1"/>
  <c r="Q40" i="59"/>
  <c r="Q41" i="59"/>
  <c r="Q37" i="59"/>
  <c r="U36" i="59"/>
  <c r="W11" i="60"/>
  <c r="Z11" i="60" s="1"/>
  <c r="C11" i="60" s="1"/>
  <c r="U33" i="59"/>
  <c r="Q33" i="59"/>
  <c r="Q34" i="59"/>
  <c r="Q36" i="59"/>
  <c r="Q35" i="59"/>
  <c r="W35" i="59" s="1"/>
  <c r="U32" i="59"/>
  <c r="Q30" i="59"/>
  <c r="Q31" i="59"/>
  <c r="W31" i="59" s="1"/>
  <c r="Q32" i="59"/>
  <c r="U30" i="59"/>
  <c r="U29" i="59"/>
  <c r="C10" i="60"/>
  <c r="U28" i="59" s="1"/>
  <c r="W9" i="59" l="1"/>
  <c r="W10" i="59"/>
  <c r="W61" i="59"/>
  <c r="P7" i="61" s="1"/>
  <c r="H17" i="75" s="1"/>
  <c r="W33" i="59"/>
  <c r="W42" i="59"/>
  <c r="W41" i="59"/>
  <c r="W60" i="59" s="1"/>
  <c r="P11" i="61" s="1"/>
  <c r="W32" i="59"/>
  <c r="W37" i="59"/>
  <c r="W36" i="59"/>
  <c r="W30" i="59"/>
  <c r="W62" i="59" l="1"/>
  <c r="P10" i="61" s="1"/>
  <c r="E7" i="64" s="1"/>
  <c r="W57" i="59"/>
  <c r="P5" i="61" s="1"/>
  <c r="E2" i="64" s="1"/>
  <c r="Q28" i="59"/>
  <c r="W28" i="59" s="1"/>
  <c r="W49" i="59" s="1"/>
  <c r="F9" i="61" s="1"/>
  <c r="J7" i="75" s="1"/>
  <c r="Q29" i="59"/>
  <c r="W29" i="59" s="1"/>
  <c r="U25" i="59"/>
  <c r="U27" i="59"/>
  <c r="U22" i="59"/>
  <c r="Q23" i="59"/>
  <c r="Q24" i="59"/>
  <c r="W24" i="59" s="1"/>
  <c r="W45" i="59" s="1"/>
  <c r="F7" i="61" s="1"/>
  <c r="H7" i="75" s="1"/>
  <c r="Q25" i="59"/>
  <c r="Q26" i="59"/>
  <c r="Q27" i="59"/>
  <c r="Q22" i="59"/>
  <c r="U20" i="59"/>
  <c r="U21" i="59"/>
  <c r="Q21" i="59"/>
  <c r="U17" i="59"/>
  <c r="C7" i="60"/>
  <c r="U2" i="59" s="1"/>
  <c r="Q18" i="59"/>
  <c r="Q19" i="59"/>
  <c r="W19" i="59" s="1"/>
  <c r="Q20" i="59"/>
  <c r="F17" i="75" l="1"/>
  <c r="K17" i="75"/>
  <c r="U38" i="59"/>
  <c r="W38" i="59" s="1"/>
  <c r="U8" i="59"/>
  <c r="W8" i="59" s="1"/>
  <c r="U34" i="59"/>
  <c r="W34" i="59" s="1"/>
  <c r="U18" i="59"/>
  <c r="W18" i="59" s="1"/>
  <c r="U23" i="59"/>
  <c r="W23" i="59" s="1"/>
  <c r="W44" i="59" s="1"/>
  <c r="F6" i="61" s="1"/>
  <c r="G7" i="75" s="1"/>
  <c r="W22" i="59"/>
  <c r="W43" i="59" s="1"/>
  <c r="F5" i="61" s="1"/>
  <c r="F7" i="75" s="1"/>
  <c r="W21" i="59"/>
  <c r="W27" i="59"/>
  <c r="W46" i="59" s="1"/>
  <c r="F10" i="61" s="1"/>
  <c r="K7" i="75" s="1"/>
  <c r="W25" i="59"/>
  <c r="W48" i="59" s="1"/>
  <c r="F11" i="61" s="1"/>
  <c r="W20" i="59"/>
  <c r="Q17" i="59"/>
  <c r="W17" i="59" s="1"/>
  <c r="U7" i="59"/>
  <c r="U16" i="59"/>
  <c r="Q7" i="59"/>
  <c r="Q16" i="59"/>
  <c r="U5" i="59"/>
  <c r="C3" i="60"/>
  <c r="U6" i="59" s="1"/>
  <c r="Q6" i="59"/>
  <c r="Q5" i="59"/>
  <c r="Q12" i="59"/>
  <c r="Q13" i="59"/>
  <c r="Q14" i="59"/>
  <c r="Q15" i="59"/>
  <c r="Q11" i="59"/>
  <c r="Q4" i="59"/>
  <c r="Q3" i="59"/>
  <c r="Q2" i="59"/>
  <c r="U12" i="59"/>
  <c r="U11" i="59"/>
  <c r="U13" i="59"/>
  <c r="U14" i="59"/>
  <c r="W58" i="59" l="1"/>
  <c r="P6" i="61" s="1"/>
  <c r="G17" i="75" s="1"/>
  <c r="U40" i="59"/>
  <c r="W40" i="59" s="1"/>
  <c r="W59" i="59" s="1"/>
  <c r="U15" i="59"/>
  <c r="W15" i="59" s="1"/>
  <c r="W54" i="59" s="1"/>
  <c r="U26" i="59"/>
  <c r="W26" i="59" s="1"/>
  <c r="W47" i="59" s="1"/>
  <c r="W7" i="59"/>
  <c r="L10" i="61" s="1"/>
  <c r="D7" i="64" s="1"/>
  <c r="W6" i="59"/>
  <c r="W16" i="59"/>
  <c r="W56" i="59" s="1"/>
  <c r="I10" i="61" s="1"/>
  <c r="W5" i="59"/>
  <c r="W11" i="59"/>
  <c r="W14" i="59"/>
  <c r="W53" i="59" s="1"/>
  <c r="I7" i="61" s="1"/>
  <c r="W13" i="59"/>
  <c r="W52" i="59" s="1"/>
  <c r="I5" i="61" s="1"/>
  <c r="W12" i="59"/>
  <c r="W51" i="59" s="1"/>
  <c r="I6" i="61" s="1"/>
  <c r="U3" i="59"/>
  <c r="W2" i="59"/>
  <c r="L6" i="61" s="1"/>
  <c r="D3" i="64" s="1"/>
  <c r="W4" i="59"/>
  <c r="L7" i="61" s="1"/>
  <c r="D4" i="64" s="1"/>
  <c r="C3" i="64" l="1"/>
  <c r="G10" i="75"/>
  <c r="C2" i="64"/>
  <c r="F10" i="75"/>
  <c r="G13" i="75"/>
  <c r="C4" i="64"/>
  <c r="H10" i="75"/>
  <c r="H13" i="75"/>
  <c r="C7" i="64"/>
  <c r="K10" i="75"/>
  <c r="K13" i="75"/>
  <c r="W50" i="59"/>
  <c r="W55" i="59"/>
  <c r="I11" i="61" s="1"/>
  <c r="W3" i="59"/>
  <c r="L5" i="61" s="1"/>
  <c r="D2" i="64" s="1"/>
  <c r="F13" i="75" l="1"/>
  <c r="O6" i="12"/>
  <c r="P6" i="12"/>
  <c r="Q6" i="12"/>
  <c r="O7" i="12"/>
  <c r="P7" i="12"/>
  <c r="Q7" i="12" s="1"/>
  <c r="U7" i="12"/>
  <c r="U6" i="12"/>
  <c r="U5" i="12"/>
  <c r="P2" i="12"/>
  <c r="Q2" i="12" s="1"/>
  <c r="O3" i="12"/>
  <c r="Y3" i="12" s="1"/>
  <c r="O4" i="12"/>
  <c r="O5" i="12"/>
  <c r="O2" i="12"/>
  <c r="P3" i="12"/>
  <c r="Q3" i="12" s="1"/>
  <c r="P4" i="12"/>
  <c r="Q4" i="12" s="1"/>
  <c r="P5" i="12"/>
  <c r="Q5" i="12" s="1"/>
  <c r="U4" i="12"/>
  <c r="U2" i="12"/>
  <c r="Y6" i="12" l="1"/>
  <c r="W6" i="12"/>
  <c r="C8" i="61" s="1"/>
  <c r="U8" i="61" s="1"/>
  <c r="B5" i="81" s="1"/>
  <c r="Y4" i="12"/>
  <c r="Y7" i="12"/>
  <c r="R7" i="12"/>
  <c r="Y2" i="12"/>
  <c r="Y5" i="12"/>
  <c r="W7" i="12"/>
  <c r="C10" i="61" s="1"/>
  <c r="W5" i="12"/>
  <c r="R6" i="12"/>
  <c r="R3" i="12"/>
  <c r="R5" i="12"/>
  <c r="R2" i="12"/>
  <c r="R4" i="12"/>
  <c r="W4" i="12"/>
  <c r="C5" i="61" s="1"/>
  <c r="W3" i="12"/>
  <c r="C9" i="61" s="1"/>
  <c r="W2" i="12"/>
  <c r="C6" i="61" s="1"/>
  <c r="J4" i="75" l="1"/>
  <c r="F4" i="75"/>
  <c r="G4" i="75"/>
  <c r="K4" i="75"/>
  <c r="I4" i="75"/>
  <c r="I31" i="75" s="1"/>
  <c r="T8" i="61"/>
  <c r="B5" i="64"/>
  <c r="U7" i="30"/>
  <c r="U5" i="30"/>
  <c r="Q5" i="30"/>
  <c r="U4" i="30"/>
  <c r="U6" i="30"/>
  <c r="Q3" i="30"/>
  <c r="Q4" i="30"/>
  <c r="Q6" i="30"/>
  <c r="Q7" i="30"/>
  <c r="W7" i="30" s="1"/>
  <c r="D9" i="61" s="1"/>
  <c r="U9" i="61" s="1"/>
  <c r="B6" i="81" s="1"/>
  <c r="U3" i="30"/>
  <c r="U2" i="30"/>
  <c r="Q2" i="30"/>
  <c r="V5" i="49"/>
  <c r="V6" i="49" s="1"/>
  <c r="V7" i="49" s="1"/>
  <c r="V8" i="49" s="1"/>
  <c r="V9" i="49" s="1"/>
  <c r="V10" i="49" s="1"/>
  <c r="V11" i="49" s="1"/>
  <c r="V12" i="49" s="1"/>
  <c r="V13" i="49" s="1"/>
  <c r="V14" i="49" s="1"/>
  <c r="V15" i="49" s="1"/>
  <c r="V16" i="49" s="1"/>
  <c r="V17" i="49" s="1"/>
  <c r="V18" i="49" s="1"/>
  <c r="V19" i="49" s="1"/>
  <c r="W3" i="49"/>
  <c r="W4" i="49"/>
  <c r="W5" i="49"/>
  <c r="W6" i="49"/>
  <c r="W7" i="49"/>
  <c r="W8" i="49"/>
  <c r="W9" i="49"/>
  <c r="W10" i="49"/>
  <c r="W11" i="49"/>
  <c r="W12" i="49"/>
  <c r="W13" i="49"/>
  <c r="W14" i="49"/>
  <c r="W15" i="49"/>
  <c r="W16" i="49"/>
  <c r="W17" i="49"/>
  <c r="W18" i="49"/>
  <c r="W19" i="49"/>
  <c r="W2" i="49"/>
  <c r="W3" i="34"/>
  <c r="O6" i="61" s="1"/>
  <c r="E3" i="64" s="1"/>
  <c r="W5" i="34"/>
  <c r="O7" i="61" s="1"/>
  <c r="E4" i="64" s="1"/>
  <c r="W2" i="34"/>
  <c r="O11" i="61" s="1"/>
  <c r="W5" i="30" l="1"/>
  <c r="D7" i="61" s="1"/>
  <c r="U7" i="61" s="1"/>
  <c r="B4" i="81" s="1"/>
  <c r="B5" i="78"/>
  <c r="C5" i="78" s="1"/>
  <c r="D5" i="78" s="1"/>
  <c r="E5" i="78" s="1"/>
  <c r="C5" i="81"/>
  <c r="D5" i="81" s="1"/>
  <c r="E5" i="81" s="1"/>
  <c r="I20" i="75"/>
  <c r="I25" i="75"/>
  <c r="I21" i="75"/>
  <c r="I22" i="75"/>
  <c r="I24" i="75"/>
  <c r="I23" i="75"/>
  <c r="H16" i="75"/>
  <c r="B6" i="64"/>
  <c r="J5" i="75"/>
  <c r="J20" i="75" s="1"/>
  <c r="G16" i="75"/>
  <c r="H5" i="75"/>
  <c r="T7" i="61"/>
  <c r="T9" i="61"/>
  <c r="B4" i="64"/>
  <c r="W22" i="49"/>
  <c r="W20" i="49"/>
  <c r="E11" i="61" s="1"/>
  <c r="W21" i="49"/>
  <c r="E5" i="61" s="1"/>
  <c r="F6" i="75" s="1"/>
  <c r="W3" i="30"/>
  <c r="D11" i="61" s="1"/>
  <c r="U11" i="61" s="1"/>
  <c r="W2" i="30"/>
  <c r="D6" i="61" s="1"/>
  <c r="U6" i="61" s="1"/>
  <c r="B3" i="81" s="1"/>
  <c r="W6" i="30"/>
  <c r="D10" i="61" s="1"/>
  <c r="U10" i="61" s="1"/>
  <c r="B7" i="81" s="1"/>
  <c r="W4" i="30"/>
  <c r="D5" i="61" s="1"/>
  <c r="U5" i="61" l="1"/>
  <c r="B2" i="81" s="1"/>
  <c r="J31" i="75"/>
  <c r="J23" i="75"/>
  <c r="J30" i="75" s="1"/>
  <c r="B6" i="78"/>
  <c r="C6" i="78" s="1"/>
  <c r="D6" i="78" s="1"/>
  <c r="E6" i="78" s="1"/>
  <c r="C6" i="81"/>
  <c r="D6" i="81" s="1"/>
  <c r="E6" i="81" s="1"/>
  <c r="B4" i="78"/>
  <c r="C4" i="78" s="1"/>
  <c r="D4" i="78" s="1"/>
  <c r="E4" i="78" s="1"/>
  <c r="C4" i="81"/>
  <c r="D4" i="81" s="1"/>
  <c r="E4" i="81" s="1"/>
  <c r="I29" i="75"/>
  <c r="H31" i="75"/>
  <c r="B5" i="79"/>
  <c r="C5" i="79" s="1"/>
  <c r="D5" i="79" s="1"/>
  <c r="E5" i="79" s="1"/>
  <c r="B5" i="80"/>
  <c r="C5" i="80" s="1"/>
  <c r="D5" i="80" s="1"/>
  <c r="E5" i="80" s="1"/>
  <c r="I26" i="75"/>
  <c r="I28" i="75"/>
  <c r="J24" i="75"/>
  <c r="J29" i="75" s="1"/>
  <c r="B2" i="64"/>
  <c r="J22" i="75"/>
  <c r="I30" i="75"/>
  <c r="J21" i="75"/>
  <c r="H23" i="75"/>
  <c r="H25" i="75"/>
  <c r="H21" i="75"/>
  <c r="H22" i="75"/>
  <c r="H24" i="75"/>
  <c r="J25" i="75"/>
  <c r="B7" i="64"/>
  <c r="K5" i="75"/>
  <c r="K31" i="75" s="1"/>
  <c r="T10" i="61"/>
  <c r="G5" i="75"/>
  <c r="G31" i="75" s="1"/>
  <c r="T6" i="61"/>
  <c r="T11" i="61"/>
  <c r="F5" i="75"/>
  <c r="F31" i="75" s="1"/>
  <c r="T5" i="61"/>
  <c r="H20" i="75"/>
  <c r="B3" i="64"/>
  <c r="B2" i="78" l="1"/>
  <c r="C2" i="78" s="1"/>
  <c r="D2" i="78" s="1"/>
  <c r="E2" i="78" s="1"/>
  <c r="C2" i="81"/>
  <c r="D2" i="81" s="1"/>
  <c r="E2" i="81" s="1"/>
  <c r="B3" i="78"/>
  <c r="C3" i="78" s="1"/>
  <c r="D3" i="78" s="1"/>
  <c r="E3" i="78" s="1"/>
  <c r="C3" i="81"/>
  <c r="D3" i="81" s="1"/>
  <c r="E3" i="81" s="1"/>
  <c r="B7" i="78"/>
  <c r="C7" i="78" s="1"/>
  <c r="D7" i="78" s="1"/>
  <c r="E7" i="78" s="1"/>
  <c r="C7" i="81"/>
  <c r="D7" i="81" s="1"/>
  <c r="E7" i="81" s="1"/>
  <c r="B4" i="79"/>
  <c r="C4" i="79" s="1"/>
  <c r="D4" i="79" s="1"/>
  <c r="E4" i="79" s="1"/>
  <c r="B4" i="80"/>
  <c r="C4" i="80" s="1"/>
  <c r="D4" i="80" s="1"/>
  <c r="E4" i="80" s="1"/>
  <c r="H26" i="75"/>
  <c r="H28" i="75"/>
  <c r="G20" i="75"/>
  <c r="G24" i="75"/>
  <c r="G23" i="75"/>
  <c r="G25" i="75"/>
  <c r="G21" i="75"/>
  <c r="G22" i="75"/>
  <c r="K20" i="75"/>
  <c r="K23" i="75"/>
  <c r="K25" i="75"/>
  <c r="K21" i="75"/>
  <c r="K22" i="75"/>
  <c r="K24" i="75"/>
  <c r="H30" i="75"/>
  <c r="B6" i="80"/>
  <c r="C6" i="80" s="1"/>
  <c r="D6" i="80" s="1"/>
  <c r="E6" i="80" s="1"/>
  <c r="B6" i="79"/>
  <c r="C6" i="79" s="1"/>
  <c r="D6" i="79" s="1"/>
  <c r="E6" i="79" s="1"/>
  <c r="J26" i="75"/>
  <c r="J28" i="75"/>
  <c r="F20" i="75"/>
  <c r="F25" i="75"/>
  <c r="F21" i="75"/>
  <c r="F22" i="75"/>
  <c r="F24" i="75"/>
  <c r="F29" i="75" s="1"/>
  <c r="F23" i="75"/>
  <c r="H29" i="75"/>
  <c r="V4" i="61"/>
  <c r="V5" i="61" s="1"/>
  <c r="G30" i="75" l="1"/>
  <c r="K30" i="75"/>
  <c r="B3" i="79"/>
  <c r="C3" i="79" s="1"/>
  <c r="D3" i="79" s="1"/>
  <c r="E3" i="79" s="1"/>
  <c r="B3" i="80"/>
  <c r="C3" i="80" s="1"/>
  <c r="D3" i="80" s="1"/>
  <c r="E3" i="80" s="1"/>
  <c r="G26" i="75"/>
  <c r="G28" i="75"/>
  <c r="B2" i="79"/>
  <c r="C2" i="79" s="1"/>
  <c r="D2" i="79" s="1"/>
  <c r="E2" i="79" s="1"/>
  <c r="B2" i="80"/>
  <c r="C2" i="80" s="1"/>
  <c r="D2" i="80" s="1"/>
  <c r="E2" i="80" s="1"/>
  <c r="F28" i="75"/>
  <c r="F26" i="75"/>
  <c r="K29" i="75"/>
  <c r="B7" i="80"/>
  <c r="C7" i="80" s="1"/>
  <c r="D7" i="80" s="1"/>
  <c r="E7" i="80" s="1"/>
  <c r="B7" i="79"/>
  <c r="C7" i="79" s="1"/>
  <c r="D7" i="79" s="1"/>
  <c r="E7" i="79" s="1"/>
  <c r="K26" i="75"/>
  <c r="K28" i="75"/>
  <c r="F30" i="75"/>
  <c r="G29" i="75"/>
  <c r="V7" i="61"/>
  <c r="V8" i="61"/>
</calcChain>
</file>

<file path=xl/sharedStrings.xml><?xml version="1.0" encoding="utf-8"?>
<sst xmlns="http://schemas.openxmlformats.org/spreadsheetml/2006/main" count="1680" uniqueCount="267">
  <si>
    <t>kg/m2</t>
  </si>
  <si>
    <t>Iron</t>
  </si>
  <si>
    <t>Steel</t>
  </si>
  <si>
    <t>Urban</t>
  </si>
  <si>
    <t>Concrete</t>
  </si>
  <si>
    <t>Wood</t>
  </si>
  <si>
    <t>High-rise building</t>
  </si>
  <si>
    <t>Cement</t>
  </si>
  <si>
    <t>30 years</t>
  </si>
  <si>
    <t>Comment</t>
  </si>
  <si>
    <t>Lifetime</t>
  </si>
  <si>
    <t>Unit</t>
  </si>
  <si>
    <t>Construction material</t>
  </si>
  <si>
    <t>Gross floor area (m2)</t>
  </si>
  <si>
    <t>Number of residents</t>
  </si>
  <si>
    <t>Number of dwellings</t>
  </si>
  <si>
    <t>Number of floors</t>
  </si>
  <si>
    <t>Construction period</t>
  </si>
  <si>
    <t>Structure</t>
  </si>
  <si>
    <t>Residential building type</t>
  </si>
  <si>
    <t>Classification</t>
  </si>
  <si>
    <t>Area</t>
  </si>
  <si>
    <t>City/Country/Region</t>
  </si>
  <si>
    <t>Case study</t>
  </si>
  <si>
    <t>Source</t>
  </si>
  <si>
    <t>ID</t>
  </si>
  <si>
    <t>Reference (from the source)</t>
  </si>
  <si>
    <t>kg/cap</t>
  </si>
  <si>
    <t>kg</t>
  </si>
  <si>
    <t>Aluminium</t>
  </si>
  <si>
    <t>Mat. content per floor area kg/m2</t>
  </si>
  <si>
    <t>Copper</t>
  </si>
  <si>
    <t>Net floor area per building (m2)</t>
  </si>
  <si>
    <t>m2/cap</t>
  </si>
  <si>
    <t>Original area data</t>
  </si>
  <si>
    <t>Building code</t>
  </si>
  <si>
    <t>Material Density (kg/m3)</t>
  </si>
  <si>
    <t>Glass</t>
  </si>
  <si>
    <t>Apartment building</t>
  </si>
  <si>
    <t>building code</t>
  </si>
  <si>
    <t>A tool for assessing life cycle CO2 emissions of buildings in Sri Lanka</t>
  </si>
  <si>
    <t>University building</t>
  </si>
  <si>
    <t>Sri Lanka</t>
  </si>
  <si>
    <t>Kumanayake, R and Luo, H., 2018</t>
  </si>
  <si>
    <t>Office No 1</t>
  </si>
  <si>
    <t>Office No 2</t>
  </si>
  <si>
    <t>Office No 3</t>
  </si>
  <si>
    <t>Office No 4</t>
  </si>
  <si>
    <t>Office No 5</t>
  </si>
  <si>
    <t>Office No 6</t>
  </si>
  <si>
    <t>Oka et al., 1993</t>
  </si>
  <si>
    <t>The number of residents is assumed</t>
  </si>
  <si>
    <t>Mat. content per net floor area kg/m2</t>
  </si>
  <si>
    <t>Lifetime (years)</t>
  </si>
  <si>
    <t>Life cycle energy assessment of a typical office building in Thailand</t>
  </si>
  <si>
    <t>Kofoworola et al., 2009</t>
  </si>
  <si>
    <t>Bangkok, Thailand</t>
  </si>
  <si>
    <t>Central business district of Bangkok, Thailand</t>
  </si>
  <si>
    <t>The number of residents is assumed (the nuber from the previous study us taken in order to avoid errors in the calculations)</t>
  </si>
  <si>
    <t>Office building</t>
  </si>
  <si>
    <t>The estimation of energy consumption and amount of pollutants due to the construction of buildings</t>
  </si>
  <si>
    <t>Material content per building</t>
  </si>
  <si>
    <t>Mexico City, Cuajimalpa District, Mexico, North America</t>
  </si>
  <si>
    <t>Alunimium</t>
  </si>
  <si>
    <t>Reyna et al. The Growth of Urban Building Stock, 2014</t>
  </si>
  <si>
    <t>Hotel</t>
  </si>
  <si>
    <t>Los Angeles County, California, USA</t>
  </si>
  <si>
    <t>Department store</t>
  </si>
  <si>
    <t>C2</t>
  </si>
  <si>
    <t>C1</t>
  </si>
  <si>
    <t>Mortar</t>
  </si>
  <si>
    <t>Brick</t>
  </si>
  <si>
    <t>cubic feet to m3</t>
  </si>
  <si>
    <t>https://www.aqua-calc.com/page/density-table/substance/cement-coma-and-blank-mortar</t>
  </si>
  <si>
    <t>cubic yard per m3</t>
  </si>
  <si>
    <t>m2 per ft2</t>
  </si>
  <si>
    <t>http://www.beldenbrick.com/brick-dimensions-guide.asp</t>
  </si>
  <si>
    <t>kg per lbs</t>
  </si>
  <si>
    <t>kg of bricks per ft2 wall</t>
  </si>
  <si>
    <t>Office</t>
  </si>
  <si>
    <t>kg per m2 glass</t>
  </si>
  <si>
    <t>http://www.leadbitterglass.co.uk/glassroom/calculate-weight-of-glass/</t>
  </si>
  <si>
    <t>C3</t>
  </si>
  <si>
    <t>Neighbourhood store</t>
  </si>
  <si>
    <t>kg per m2 corrugated steel roof plate</t>
  </si>
  <si>
    <t>https://onlinelibrary.wiley.com/doi/pdf/10.1002/9780470697818.app1</t>
  </si>
  <si>
    <t>kg per cement block</t>
  </si>
  <si>
    <t>C4</t>
  </si>
  <si>
    <t>Low Office</t>
  </si>
  <si>
    <t>kg per m2 steel cladding</t>
  </si>
  <si>
    <t>https://www.tedpella.com/company_html/gauge.htm</t>
  </si>
  <si>
    <t>Assumed 26 gauge</t>
  </si>
  <si>
    <t>High Office</t>
  </si>
  <si>
    <t>C5</t>
  </si>
  <si>
    <t>m3 per Mbfm</t>
  </si>
  <si>
    <t>https://books.google.nl/books?id=FVqXqhvUhe0C&amp;lpg=PA277&amp;ots=_tRb9S3eeL&amp;dq=Mbfm%20to%20m2&amp;hl=nl&amp;pg=PA277#v=onepage&amp;q=Mbfm%20to%20m2&amp;f=false</t>
  </si>
  <si>
    <t>Hospital</t>
  </si>
  <si>
    <t>C6</t>
  </si>
  <si>
    <t>kg per ft2 of concrete brick</t>
  </si>
  <si>
    <t>3.4 kg per brick according to the "Speed-E-Bricks" in https://www.nationalmasonry.com.au/wp-content/uploads/National_Masonry_Design_Guide_Book_2_SQLD.pdf</t>
  </si>
  <si>
    <t xml:space="preserve">surface </t>
  </si>
  <si>
    <t>m2</t>
  </si>
  <si>
    <t>#/m2</t>
  </si>
  <si>
    <t>School</t>
  </si>
  <si>
    <t>C8</t>
  </si>
  <si>
    <t>Warehouse</t>
  </si>
  <si>
    <t>I1</t>
  </si>
  <si>
    <t>Ecoinvent</t>
  </si>
  <si>
    <t>Multi-story building</t>
  </si>
  <si>
    <t>Hall-type building (mix of wood &amp; steel)</t>
  </si>
  <si>
    <t>office</t>
  </si>
  <si>
    <t>retail</t>
  </si>
  <si>
    <t>hotels+</t>
  </si>
  <si>
    <t>government+</t>
  </si>
  <si>
    <t>Classificiation --&gt;</t>
  </si>
  <si>
    <t>Source --&gt;</t>
  </si>
  <si>
    <t>Description --&gt;</t>
  </si>
  <si>
    <t>Multi-storey building</t>
  </si>
  <si>
    <t>Kashkooli</t>
  </si>
  <si>
    <t>High-rise office building</t>
  </si>
  <si>
    <t>Regional Representation --&gt;</t>
  </si>
  <si>
    <t>-</t>
  </si>
  <si>
    <t>Mexico</t>
  </si>
  <si>
    <t>Thailand</t>
  </si>
  <si>
    <t>Kofoworola</t>
  </si>
  <si>
    <t>Oka</t>
  </si>
  <si>
    <t>Offices</t>
  </si>
  <si>
    <t>Japan</t>
  </si>
  <si>
    <t>AVERAGED</t>
  </si>
  <si>
    <t>Reyna</t>
  </si>
  <si>
    <t>Offices (low &amp; high)</t>
  </si>
  <si>
    <t>USA</t>
  </si>
  <si>
    <t>AVERAGED OFFICE</t>
  </si>
  <si>
    <t>Retail</t>
  </si>
  <si>
    <t>Hall-type building</t>
  </si>
  <si>
    <t>AVERAGED RETAIL</t>
  </si>
  <si>
    <t>Warehouse, department store &amp; neighbourhood store</t>
  </si>
  <si>
    <t>Govern</t>
  </si>
  <si>
    <t>Kumanayake</t>
  </si>
  <si>
    <t>University</t>
  </si>
  <si>
    <t>Typical office building</t>
  </si>
  <si>
    <t>School &amp; Hospital</t>
  </si>
  <si>
    <t>AVERAGED GOVERN</t>
  </si>
  <si>
    <t>Retail+</t>
  </si>
  <si>
    <t>Hotels+</t>
  </si>
  <si>
    <t>Govt+</t>
  </si>
  <si>
    <t>AVERAGE</t>
  </si>
  <si>
    <t>Assumed: Mortar = cement</t>
  </si>
  <si>
    <t>density is taken from the study</t>
  </si>
  <si>
    <t>Bricks</t>
  </si>
  <si>
    <t>Mortar Cement</t>
  </si>
  <si>
    <t>Ecoinvent 2.2, industrial buildings material demand (based on fictious 110 m2 hall)</t>
  </si>
  <si>
    <t>Assumed lifetime of materials 20-30 yrs</t>
  </si>
  <si>
    <t>Wood construction building hall (1m2, 50yr lt)</t>
  </si>
  <si>
    <t>m2/m2</t>
  </si>
  <si>
    <t>m3/m2</t>
  </si>
  <si>
    <t>assumed lifetime</t>
  </si>
  <si>
    <t>kg (total lifetime)</t>
  </si>
  <si>
    <t>kg (built once)</t>
  </si>
  <si>
    <t>Assumed weights</t>
  </si>
  <si>
    <t>steel parts (zinc coated)</t>
  </si>
  <si>
    <t>steel sheet (roof)</t>
  </si>
  <si>
    <t>Aluminum window frame</t>
  </si>
  <si>
    <t>Window, double glazing</t>
  </si>
  <si>
    <t>Wooden pillars</t>
  </si>
  <si>
    <t>kg/m3</t>
  </si>
  <si>
    <t>as in database</t>
  </si>
  <si>
    <t>Concrete (foundation)</t>
  </si>
  <si>
    <t>Wood wall (outside)</t>
  </si>
  <si>
    <t>Wood wall (inside)</t>
  </si>
  <si>
    <t>Wood framework</t>
  </si>
  <si>
    <t>tertiary beams</t>
  </si>
  <si>
    <t>seconary beams</t>
  </si>
  <si>
    <t>primary beams</t>
  </si>
  <si>
    <t>Other materials</t>
  </si>
  <si>
    <t>Glass wool (insulation)</t>
  </si>
  <si>
    <t>Mineral wool (insulation)</t>
  </si>
  <si>
    <t>Polystyrol (insulation)</t>
  </si>
  <si>
    <t>Steel construction building hall (1m2, 50yr lt)</t>
  </si>
  <si>
    <t>Fibre cement board</t>
  </si>
  <si>
    <t>Reinforced concrete pillars &amp; beams (concrete part)</t>
  </si>
  <si>
    <t>Reinforced concrete pillars &amp; beams (steel part)</t>
  </si>
  <si>
    <t>Steel pillars &amp; beams</t>
  </si>
  <si>
    <t>Conrete (foundation)</t>
  </si>
  <si>
    <t>Cement mortar</t>
  </si>
  <si>
    <t>Masonry wall (bricks)</t>
  </si>
  <si>
    <t>*</t>
  </si>
  <si>
    <t>Building, multi-storey (1m2, 80 yr lt)</t>
  </si>
  <si>
    <r>
      <t xml:space="preserve">kg </t>
    </r>
    <r>
      <rPr>
        <sz val="11"/>
        <color theme="1"/>
        <rFont val="Calibri"/>
        <family val="2"/>
        <scheme val="minor"/>
      </rPr>
      <t>(built once, material lts match with the building lts)</t>
    </r>
  </si>
  <si>
    <t>Reinforced concrete (steel part)</t>
  </si>
  <si>
    <t>Reinforced concrete (concrete part)</t>
  </si>
  <si>
    <t>Mineral wool</t>
  </si>
  <si>
    <t>PVC</t>
  </si>
  <si>
    <t>Schebek</t>
  </si>
  <si>
    <t>assumed 3 meters height</t>
  </si>
  <si>
    <t>100 = office</t>
  </si>
  <si>
    <t>400 = warehouse</t>
  </si>
  <si>
    <t>Non-residential</t>
  </si>
  <si>
    <t>https://www.brownsconcrete.com/images/Resources/Building/Product_Info/Block_Weight_Cube_Size.pdf</t>
  </si>
  <si>
    <t>Rossello-Batle</t>
  </si>
  <si>
    <t>Hotels</t>
  </si>
  <si>
    <t>Hotel 1</t>
  </si>
  <si>
    <t>pre-fabricated + instant (including 6:1 aggregate to cement ratio)</t>
  </si>
  <si>
    <t>Spain</t>
  </si>
  <si>
    <t>Other metals' assumed to be 100% copper</t>
  </si>
  <si>
    <t>Hotel 2</t>
  </si>
  <si>
    <t>pre-fabricated + instant (including 6:1 aggregate to cement ratio = 7* the cement weight)</t>
  </si>
  <si>
    <t>Hotel 3</t>
  </si>
  <si>
    <t>cement to concrete weight ratio</t>
  </si>
  <si>
    <t>https://www.everything-about-concrete.com/concrete-mixing-ratios.html</t>
  </si>
  <si>
    <t xml:space="preserve">assumed 3 parts sand &amp; 3 parts aggregate added </t>
  </si>
  <si>
    <t>https://www.sciencedirect.com/science/article/pii/S0378778809002734</t>
  </si>
  <si>
    <t>Gruhler</t>
  </si>
  <si>
    <t>Autohäuser</t>
  </si>
  <si>
    <t>Germany</t>
  </si>
  <si>
    <t>car-shop</t>
  </si>
  <si>
    <t>MI per nett floor area (NRF in source)</t>
  </si>
  <si>
    <t>Plating</t>
  </si>
  <si>
    <t xml:space="preserve">Plaster &amp; Mortar </t>
  </si>
  <si>
    <t>Insulation</t>
  </si>
  <si>
    <t>Roof-cover</t>
  </si>
  <si>
    <t>Metal</t>
  </si>
  <si>
    <t>Cover &amp; Gutters</t>
  </si>
  <si>
    <t>Other (incl. sand)</t>
  </si>
  <si>
    <t>Fuerwehr/Rettungswachen</t>
  </si>
  <si>
    <t>emergency services</t>
  </si>
  <si>
    <t>Wholesale</t>
  </si>
  <si>
    <t>Verbrauchermärkte</t>
  </si>
  <si>
    <t>Nursing home</t>
  </si>
  <si>
    <t>Pflegeheime</t>
  </si>
  <si>
    <t>Hotels/Gästehäuser</t>
  </si>
  <si>
    <t>Hotel/Guesthouse</t>
  </si>
  <si>
    <t>Hotel/guesthouse</t>
  </si>
  <si>
    <t>Gruhler*</t>
  </si>
  <si>
    <t>The study by Gruhler et al only reports 'metals' as an aggregated category, we assumed a fixed ratio between steel (93%), aluminium (4%) and copper (3%) to come up with the numbers on individual metals</t>
  </si>
  <si>
    <t>Marcellus-Zamora</t>
  </si>
  <si>
    <t>Philadelphia, USA</t>
  </si>
  <si>
    <t>Civic/Institutional</t>
  </si>
  <si>
    <t>Table S2</t>
  </si>
  <si>
    <t>Table S2, two stories assumed (=1x deck multiplier)</t>
  </si>
  <si>
    <t>Marcellus‐Zamora</t>
  </si>
  <si>
    <t>Average</t>
  </si>
  <si>
    <t>Nursing-home &amp; Emergency services</t>
  </si>
  <si>
    <t>Wholesale &amp; Car-shop</t>
  </si>
  <si>
    <t>Table S9</t>
  </si>
  <si>
    <t>DOI</t>
  </si>
  <si>
    <t>https://doi.org/10.1016/j.enbuild.2009.06.002</t>
  </si>
  <si>
    <t>Kashkooli et al 2014</t>
  </si>
  <si>
    <t>https://doi.org/10.1016/j.scs.2013.11.002</t>
  </si>
  <si>
    <t>A semi-quantitative framework of building lifecycle analysis: Demonstrated through a case study of a typical office building block in Mexico in warm and humid climate</t>
  </si>
  <si>
    <t>https://doi.org/10.1016/0378-7788(93)90016-N</t>
  </si>
  <si>
    <t>https://doi.org/10.1016/j.enbuild.2018.01.065</t>
  </si>
  <si>
    <t>https://doi.org/10.1111/jiec.12211</t>
  </si>
  <si>
    <t>https://doi.org/10.1016/j.resconrec.2016.06.001</t>
  </si>
  <si>
    <t>https://doi.org/10.1016/j.enbuild.2009.10.024</t>
  </si>
  <si>
    <t>https://doi.org/10.1111/jiec.12327</t>
  </si>
  <si>
    <t>PERCENTILE</t>
  </si>
  <si>
    <t>MIN</t>
  </si>
  <si>
    <t>MAX</t>
  </si>
  <si>
    <t>COUNT</t>
  </si>
  <si>
    <t>BAR</t>
  </si>
  <si>
    <t>TOP</t>
  </si>
  <si>
    <t>Diff to top</t>
  </si>
  <si>
    <t>ERROR_UP</t>
  </si>
  <si>
    <t>ERROR_DN</t>
  </si>
  <si>
    <t>MEDIAN</t>
  </si>
  <si>
    <t>Average hall-type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</si>
</sst>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/>
      <bottom/>
      <diagonal/>
    </border>
    <border>
      <left style="thin">
        <color rgb="FFEEECE1"/>
      </left>
      <right style="thin">
        <color rgb="FFEEECE1"/>
      </right>
      <top/>
      <bottom style="thin">
        <color rgb="FFEEECE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62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2" fontId="2" fillId="4" borderId="2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1" fontId="2" fillId="4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wrapText="1"/>
    </xf>
    <xf numFmtId="0" fontId="2" fillId="4" borderId="2" xfId="0" applyNumberFormat="1" applyFont="1" applyFill="1" applyBorder="1" applyAlignment="1" applyProtection="1">
      <alignment horizontal="center" vertical="center" wrapText="1"/>
    </xf>
    <xf numFmtId="2" fontId="2" fillId="6" borderId="2" xfId="0" applyNumberFormat="1" applyFont="1" applyFill="1" applyBorder="1" applyAlignment="1" applyProtection="1">
      <alignment horizontal="center" vertical="center" wrapText="1"/>
    </xf>
    <xf numFmtId="164" fontId="2" fillId="4" borderId="2" xfId="0" applyNumberFormat="1" applyFont="1" applyFill="1" applyBorder="1" applyAlignment="1" applyProtection="1">
      <alignment horizontal="center" vertical="center" wrapText="1"/>
    </xf>
    <xf numFmtId="2" fontId="2" fillId="6" borderId="4" xfId="0" applyNumberFormat="1" applyFont="1" applyFill="1" applyBorder="1" applyAlignment="1" applyProtection="1">
      <alignment horizontal="center" vertical="center" wrapText="1"/>
    </xf>
    <xf numFmtId="2" fontId="2" fillId="6" borderId="5" xfId="0" applyNumberFormat="1" applyFont="1" applyFill="1" applyBorder="1" applyAlignment="1" applyProtection="1">
      <alignment horizontal="center" vertical="center" wrapText="1"/>
    </xf>
    <xf numFmtId="1" fontId="3" fillId="4" borderId="2" xfId="0" applyNumberFormat="1" applyFont="1" applyFill="1" applyBorder="1" applyAlignment="1" applyProtection="1">
      <alignment horizontal="center" vertical="center" wrapText="1"/>
    </xf>
    <xf numFmtId="2" fontId="3" fillId="6" borderId="4" xfId="0" applyNumberFormat="1" applyFont="1" applyFill="1" applyBorder="1" applyAlignment="1" applyProtection="1">
      <alignment horizontal="center" vertical="center" wrapText="1"/>
    </xf>
    <xf numFmtId="1" fontId="2" fillId="6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 vertic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7" borderId="0" xfId="0" applyFill="1"/>
    <xf numFmtId="164" fontId="0" fillId="7" borderId="0" xfId="0" applyNumberFormat="1" applyFill="1"/>
    <xf numFmtId="0" fontId="5" fillId="0" borderId="0" xfId="0" applyFon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3" fontId="0" fillId="0" borderId="0" xfId="0" applyNumberFormat="1" applyAlignment="1">
      <alignment horizontal="center" vertical="center" wrapText="1"/>
    </xf>
    <xf numFmtId="0" fontId="1" fillId="0" borderId="6" xfId="0" applyFont="1" applyBorder="1"/>
    <xf numFmtId="0" fontId="0" fillId="0" borderId="6" xfId="0" applyBorder="1"/>
    <xf numFmtId="0" fontId="0" fillId="0" borderId="0" xfId="0" applyNumberFormat="1"/>
    <xf numFmtId="0" fontId="1" fillId="0" borderId="0" xfId="0" applyFont="1"/>
    <xf numFmtId="0" fontId="6" fillId="0" borderId="6" xfId="0" applyFont="1" applyBorder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 applyFill="1"/>
    <xf numFmtId="2" fontId="0" fillId="7" borderId="0" xfId="0" applyNumberFormat="1" applyFill="1"/>
    <xf numFmtId="0" fontId="7" fillId="0" borderId="0" xfId="1"/>
    <xf numFmtId="0" fontId="3" fillId="2" borderId="1" xfId="0" applyFont="1" applyFill="1" applyBorder="1" applyAlignment="1" applyProtection="1">
      <alignment horizontal="left" vertical="center" wrapText="1"/>
    </xf>
    <xf numFmtId="0" fontId="0" fillId="0" borderId="0" xfId="0" quotePrefix="1" applyAlignment="1">
      <alignment horizontal="left" vertical="center"/>
    </xf>
    <xf numFmtId="9" fontId="0" fillId="0" borderId="0" xfId="2" applyFont="1"/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2" applyNumberFormat="1" applyFont="1"/>
    <xf numFmtId="164" fontId="5" fillId="7" borderId="0" xfId="0" applyNumberFormat="1" applyFont="1" applyFill="1"/>
    <xf numFmtId="0" fontId="0" fillId="0" borderId="0" xfId="0" applyFont="1" applyFill="1"/>
    <xf numFmtId="164" fontId="9" fillId="0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290850811790112"/>
          <c:y val="3.1530092650090658E-2"/>
          <c:w val="0.31868474364968047"/>
          <c:h val="0.66491693191227519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Compare_tranposed!$B$21</c:f>
              <c:strCache>
                <c:ptCount val="1"/>
                <c:pt idx="0">
                  <c:v>PERCENTILE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Compare_tranposed!$F$2:$K$2</c:f>
              <c:strCache>
                <c:ptCount val="6"/>
                <c:pt idx="0">
                  <c:v>Steel</c:v>
                </c:pt>
                <c:pt idx="1">
                  <c:v>Concrete</c:v>
                </c:pt>
                <c:pt idx="2">
                  <c:v>Aluminium</c:v>
                </c:pt>
                <c:pt idx="3">
                  <c:v>Copper</c:v>
                </c:pt>
                <c:pt idx="4">
                  <c:v>Wood</c:v>
                </c:pt>
                <c:pt idx="5">
                  <c:v>Glass</c:v>
                </c:pt>
              </c:strCache>
            </c:strRef>
          </c:cat>
          <c:val>
            <c:numRef>
              <c:f>Compare_tranposed!$F$21</c:f>
              <c:numCache>
                <c:formatCode>0.0</c:formatCode>
                <c:ptCount val="1"/>
                <c:pt idx="0">
                  <c:v>43.603521893687819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1-4B69-BB45-2359FCA93D09}"/>
            </c:ext>
          </c:extLst>
        </c:ser>
        <c:ser>
          <c:idx val="1"/>
          <c:order val="2"/>
          <c:tx>
            <c:strRef>
              <c:f>Compare_tranposed!$B$26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Compare_tranposed!$F$2:$K$2</c:f>
              <c:strCache>
                <c:ptCount val="6"/>
                <c:pt idx="0">
                  <c:v>Steel</c:v>
                </c:pt>
                <c:pt idx="1">
                  <c:v>Concrete</c:v>
                </c:pt>
                <c:pt idx="2">
                  <c:v>Aluminium</c:v>
                </c:pt>
                <c:pt idx="3">
                  <c:v>Copper</c:v>
                </c:pt>
                <c:pt idx="4">
                  <c:v>Wood</c:v>
                </c:pt>
                <c:pt idx="5">
                  <c:v>Glass</c:v>
                </c:pt>
              </c:strCache>
            </c:strRef>
          </c:cat>
          <c:val>
            <c:numRef>
              <c:f>Compare_tranposed!$F$26</c:f>
              <c:numCache>
                <c:formatCode>0.0</c:formatCode>
                <c:ptCount val="1"/>
                <c:pt idx="0">
                  <c:v>86.358867744193134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1-4B69-BB45-2359FCA93D09}"/>
            </c:ext>
          </c:extLst>
        </c:ser>
        <c:ser>
          <c:idx val="4"/>
          <c:order val="3"/>
          <c:tx>
            <c:strRef>
              <c:f>Compare_tranposed!$B$28</c:f>
              <c:strCache>
                <c:ptCount val="1"/>
                <c:pt idx="0">
                  <c:v>Diff to top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7345C8D-CE9D-4B0C-8462-304D18B7EFCD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2F1-4B69-BB45-2359FCA93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Compare_tranposed!$F$2:$K$2</c:f>
              <c:strCache>
                <c:ptCount val="6"/>
                <c:pt idx="0">
                  <c:v>Steel</c:v>
                </c:pt>
                <c:pt idx="1">
                  <c:v>Concrete</c:v>
                </c:pt>
                <c:pt idx="2">
                  <c:v>Aluminium</c:v>
                </c:pt>
                <c:pt idx="3">
                  <c:v>Copper</c:v>
                </c:pt>
                <c:pt idx="4">
                  <c:v>Wood</c:v>
                </c:pt>
                <c:pt idx="5">
                  <c:v>Glass</c:v>
                </c:pt>
              </c:strCache>
            </c:strRef>
          </c:cat>
          <c:val>
            <c:numRef>
              <c:f>Compare_tranposed!$F$28</c:f>
              <c:numCache>
                <c:formatCode>0.0</c:formatCode>
                <c:ptCount val="1"/>
                <c:pt idx="0">
                  <c:v>170.03761036211904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Compare_tranposed!$F$25:$K$25</c15:f>
                <c15:dlblRangeCache>
                  <c:ptCount val="6"/>
                  <c:pt idx="0">
                    <c:v>17</c:v>
                  </c:pt>
                  <c:pt idx="1">
                    <c:v>16</c:v>
                  </c:pt>
                  <c:pt idx="2">
                    <c:v>14</c:v>
                  </c:pt>
                  <c:pt idx="3">
                    <c:v>8</c:v>
                  </c:pt>
                  <c:pt idx="4">
                    <c:v>11</c:v>
                  </c:pt>
                  <c:pt idx="5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42F1-4B69-BB45-2359FCA93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117624"/>
        <c:axId val="641117952"/>
      </c:barChart>
      <c:scatterChart>
        <c:scatterStyle val="lineMarker"/>
        <c:varyColors val="0"/>
        <c:ser>
          <c:idx val="2"/>
          <c:order val="0"/>
          <c:tx>
            <c:strRef>
              <c:f>Compare_tranposed!$F$20:$K$20</c:f>
              <c:strCache>
                <c:ptCount val="1"/>
                <c:pt idx="0">
                  <c:v>97.9 850.9 4.2 3.3 11.8 7.8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Compare_tranposed!$F$29:$K$29</c:f>
                <c:numCache>
                  <c:formatCode>General</c:formatCode>
                  <c:ptCount val="6"/>
                  <c:pt idx="0">
                    <c:v>157.75063558462585</c:v>
                  </c:pt>
                  <c:pt idx="1">
                    <c:v>1266.6266910710833</c:v>
                  </c:pt>
                  <c:pt idx="2">
                    <c:v>5.4465975178164747</c:v>
                  </c:pt>
                  <c:pt idx="3">
                    <c:v>5.1386658146258508</c:v>
                  </c:pt>
                  <c:pt idx="4">
                    <c:v>13.720019210163427</c:v>
                  </c:pt>
                  <c:pt idx="5">
                    <c:v>23.221388804478991</c:v>
                  </c:pt>
                </c:numCache>
              </c:numRef>
            </c:plus>
            <c:minus>
              <c:numRef>
                <c:f>Compare_tranposed!$F$30:$K$30</c:f>
                <c:numCache>
                  <c:formatCode>General</c:formatCode>
                  <c:ptCount val="6"/>
                  <c:pt idx="0">
                    <c:v>73.764549600559334</c:v>
                  </c:pt>
                  <c:pt idx="1">
                    <c:v>757.97628272078271</c:v>
                  </c:pt>
                  <c:pt idx="2">
                    <c:v>3.9446128051007117</c:v>
                  </c:pt>
                  <c:pt idx="3">
                    <c:v>2.6888341853741498</c:v>
                  </c:pt>
                  <c:pt idx="4">
                    <c:v>11.598732920984212</c:v>
                  </c:pt>
                  <c:pt idx="5">
                    <c:v>6.7494275220516222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Compare_tranposed!$F$2</c:f>
              <c:strCache>
                <c:ptCount val="1"/>
                <c:pt idx="0">
                  <c:v>Steel</c:v>
                </c:pt>
              </c:strCache>
            </c:strRef>
          </c:xVal>
          <c:yVal>
            <c:numRef>
              <c:f>Compare_tranposed!$F$20</c:f>
              <c:numCache>
                <c:formatCode>0.0</c:formatCode>
                <c:ptCount val="1"/>
                <c:pt idx="0">
                  <c:v>97.934549600559336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F1-4B69-BB45-2359FCA93D09}"/>
            </c:ext>
          </c:extLst>
        </c:ser>
        <c:ser>
          <c:idx val="3"/>
          <c:order val="4"/>
          <c:tx>
            <c:strRef>
              <c:f>Compare_tranposed!$B$31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ash"/>
              <c:size val="6"/>
              <c:spPr>
                <a:solidFill>
                  <a:schemeClr val="tx1"/>
                </a:solidFill>
                <a:ln w="9525" cap="sq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E1C-4A40-9DE6-A3A5ADCE8161}"/>
              </c:ext>
            </c:extLst>
          </c:dPt>
          <c:xVal>
            <c:strRef>
              <c:f>Compare_tranposed!$F$2</c:f>
              <c:strCache>
                <c:ptCount val="1"/>
                <c:pt idx="0">
                  <c:v>Steel</c:v>
                </c:pt>
              </c:strCache>
            </c:strRef>
          </c:xVal>
          <c:yVal>
            <c:numRef>
              <c:f>Compare_tranposed!$F$31</c:f>
              <c:numCache>
                <c:formatCode>0.0</c:formatCode>
                <c:ptCount val="1"/>
                <c:pt idx="0">
                  <c:v>88.520007286928148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C-4A40-9DE6-A3A5ADCE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17624"/>
        <c:axId val="641117952"/>
      </c:scatterChart>
      <c:catAx>
        <c:axId val="641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1117952"/>
        <c:crosses val="autoZero"/>
        <c:auto val="1"/>
        <c:lblAlgn val="ctr"/>
        <c:lblOffset val="100"/>
        <c:noMultiLvlLbl val="0"/>
      </c:catAx>
      <c:valAx>
        <c:axId val="64111795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steel content of service buildings (kg/m2)</a:t>
                </a:r>
              </a:p>
            </c:rich>
          </c:tx>
          <c:layout>
            <c:manualLayout>
              <c:xMode val="edge"/>
              <c:yMode val="edge"/>
              <c:x val="9.6461108884254004E-3"/>
              <c:y val="1.71936709804018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1117624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821013562731971"/>
          <c:y val="3.4684666782582779E-2"/>
          <c:w val="0.36658226091782581"/>
          <c:h val="0.66491693191227519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Compare_tranposed!$B$21</c:f>
              <c:strCache>
                <c:ptCount val="1"/>
                <c:pt idx="0">
                  <c:v>PERCENTILE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Compare_tranposed!$G$2</c:f>
              <c:strCache>
                <c:ptCount val="1"/>
                <c:pt idx="0">
                  <c:v>Concrete</c:v>
                </c:pt>
              </c:strCache>
            </c:strRef>
          </c:cat>
          <c:val>
            <c:numRef>
              <c:f>Compare_tranposed!$G$21</c:f>
              <c:numCache>
                <c:formatCode>0.0</c:formatCode>
                <c:ptCount val="1"/>
                <c:pt idx="0">
                  <c:v>424.5149659863946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5-413A-A478-584CA01EFCAF}"/>
            </c:ext>
          </c:extLst>
        </c:ser>
        <c:ser>
          <c:idx val="1"/>
          <c:order val="2"/>
          <c:tx>
            <c:strRef>
              <c:f>Compare_tranposed!$B$26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Compare_tranposed!$G$2</c:f>
              <c:strCache>
                <c:ptCount val="1"/>
                <c:pt idx="0">
                  <c:v>Concrete</c:v>
                </c:pt>
              </c:strCache>
            </c:strRef>
          </c:cat>
          <c:val>
            <c:numRef>
              <c:f>Compare_tranposed!$G$26</c:f>
              <c:numCache>
                <c:formatCode>0.0</c:formatCode>
                <c:ptCount val="1"/>
                <c:pt idx="0">
                  <c:v>632.28903401360549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5-413A-A478-584CA01EFCAF}"/>
            </c:ext>
          </c:extLst>
        </c:ser>
        <c:ser>
          <c:idx val="4"/>
          <c:order val="3"/>
          <c:tx>
            <c:strRef>
              <c:f>Compare_tranposed!$B$28</c:f>
              <c:strCache>
                <c:ptCount val="1"/>
                <c:pt idx="0">
                  <c:v>Diff to top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5A5CFAA-FEB4-4802-92C5-2B3F1792E772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805-413A-A478-584CA01EFC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Compare_tranposed!$G$2</c:f>
              <c:strCache>
                <c:ptCount val="1"/>
                <c:pt idx="0">
                  <c:v>Concrete</c:v>
                </c:pt>
              </c:strCache>
            </c:strRef>
          </c:cat>
          <c:val>
            <c:numRef>
              <c:f>Compare_tranposed!$G$28</c:f>
              <c:numCache>
                <c:formatCode>0.0</c:formatCode>
                <c:ptCount val="1"/>
                <c:pt idx="0">
                  <c:v>1443.1959999999999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Compare_tranposed!$G$25</c15:f>
                <c15:dlblRangeCache>
                  <c:ptCount val="1"/>
                  <c:pt idx="0">
                    <c:v>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B805-413A-A478-584CA01E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117624"/>
        <c:axId val="641117952"/>
      </c:barChart>
      <c:scatterChart>
        <c:scatterStyle val="lineMarker"/>
        <c:varyColors val="0"/>
        <c:ser>
          <c:idx val="2"/>
          <c:order val="0"/>
          <c:tx>
            <c:strRef>
              <c:f>Compare_tranposed!$G$2</c:f>
              <c:strCache>
                <c:ptCount val="1"/>
                <c:pt idx="0">
                  <c:v>Concrete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Compare_tranposed!$G$29</c:f>
                <c:numCache>
                  <c:formatCode>General</c:formatCode>
                  <c:ptCount val="1"/>
                  <c:pt idx="0">
                    <c:v>1266.6266910710833</c:v>
                  </c:pt>
                </c:numCache>
              </c:numRef>
            </c:plus>
            <c:minus>
              <c:numRef>
                <c:f>Compare_tranposed!$G$30</c:f>
                <c:numCache>
                  <c:formatCode>General</c:formatCode>
                  <c:ptCount val="1"/>
                  <c:pt idx="0">
                    <c:v>757.97628272078271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Compare_tranposed!$G$2</c:f>
              <c:strCache>
                <c:ptCount val="1"/>
                <c:pt idx="0">
                  <c:v>Concrete</c:v>
                </c:pt>
              </c:strCache>
            </c:strRef>
          </c:xVal>
          <c:yVal>
            <c:numRef>
              <c:f>Compare_tranposed!$G$20</c:f>
              <c:numCache>
                <c:formatCode>0.0</c:formatCode>
                <c:ptCount val="1"/>
                <c:pt idx="0">
                  <c:v>850.92886448447234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05-413A-A478-584CA01EFCAF}"/>
            </c:ext>
          </c:extLst>
        </c:ser>
        <c:ser>
          <c:idx val="3"/>
          <c:order val="4"/>
          <c:tx>
            <c:strRef>
              <c:f>Compare_tranposed!$B$31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Compare_tranposed!$G$2</c:f>
              <c:strCache>
                <c:ptCount val="1"/>
                <c:pt idx="0">
                  <c:v>Concrete</c:v>
                </c:pt>
              </c:strCache>
            </c:strRef>
          </c:xVal>
          <c:yVal>
            <c:numRef>
              <c:f>Compare_tranposed!$G$31</c:f>
              <c:numCache>
                <c:formatCode>0</c:formatCode>
                <c:ptCount val="1"/>
                <c:pt idx="0">
                  <c:v>809.93888911487124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860-4254-8E3D-09F4367A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17624"/>
        <c:axId val="641117952"/>
      </c:scatterChart>
      <c:catAx>
        <c:axId val="641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1117952"/>
        <c:crosses val="autoZero"/>
        <c:auto val="1"/>
        <c:lblAlgn val="ctr"/>
        <c:lblOffset val="100"/>
        <c:noMultiLvlLbl val="0"/>
      </c:catAx>
      <c:valAx>
        <c:axId val="64111795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concrete content of service buildings (kg/m2)</a:t>
                </a:r>
              </a:p>
            </c:rich>
          </c:tx>
          <c:layout>
            <c:manualLayout>
              <c:xMode val="edge"/>
              <c:yMode val="edge"/>
              <c:x val="9.6461108884254004E-3"/>
              <c:y val="1.71936709804018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1117624"/>
        <c:crosses val="autoZero"/>
        <c:crossBetween val="between"/>
        <c:majorUnit val="5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9765044718476"/>
          <c:y val="3.4684666782582779E-2"/>
          <c:w val="0.71414950553145085"/>
          <c:h val="0.66491693191227519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Compare_tranposed!$B$21</c:f>
              <c:strCache>
                <c:ptCount val="1"/>
                <c:pt idx="0">
                  <c:v>PERCENTILE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Compare_tranposed!$H$2:$K$2</c:f>
              <c:strCache>
                <c:ptCount val="4"/>
                <c:pt idx="0">
                  <c:v>Aluminium</c:v>
                </c:pt>
                <c:pt idx="1">
                  <c:v>Copper</c:v>
                </c:pt>
                <c:pt idx="2">
                  <c:v>Wood</c:v>
                </c:pt>
                <c:pt idx="3">
                  <c:v>Glass</c:v>
                </c:pt>
              </c:strCache>
            </c:strRef>
          </c:cat>
          <c:val>
            <c:numRef>
              <c:f>Compare_tranposed!$H$21:$K$21</c:f>
              <c:numCache>
                <c:formatCode>0.0</c:formatCode>
                <c:ptCount val="4"/>
                <c:pt idx="0">
                  <c:v>1.1592</c:v>
                </c:pt>
                <c:pt idx="1">
                  <c:v>1.5074829931972795</c:v>
                </c:pt>
                <c:pt idx="2">
                  <c:v>3.018344671201814</c:v>
                </c:pt>
                <c:pt idx="3">
                  <c:v>2.1897335900727435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A-46CE-BC63-C3508DE9546D}"/>
            </c:ext>
          </c:extLst>
        </c:ser>
        <c:ser>
          <c:idx val="1"/>
          <c:order val="2"/>
          <c:tx>
            <c:strRef>
              <c:f>Compare_tranposed!$B$26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Compare_tranposed!$H$2:$K$2</c:f>
              <c:strCache>
                <c:ptCount val="4"/>
                <c:pt idx="0">
                  <c:v>Aluminium</c:v>
                </c:pt>
                <c:pt idx="1">
                  <c:v>Copper</c:v>
                </c:pt>
                <c:pt idx="2">
                  <c:v>Wood</c:v>
                </c:pt>
                <c:pt idx="3">
                  <c:v>Glass</c:v>
                </c:pt>
              </c:strCache>
            </c:strRef>
          </c:cat>
          <c:val>
            <c:numRef>
              <c:f>Compare_tranposed!$H$26:$K$26</c:f>
              <c:numCache>
                <c:formatCode>0.0</c:formatCode>
                <c:ptCount val="4"/>
                <c:pt idx="0">
                  <c:v>5.1235586304538083</c:v>
                </c:pt>
                <c:pt idx="1">
                  <c:v>2.2965170068027203</c:v>
                </c:pt>
                <c:pt idx="2">
                  <c:v>21.661655328798187</c:v>
                </c:pt>
                <c:pt idx="3">
                  <c:v>10.011210854371708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A-46CE-BC63-C3508DE9546D}"/>
            </c:ext>
          </c:extLst>
        </c:ser>
        <c:ser>
          <c:idx val="4"/>
          <c:order val="3"/>
          <c:tx>
            <c:strRef>
              <c:f>Compare_tranposed!$B$28</c:f>
              <c:strCache>
                <c:ptCount val="1"/>
                <c:pt idx="0">
                  <c:v>Diff to top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E8E672-BEA0-4F7C-A765-04C3483B37A8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71A-46CE-BC63-C3508DE95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30388A-3C5C-437D-84A3-D96C3D4DC972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1A-46CE-BC63-C3508DE95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F3E1B9-B216-4ACE-955B-4555DCFEC75C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71A-46CE-BC63-C3508DE95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C6AF20-2B1B-4934-B6E0-112FD9745261}" type="CELLRANGE">
                      <a:rPr lang="nl-NL"/>
                      <a:pPr/>
                      <a:t>[CELLRANGE]</a:t>
                    </a:fld>
                    <a:endParaRPr lang="nl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71A-46CE-BC63-C3508DE95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Compare_tranposed!$H$2:$K$2</c:f>
              <c:strCache>
                <c:ptCount val="4"/>
                <c:pt idx="0">
                  <c:v>Aluminium</c:v>
                </c:pt>
                <c:pt idx="1">
                  <c:v>Copper</c:v>
                </c:pt>
                <c:pt idx="2">
                  <c:v>Wood</c:v>
                </c:pt>
                <c:pt idx="3">
                  <c:v>Glass</c:v>
                </c:pt>
              </c:strCache>
            </c:strRef>
          </c:cat>
          <c:val>
            <c:numRef>
              <c:f>Compare_tranposed!$H$28:$K$28</c:f>
              <c:numCache>
                <c:formatCode>0.0</c:formatCode>
                <c:ptCount val="4"/>
                <c:pt idx="0">
                  <c:v>28.717241369546191</c:v>
                </c:pt>
                <c:pt idx="1">
                  <c:v>31.196000000000002</c:v>
                </c:pt>
                <c:pt idx="2">
                  <c:v>10.32</c:v>
                </c:pt>
                <c:pt idx="3">
                  <c:v>22.799055555555547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Compare_tranposed!$F$25:$K$25</c15:f>
                <c15:dlblRangeCache>
                  <c:ptCount val="6"/>
                  <c:pt idx="0">
                    <c:v>17</c:v>
                  </c:pt>
                  <c:pt idx="1">
                    <c:v>16</c:v>
                  </c:pt>
                  <c:pt idx="2">
                    <c:v>14</c:v>
                  </c:pt>
                  <c:pt idx="3">
                    <c:v>8</c:v>
                  </c:pt>
                  <c:pt idx="4">
                    <c:v>11</c:v>
                  </c:pt>
                  <c:pt idx="5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71A-46CE-BC63-C3508DE9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117624"/>
        <c:axId val="641117952"/>
      </c:barChart>
      <c:scatterChart>
        <c:scatterStyle val="lineMarker"/>
        <c:varyColors val="0"/>
        <c:ser>
          <c:idx val="2"/>
          <c:order val="0"/>
          <c:tx>
            <c:strRef>
              <c:f>Compare_tranposed!$B$20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Compare_tranposed!$H$29:$K$29</c:f>
                <c:numCache>
                  <c:formatCode>General</c:formatCode>
                  <c:ptCount val="4"/>
                  <c:pt idx="0">
                    <c:v>5.4465975178164747</c:v>
                  </c:pt>
                  <c:pt idx="1">
                    <c:v>5.1386658146258508</c:v>
                  </c:pt>
                  <c:pt idx="2">
                    <c:v>13.720019210163427</c:v>
                  </c:pt>
                  <c:pt idx="3">
                    <c:v>23.221388804478991</c:v>
                  </c:pt>
                </c:numCache>
              </c:numRef>
            </c:plus>
            <c:minus>
              <c:numRef>
                <c:f>Compare_tranposed!$H$30:$K$30</c:f>
                <c:numCache>
                  <c:formatCode>General</c:formatCode>
                  <c:ptCount val="4"/>
                  <c:pt idx="0">
                    <c:v>3.9446128051007117</c:v>
                  </c:pt>
                  <c:pt idx="1">
                    <c:v>2.6888341853741498</c:v>
                  </c:pt>
                  <c:pt idx="2">
                    <c:v>11.598732920984212</c:v>
                  </c:pt>
                  <c:pt idx="3">
                    <c:v>6.7494275220516222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Compare_tranposed!$H$2:$K$2</c:f>
              <c:strCache>
                <c:ptCount val="4"/>
                <c:pt idx="0">
                  <c:v>Aluminium</c:v>
                </c:pt>
                <c:pt idx="1">
                  <c:v>Copper</c:v>
                </c:pt>
                <c:pt idx="2">
                  <c:v>Wood</c:v>
                </c:pt>
                <c:pt idx="3">
                  <c:v>Glass</c:v>
                </c:pt>
              </c:strCache>
            </c:strRef>
          </c:xVal>
          <c:yVal>
            <c:numRef>
              <c:f>Compare_tranposed!$H$20:$K$20</c:f>
              <c:numCache>
                <c:formatCode>0.0</c:formatCode>
                <c:ptCount val="4"/>
                <c:pt idx="0">
                  <c:v>4.2223905828784893</c:v>
                </c:pt>
                <c:pt idx="1">
                  <c:v>3.3413341853741501</c:v>
                </c:pt>
                <c:pt idx="2">
                  <c:v>11.779980789836573</c:v>
                </c:pt>
                <c:pt idx="3">
                  <c:v>7.7786111955210098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1A-46CE-BC63-C3508DE9546D}"/>
            </c:ext>
          </c:extLst>
        </c:ser>
        <c:ser>
          <c:idx val="3"/>
          <c:order val="4"/>
          <c:tx>
            <c:strRef>
              <c:f>Compare_tranposed!$B$31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Compare_tranposed!$H$2:$K$2</c:f>
              <c:strCache>
                <c:ptCount val="4"/>
                <c:pt idx="0">
                  <c:v>Aluminium</c:v>
                </c:pt>
                <c:pt idx="1">
                  <c:v>Copper</c:v>
                </c:pt>
                <c:pt idx="2">
                  <c:v>Wood</c:v>
                </c:pt>
                <c:pt idx="3">
                  <c:v>Glass</c:v>
                </c:pt>
              </c:strCache>
            </c:strRef>
          </c:xVal>
          <c:yVal>
            <c:numRef>
              <c:f>Compare_tranposed!$H$31:$K$31</c:f>
              <c:numCache>
                <c:formatCode>0.0</c:formatCode>
                <c:ptCount val="4"/>
                <c:pt idx="0">
                  <c:v>4.68</c:v>
                </c:pt>
                <c:pt idx="1">
                  <c:v>3.3147329999999999</c:v>
                </c:pt>
                <c:pt idx="2">
                  <c:v>11</c:v>
                </c:pt>
                <c:pt idx="3">
                  <c:v>4.8694757468760175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B-4CDA-8CFC-685E968A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17624"/>
        <c:axId val="641117952"/>
      </c:scatterChart>
      <c:catAx>
        <c:axId val="641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1117952"/>
        <c:crosses val="autoZero"/>
        <c:auto val="1"/>
        <c:lblAlgn val="ctr"/>
        <c:lblOffset val="100"/>
        <c:noMultiLvlLbl val="0"/>
      </c:catAx>
      <c:valAx>
        <c:axId val="64111795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content of</a:t>
                </a:r>
                <a:r>
                  <a:rPr lang="en-US" baseline="0"/>
                  <a:t> service buildings</a:t>
                </a:r>
                <a:r>
                  <a:rPr lang="en-US"/>
                  <a:t> (kg/m2)</a:t>
                </a:r>
              </a:p>
            </c:rich>
          </c:tx>
          <c:layout>
            <c:manualLayout>
              <c:xMode val="edge"/>
              <c:yMode val="edge"/>
              <c:x val="9.6461108884254004E-3"/>
              <c:y val="1.71936709804018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11176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31</xdr:row>
      <xdr:rowOff>6350</xdr:rowOff>
    </xdr:from>
    <xdr:to>
      <xdr:col>3</xdr:col>
      <xdr:colOff>278423</xdr:colOff>
      <xdr:row>52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C6242-6A3C-4EEA-86B9-5CDFB4D14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463550</xdr:colOff>
      <xdr:row>31</xdr:row>
      <xdr:rowOff>12700</xdr:rowOff>
    </xdr:from>
    <xdr:to>
      <xdr:col>5</xdr:col>
      <xdr:colOff>685800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101A5-0246-4E42-BE6B-064BD17F7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831850</xdr:colOff>
      <xdr:row>31</xdr:row>
      <xdr:rowOff>19050</xdr:rowOff>
    </xdr:from>
    <xdr:to>
      <xdr:col>12</xdr:col>
      <xdr:colOff>425450</xdr:colOff>
      <xdr:row>52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6EF9F9-D019-427E-9F80-533CFB013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0378-7788(93)90016-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enbuild.2018.01.065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iec.1221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resconrec.2016.06.001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enbuild.2009.10.024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iec.12327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dpella.com/company_html/gauge.htm" TargetMode="External"/><Relationship Id="rId1" Type="http://schemas.openxmlformats.org/officeDocument/2006/relationships/hyperlink" Target="https://onlinelibrary.wiley.com/doi/pdf/10.1002/9780470697818.app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scs.2013.11.00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i.org/10.1016/j.enbuild.2009.06.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"/>
  <sheetViews>
    <sheetView tabSelected="1" workbookViewId="0">
      <selection activeCell="A16" sqref="A16"/>
    </sheetView>
  </sheetViews>
  <sheetFormatPr defaultRowHeight="14.4" x14ac:dyDescent="0.3"/>
  <cols>
    <col min="1" max="1" width="27.88671875" customWidth="1"/>
    <col min="13" max="14" width="12.5546875" customWidth="1"/>
    <col min="22" max="22" width="16.44140625" bestFit="1" customWidth="1"/>
    <col min="23" max="24" width="16.44140625" customWidth="1"/>
    <col min="25" max="25" width="21.109375" customWidth="1"/>
  </cols>
  <sheetData>
    <row r="1" spans="1:24" x14ac:dyDescent="0.3">
      <c r="A1" t="s">
        <v>114</v>
      </c>
      <c r="B1" s="31" t="s">
        <v>79</v>
      </c>
      <c r="C1" s="31"/>
      <c r="D1" s="31"/>
      <c r="E1" s="31"/>
      <c r="F1" s="31"/>
      <c r="G1" s="31"/>
      <c r="H1" s="32" t="s">
        <v>133</v>
      </c>
      <c r="I1" s="32"/>
      <c r="J1" s="32"/>
      <c r="K1" s="32"/>
      <c r="L1" s="31" t="s">
        <v>65</v>
      </c>
      <c r="M1" s="31"/>
      <c r="N1" s="31"/>
      <c r="O1" s="32" t="s">
        <v>137</v>
      </c>
      <c r="P1" s="32"/>
      <c r="Q1" s="32"/>
      <c r="R1" s="32"/>
      <c r="T1" t="s">
        <v>146</v>
      </c>
      <c r="U1" t="s">
        <v>265</v>
      </c>
    </row>
    <row r="2" spans="1:24" x14ac:dyDescent="0.3">
      <c r="A2" t="s">
        <v>115</v>
      </c>
      <c r="B2" s="32" t="s">
        <v>107</v>
      </c>
      <c r="C2" s="32" t="s">
        <v>118</v>
      </c>
      <c r="D2" s="32" t="s">
        <v>124</v>
      </c>
      <c r="E2" s="32" t="s">
        <v>125</v>
      </c>
      <c r="F2" s="32" t="s">
        <v>129</v>
      </c>
      <c r="G2" s="32" t="s">
        <v>193</v>
      </c>
      <c r="H2" t="s">
        <v>107</v>
      </c>
      <c r="I2" s="31" t="s">
        <v>129</v>
      </c>
      <c r="J2" s="31" t="s">
        <v>193</v>
      </c>
      <c r="K2" s="31" t="s">
        <v>233</v>
      </c>
      <c r="L2" s="32" t="s">
        <v>129</v>
      </c>
      <c r="M2" s="32" t="s">
        <v>199</v>
      </c>
      <c r="N2" s="32" t="s">
        <v>233</v>
      </c>
      <c r="O2" t="s">
        <v>138</v>
      </c>
      <c r="P2" t="s">
        <v>129</v>
      </c>
      <c r="Q2" s="31" t="s">
        <v>233</v>
      </c>
      <c r="R2" t="s">
        <v>240</v>
      </c>
    </row>
    <row r="3" spans="1:24" x14ac:dyDescent="0.3">
      <c r="A3" t="s">
        <v>116</v>
      </c>
      <c r="B3" s="32" t="s">
        <v>117</v>
      </c>
      <c r="C3" s="32" t="s">
        <v>119</v>
      </c>
      <c r="D3" s="32" t="s">
        <v>140</v>
      </c>
      <c r="E3" s="32" t="s">
        <v>126</v>
      </c>
      <c r="F3" s="32" t="s">
        <v>130</v>
      </c>
      <c r="G3" s="32" t="s">
        <v>126</v>
      </c>
      <c r="H3" t="s">
        <v>134</v>
      </c>
      <c r="I3" s="31" t="s">
        <v>136</v>
      </c>
      <c r="J3" s="31" t="s">
        <v>105</v>
      </c>
      <c r="K3" s="31" t="s">
        <v>243</v>
      </c>
      <c r="L3" s="32" t="s">
        <v>65</v>
      </c>
      <c r="M3" s="32" t="s">
        <v>65</v>
      </c>
      <c r="N3" s="32" t="s">
        <v>232</v>
      </c>
      <c r="O3" s="34" t="s">
        <v>139</v>
      </c>
      <c r="P3" t="s">
        <v>141</v>
      </c>
      <c r="Q3" s="31" t="s">
        <v>242</v>
      </c>
      <c r="R3" s="31" t="s">
        <v>237</v>
      </c>
    </row>
    <row r="4" spans="1:24" x14ac:dyDescent="0.3">
      <c r="A4" t="s">
        <v>120</v>
      </c>
      <c r="B4" s="32" t="s">
        <v>121</v>
      </c>
      <c r="C4" s="32" t="s">
        <v>122</v>
      </c>
      <c r="D4" s="32" t="s">
        <v>123</v>
      </c>
      <c r="E4" s="32" t="s">
        <v>127</v>
      </c>
      <c r="F4" s="32" t="s">
        <v>131</v>
      </c>
      <c r="G4" s="32"/>
      <c r="H4" t="s">
        <v>121</v>
      </c>
      <c r="I4" s="31" t="s">
        <v>131</v>
      </c>
      <c r="J4" s="31"/>
      <c r="K4" s="31" t="s">
        <v>214</v>
      </c>
      <c r="L4" s="32" t="s">
        <v>131</v>
      </c>
      <c r="M4" s="32" t="s">
        <v>203</v>
      </c>
      <c r="N4" s="32" t="s">
        <v>214</v>
      </c>
      <c r="O4" t="s">
        <v>42</v>
      </c>
      <c r="P4" t="s">
        <v>131</v>
      </c>
      <c r="Q4" s="31" t="s">
        <v>214</v>
      </c>
      <c r="R4" s="31" t="s">
        <v>131</v>
      </c>
      <c r="V4" s="30">
        <f>T5+T8+T7</f>
        <v>105.49827436881198</v>
      </c>
      <c r="W4" s="30"/>
      <c r="X4" s="30"/>
    </row>
    <row r="5" spans="1:24" x14ac:dyDescent="0.3">
      <c r="A5" t="s">
        <v>2</v>
      </c>
      <c r="B5" s="33">
        <f>VLOOKUP(A5,Ecoinvent!$S$2:$W$8,5,FALSE)</f>
        <v>24.17</v>
      </c>
      <c r="C5" s="33">
        <f>VLOOKUP(A5,Kashkooli!$S$2:$W$7,5,FALSE)</f>
        <v>123.77532879818595</v>
      </c>
      <c r="D5" s="33">
        <f>VLOOKUP(A5,Kofoworola!$S$2:$W$7,5,FALSE)</f>
        <v>255.68518518518519</v>
      </c>
      <c r="E5" s="33">
        <f>VLOOKUP(A5,Oka!$S$20:$W$22,5,FALSE)</f>
        <v>157.62833333333333</v>
      </c>
      <c r="F5" s="33">
        <f>VLOOKUP(A5,Reyna!$S$43:$W$49,5,FALSE)</f>
        <v>41.701651617109775</v>
      </c>
      <c r="G5" s="51">
        <f>VLOOKUP(A5,Schebek!$S$102:$W$108,5,FALSE)</f>
        <v>86.975999999999999</v>
      </c>
      <c r="H5" s="30">
        <f>VLOOKUP(A5,Ecoinvent!$S$9:$W$14,5,FALSE)</f>
        <v>26.06</v>
      </c>
      <c r="I5" s="28">
        <f>VLOOKUP(A5,Reyna!$S$50:$W$56,5,FALSE)</f>
        <v>82.599597758575882</v>
      </c>
      <c r="J5" s="50">
        <f>VLOOKUP(A5,Schebek!$S$106:$W$115,5,FALSE)</f>
        <v>84.539999999999992</v>
      </c>
      <c r="K5">
        <f>(Gruhler!W31*B19+Gruhler!W11*B19)/2</f>
        <v>120.9</v>
      </c>
      <c r="L5" s="33">
        <f>VLOOKUP(A5,Reyna!$S$2:$W$7,5,FALSE)</f>
        <v>88.520007286928148</v>
      </c>
      <c r="M5" s="33">
        <f>VLOOKUP(A5,'Rossello-Batle'!$S$24:$W$30,5,FALSE)</f>
        <v>51.211003000000005</v>
      </c>
      <c r="N5" s="33">
        <f>Gruhler!W51*B19</f>
        <v>113.46000000000001</v>
      </c>
      <c r="O5" s="30">
        <f>VLOOKUP(A5,Kumanayake!$S$2:$W$7,5,FALSE)</f>
        <v>131.99108138238574</v>
      </c>
      <c r="P5">
        <f>VLOOKUP(A5,Reyna!$S$57:$W$62,5,FALSE)</f>
        <v>131.50915484780472</v>
      </c>
      <c r="Q5">
        <f>(Gruhler!W41*B19+Gruhler!W21*B19)/2</f>
        <v>104.16000000000001</v>
      </c>
      <c r="R5">
        <f>VLOOKUP(A5,Marcellus‐Zamora!$S$2:$W$5,5, FALSE)</f>
        <v>40</v>
      </c>
      <c r="T5" s="30">
        <f t="shared" ref="T5:T11" si="0">AVERAGE(B5:R5)</f>
        <v>97.934549600559336</v>
      </c>
      <c r="U5" s="30">
        <f>MEDIAN(B5:R5)</f>
        <v>88.520007286928148</v>
      </c>
      <c r="V5" s="58">
        <f>T5/$V$4</f>
        <v>0.9283047536700878</v>
      </c>
      <c r="W5" s="55"/>
      <c r="X5" s="55"/>
    </row>
    <row r="6" spans="1:24" x14ac:dyDescent="0.3">
      <c r="A6" t="s">
        <v>4</v>
      </c>
      <c r="B6" s="33">
        <f>VLOOKUP(A6,Ecoinvent!$S$2:$W$8,5,FALSE)</f>
        <v>393.06400000000002</v>
      </c>
      <c r="C6" s="33">
        <f>VLOOKUP(A6,Kashkooli!$S$2:$W$7,5,FALSE)</f>
        <v>424.5149659863946</v>
      </c>
      <c r="D6" s="33">
        <f>VLOOKUP(A6,Kofoworola!$S$2:$W$7,5,FALSE)</f>
        <v>2117.5555555555557</v>
      </c>
      <c r="E6" s="33"/>
      <c r="F6" s="33">
        <f>VLOOKUP(A6,Reyna!$S$43:$W$49,5,FALSE)</f>
        <v>533.37582751078969</v>
      </c>
      <c r="G6" s="51">
        <f>VLOOKUP(A6,Schebek!$S$102:$W$108,5,FALSE)</f>
        <v>1056.8040000000001</v>
      </c>
      <c r="H6" s="30">
        <f>VLOOKUP(A6,Ecoinvent!$S$9:$W$14,5,FALSE)</f>
        <v>784.55727999999988</v>
      </c>
      <c r="I6" s="28">
        <f>VLOOKUP(A6,Reyna!$S$50:$W$56,5,FALSE)</f>
        <v>658.34124257272117</v>
      </c>
      <c r="J6" s="50">
        <f>VLOOKUP(A6,Schebek!$S$106:$W$115,5,FALSE)</f>
        <v>348.55666666666673</v>
      </c>
      <c r="K6" s="50">
        <f>(Gruhler!W23+Gruhler!W3)/2</f>
        <v>1009</v>
      </c>
      <c r="L6" s="59">
        <f>VLOOKUP(A6,Reyna!$S$2:$W$7,5,FALSE)</f>
        <v>92.952581763689608</v>
      </c>
      <c r="M6" s="33">
        <f>VLOOKUP(A6,'Rossello-Batle'!$S$24:$W$30,5,FALSE)</f>
        <v>1006.7372736666666</v>
      </c>
      <c r="N6" s="33">
        <f>Gruhler!W43</f>
        <v>1073</v>
      </c>
      <c r="O6" s="30">
        <f>VLOOKUP(A6,Kumanayake!$S$2:$W$7,5,FALSE)</f>
        <v>1542.5819397993312</v>
      </c>
      <c r="P6">
        <f>VLOOKUP(A6,Reyna!$S$57:$W$62,5,FALSE)</f>
        <v>835.32049822974261</v>
      </c>
      <c r="Q6">
        <f>(Gruhler!W33+Gruhler!W13)/2</f>
        <v>1036.5</v>
      </c>
      <c r="R6">
        <f>VLOOKUP(A6,Marcellus‐Zamora!$S$2:$W$5,5, FALSE)</f>
        <v>702</v>
      </c>
      <c r="T6" s="30">
        <f t="shared" si="0"/>
        <v>850.92886448447234</v>
      </c>
      <c r="U6" s="30">
        <f t="shared" ref="U6:U11" si="1">MEDIAN(B6:R6)</f>
        <v>809.93888911487124</v>
      </c>
    </row>
    <row r="7" spans="1:24" x14ac:dyDescent="0.3">
      <c r="A7" t="s">
        <v>29</v>
      </c>
      <c r="B7" s="33">
        <f>VLOOKUP(A7,Ecoinvent!$S$2:$W$8,5,FALSE)</f>
        <v>8.48</v>
      </c>
      <c r="C7" s="33"/>
      <c r="D7" s="33">
        <f>VLOOKUP(A7,Kofoworola!$S$2:$W$7,5,FALSE)</f>
        <v>0.27777777777777779</v>
      </c>
      <c r="E7" s="33"/>
      <c r="F7" s="33">
        <f>VLOOKUP(A7,Reyna!$S$43:$W$49,5,FALSE)</f>
        <v>9.6689881006949641</v>
      </c>
      <c r="G7" s="51">
        <f>VLOOKUP(A7,Schebek!$S$102:$W$108,5,FALSE)</f>
        <v>0.63</v>
      </c>
      <c r="H7" s="30">
        <f>VLOOKUP(A7,Ecoinvent!$S$9:$W$14,5,FALSE)</f>
        <v>1.2000000000000002</v>
      </c>
      <c r="I7" s="28">
        <f>VLOOKUP(A7,Reyna!$S$50:$W$56,5,FALSE)</f>
        <v>2.0979354229901346</v>
      </c>
      <c r="J7" s="50">
        <f>VLOOKUP(A7,Schebek!$S$106:$W$115,5,FALSE)</f>
        <v>1.0979999999999999</v>
      </c>
      <c r="K7" s="50">
        <f>(Gruhler!W31*B20+Gruhler!W11*B20)/2</f>
        <v>5.2</v>
      </c>
      <c r="L7" s="33">
        <f>VLOOKUP(A7,Reyna!$S$2:$W$7,5,FALSE)</f>
        <v>5.2304631358233911</v>
      </c>
      <c r="M7" s="33">
        <f>VLOOKUP(A7,'Rossello-Batle'!$S$24:$W$30,5,FALSE)</f>
        <v>3.0258799999999995</v>
      </c>
      <c r="N7" s="33">
        <f>Gruhler!W51*B20</f>
        <v>4.88</v>
      </c>
      <c r="O7" s="30">
        <f>VLOOKUP(A7,Kumanayake!$S$2:$W$7,5,FALSE)</f>
        <v>4.9832218506131545</v>
      </c>
      <c r="P7">
        <f>VLOOKUP(A7,Reyna!$S$57:$W$62,5,FALSE)</f>
        <v>7.8612018723994321</v>
      </c>
      <c r="Q7">
        <f>(Gruhler!W41*B20+Gruhler!W21*B20)/2</f>
        <v>4.4800000000000004</v>
      </c>
      <c r="T7" s="30">
        <f t="shared" si="0"/>
        <v>4.2223905828784893</v>
      </c>
      <c r="U7" s="30">
        <f t="shared" si="1"/>
        <v>4.68</v>
      </c>
      <c r="V7" s="55">
        <f>T7/$V$4</f>
        <v>4.0023314202442893E-2</v>
      </c>
      <c r="W7" s="55"/>
      <c r="X7" s="55"/>
    </row>
    <row r="8" spans="1:24" x14ac:dyDescent="0.3">
      <c r="A8" t="s">
        <v>31</v>
      </c>
      <c r="B8" s="33">
        <f>VLOOKUP(A8,Ecoinvent!$S$2:$W$8,5,FALSE)</f>
        <v>8.48</v>
      </c>
      <c r="C8" s="33">
        <f>VLOOKUP(A8,Kashkooli!$S$2:$W$7,5,FALSE)</f>
        <v>2.6887074829931974</v>
      </c>
      <c r="D8" s="33"/>
      <c r="E8" s="33"/>
      <c r="F8" s="33"/>
      <c r="G8" s="51">
        <f>VLOOKUP(A8,Schebek!$S$102:$W$108,5,FALSE)</f>
        <v>0.65250000000000008</v>
      </c>
      <c r="H8" s="30"/>
      <c r="I8" s="28"/>
      <c r="J8" s="50">
        <f>VLOOKUP(A8,Schebek!$S$106:$W$115,5,FALSE)</f>
        <v>0.72000000000000008</v>
      </c>
      <c r="K8" s="50">
        <f>(Gruhler!W31*B21+Gruhler!W11*B21)/2</f>
        <v>3.9</v>
      </c>
      <c r="L8" s="33"/>
      <c r="M8" s="51">
        <f>VLOOKUP(A8,'Rossello-Batle'!$S$24:$W$30,5,FALSE)</f>
        <v>3.269466</v>
      </c>
      <c r="N8" s="51">
        <f>Gruhler!W51*B21</f>
        <v>3.6599999999999997</v>
      </c>
      <c r="O8" s="30"/>
      <c r="Q8">
        <f>(Gruhler!W41*B21+Gruhler!W21*B21)/2</f>
        <v>3.36</v>
      </c>
      <c r="T8" s="28">
        <f t="shared" si="0"/>
        <v>3.3413341853741501</v>
      </c>
      <c r="U8" s="30">
        <f t="shared" si="1"/>
        <v>3.3147329999999999</v>
      </c>
      <c r="V8" s="55">
        <f>T8/$V$4</f>
        <v>3.1671932127469327E-2</v>
      </c>
      <c r="W8" s="55"/>
      <c r="X8" s="55"/>
    </row>
    <row r="9" spans="1:24" x14ac:dyDescent="0.3">
      <c r="A9" t="s">
        <v>5</v>
      </c>
      <c r="B9" s="33">
        <f>VLOOKUP(A9,Ecoinvent!$S$2:$W$8,5,FALSE)</f>
        <v>24.68</v>
      </c>
      <c r="C9" s="33">
        <f>VLOOKUP(A9,Kashkooli!$S$2:$W$7,5,FALSE)</f>
        <v>3.018344671201814</v>
      </c>
      <c r="D9" s="33">
        <f>VLOOKUP(A9,Kofoworola!$S$2:$W$7,5,FALSE)</f>
        <v>1.4814814814814814</v>
      </c>
      <c r="E9" s="33"/>
      <c r="F9" s="33">
        <f>VLOOKUP(A9,Reyna!$S$43:$W$49,5,FALSE)</f>
        <v>0.1812478688523608</v>
      </c>
      <c r="G9" s="51">
        <f>VLOOKUP(A9,Schebek!$S$102:$W$108,5,FALSE)</f>
        <v>4.2225000000000001</v>
      </c>
      <c r="H9" s="30">
        <f>VLOOKUP(A9,Ecoinvent!$S$9:$W$14,5,FALSE)</f>
        <v>18.239999999999998</v>
      </c>
      <c r="I9" s="28"/>
      <c r="J9" s="50">
        <f>VLOOKUP(A9,Schebek!$S$106:$W$115,5,FALSE)</f>
        <v>4.2225000000000001</v>
      </c>
      <c r="K9" s="50">
        <f>(Gruhler!W26+Gruhler!W6)/2</f>
        <v>11</v>
      </c>
      <c r="L9" s="33"/>
      <c r="M9" s="33">
        <f>VLOOKUP(A9,'Rossello-Batle'!$S$24:$W$30,5,FALSE)</f>
        <v>12.033714666666667</v>
      </c>
      <c r="N9" s="33">
        <f>Gruhler!W46</f>
        <v>25</v>
      </c>
      <c r="O9" s="30"/>
      <c r="Q9">
        <f>(Gruhler!W36+Gruhler!W16)/2</f>
        <v>25.5</v>
      </c>
      <c r="T9" s="30">
        <f t="shared" si="0"/>
        <v>11.779980789836573</v>
      </c>
      <c r="U9" s="30">
        <f t="shared" si="1"/>
        <v>11</v>
      </c>
    </row>
    <row r="10" spans="1:24" x14ac:dyDescent="0.3">
      <c r="A10" t="s">
        <v>37</v>
      </c>
      <c r="B10" s="33">
        <f>VLOOKUP(A10,Ecoinvent!$S$2:$W$8,5,FALSE)</f>
        <v>3.08</v>
      </c>
      <c r="C10" s="33">
        <f>VLOOKUP(A10,Kashkooli!$S$2:$W$7,5,FALSE)</f>
        <v>1.0291836734693878</v>
      </c>
      <c r="D10" s="33">
        <f>VLOOKUP(A10,Kofoworola!$S$2:$W$7,5,FALSE)</f>
        <v>9.6111111111111107</v>
      </c>
      <c r="E10" s="33"/>
      <c r="F10" s="33">
        <f>VLOOKUP(A10,Reyna!$S$43:$W$49,5,FALSE)</f>
        <v>4.6199175824175818</v>
      </c>
      <c r="G10" s="51">
        <f>VLOOKUP(A10,Schebek!$S$102:$W$108,5,FALSE)</f>
        <v>13.9275</v>
      </c>
      <c r="H10" s="30">
        <f>VLOOKUP(A10,Ecoinvent!$S$9:$W$14,5,FALSE)</f>
        <v>1.8</v>
      </c>
      <c r="I10" s="28">
        <f>VLOOKUP(A10,Reyna!$S$50:$W$56,5,FALSE)</f>
        <v>1.8540004278990159</v>
      </c>
      <c r="J10" s="50">
        <f>VLOOKUP(A10,Schebek!$S$106:$W$115,5,FALSE)</f>
        <v>13.9275</v>
      </c>
      <c r="K10" s="50"/>
      <c r="L10" s="33">
        <f>VLOOKUP(A10,Reyna!$S$2:$W$7,5,FALSE)</f>
        <v>2.6933333333333338</v>
      </c>
      <c r="M10" s="33">
        <f>VLOOKUP(A10,'Rossello-Batle'!$S$24:$W$30,5,FALSE)</f>
        <v>5.1232569999999997</v>
      </c>
      <c r="N10" s="33"/>
      <c r="O10" s="30">
        <f>VLOOKUP(A10,Kumanayake!$S$2:$W$7,5,FALSE)</f>
        <v>7.586666666666666</v>
      </c>
      <c r="P10">
        <f>VLOOKUP(A10,Reyna!$S$57:$W$62,5,FALSE)</f>
        <v>4.8694757468760175</v>
      </c>
      <c r="R10">
        <f>VLOOKUP(A10,Marcellus‐Zamora!$S$2:$W$5,5, FALSE)</f>
        <v>31</v>
      </c>
      <c r="T10" s="30">
        <f t="shared" si="0"/>
        <v>7.7786111955210098</v>
      </c>
      <c r="U10" s="30">
        <f t="shared" si="1"/>
        <v>4.8694757468760175</v>
      </c>
    </row>
    <row r="11" spans="1:24" x14ac:dyDescent="0.3">
      <c r="A11" t="s">
        <v>7</v>
      </c>
      <c r="B11" s="33">
        <f>VLOOKUP($A11,Ecoinvent!$S$2:$W$8,5,FALSE)</f>
        <v>61.7</v>
      </c>
      <c r="C11" s="33"/>
      <c r="D11" s="33">
        <f>VLOOKUP(A11,Kofoworola!$S$2:$W$7,5,FALSE)</f>
        <v>8.7222222222222214</v>
      </c>
      <c r="E11" s="33">
        <f>VLOOKUP(A11,Oka!$S$20:$W$22,5,FALSE)</f>
        <v>205.66666666666666</v>
      </c>
      <c r="F11" s="33">
        <f>VLOOKUP(A11,Reyna!$S$43:$W$49,5,FALSE)</f>
        <v>138.15273287614193</v>
      </c>
      <c r="G11" s="32"/>
      <c r="H11" s="30">
        <f>VLOOKUP(A11,Ecoinvent!$S$9:$W$14,5,FALSE)</f>
        <v>14.7</v>
      </c>
      <c r="I11" s="28">
        <f>VLOOKUP(A11,Reyna!$S$50:$W$56,5,FALSE)</f>
        <v>294.61119520136981</v>
      </c>
      <c r="J11" s="50"/>
      <c r="K11" s="50"/>
      <c r="L11" s="33"/>
      <c r="M11" s="33"/>
      <c r="N11" s="33"/>
      <c r="O11" s="30">
        <f>VLOOKUP(A11,Kumanayake!$S$2:$W$5,5,FALSE)</f>
        <v>548.91471571906357</v>
      </c>
      <c r="P11">
        <f>VLOOKUP(A11,Reyna!$S$57:$W$62,5,FALSE)</f>
        <v>305.13572664746823</v>
      </c>
      <c r="T11" s="30">
        <f t="shared" si="0"/>
        <v>197.20040741661654</v>
      </c>
      <c r="U11" s="30">
        <f t="shared" si="1"/>
        <v>171.90969977140429</v>
      </c>
    </row>
    <row r="13" spans="1:24" x14ac:dyDescent="0.3">
      <c r="A13">
        <v>1</v>
      </c>
      <c r="B13" t="s">
        <v>110</v>
      </c>
      <c r="E13" s="30"/>
    </row>
    <row r="14" spans="1:24" x14ac:dyDescent="0.3">
      <c r="A14">
        <v>2</v>
      </c>
      <c r="B14" t="s">
        <v>111</v>
      </c>
      <c r="E14" s="30"/>
    </row>
    <row r="15" spans="1:24" x14ac:dyDescent="0.3">
      <c r="A15">
        <v>3</v>
      </c>
      <c r="B15" t="s">
        <v>112</v>
      </c>
    </row>
    <row r="16" spans="1:24" x14ac:dyDescent="0.3">
      <c r="A16">
        <v>4</v>
      </c>
      <c r="B16" t="s">
        <v>113</v>
      </c>
    </row>
    <row r="18" spans="1:11" x14ac:dyDescent="0.3">
      <c r="A18" s="56" t="s">
        <v>186</v>
      </c>
      <c r="B18" t="s">
        <v>234</v>
      </c>
      <c r="J18" s="28"/>
      <c r="K18" s="28"/>
    </row>
    <row r="19" spans="1:11" x14ac:dyDescent="0.3">
      <c r="B19" s="57">
        <v>0.93</v>
      </c>
      <c r="C19" t="s">
        <v>2</v>
      </c>
    </row>
    <row r="20" spans="1:11" x14ac:dyDescent="0.3">
      <c r="B20" s="57">
        <v>0.04</v>
      </c>
      <c r="C20" t="s">
        <v>29</v>
      </c>
    </row>
    <row r="21" spans="1:11" x14ac:dyDescent="0.3">
      <c r="B21" s="57">
        <v>0.03</v>
      </c>
      <c r="C21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A1:AA455"/>
  <sheetViews>
    <sheetView topLeftCell="N1" zoomScaleNormal="100" workbookViewId="0">
      <pane ySplit="1" topLeftCell="A14" activePane="bottomLeft" state="frozen"/>
      <selection activeCell="D10" sqref="D10"/>
      <selection pane="bottomLeft" activeCell="C2" sqref="C2"/>
    </sheetView>
  </sheetViews>
  <sheetFormatPr defaultRowHeight="14.4" x14ac:dyDescent="0.3"/>
  <cols>
    <col min="1" max="1" width="7" customWidth="1"/>
    <col min="2" max="3" width="10.6640625" style="4" customWidth="1"/>
    <col min="4" max="4" width="60.6640625" style="4" customWidth="1"/>
    <col min="5" max="5" width="25" style="18" customWidth="1"/>
    <col min="6" max="6" width="21.6640625" style="3" customWidth="1"/>
    <col min="7" max="7" width="9.109375" style="3"/>
    <col min="8" max="8" width="17.33203125" style="3" customWidth="1"/>
    <col min="9" max="9" width="27.6640625" style="3" customWidth="1"/>
    <col min="10" max="10" width="38.33203125" style="3" customWidth="1"/>
    <col min="11" max="11" width="26.5546875" style="3" customWidth="1"/>
    <col min="12" max="13" width="22.44140625" style="3" customWidth="1"/>
    <col min="14" max="14" width="23" style="3" customWidth="1"/>
    <col min="15" max="15" width="13.33203125" style="3" customWidth="1"/>
    <col min="16" max="16" width="13.5546875" style="3" customWidth="1"/>
    <col min="17" max="17" width="12.109375" style="3" customWidth="1"/>
    <col min="18" max="18" width="13.33203125" style="3" customWidth="1"/>
    <col min="19" max="19" width="12.44140625" style="10" customWidth="1"/>
    <col min="20" max="20" width="9.109375" style="3"/>
    <col min="21" max="21" width="13.109375" style="3" customWidth="1"/>
    <col min="22" max="22" width="9.109375" style="3"/>
    <col min="23" max="23" width="12.88671875" style="10" customWidth="1"/>
    <col min="24" max="24" width="10.109375" style="10" customWidth="1"/>
    <col min="25" max="25" width="11.5546875" style="3" bestFit="1" customWidth="1"/>
    <col min="26" max="26" width="9.109375" style="3"/>
    <col min="27" max="27" width="30.109375" style="3" customWidth="1"/>
  </cols>
  <sheetData>
    <row r="1" spans="1:27" ht="30" customHeight="1" x14ac:dyDescent="0.3">
      <c r="A1" s="1" t="s">
        <v>25</v>
      </c>
      <c r="B1" s="1" t="s">
        <v>24</v>
      </c>
      <c r="C1" s="1" t="s">
        <v>245</v>
      </c>
      <c r="D1" s="1" t="s">
        <v>23</v>
      </c>
      <c r="E1" s="1" t="s">
        <v>22</v>
      </c>
      <c r="F1" s="1" t="s">
        <v>34</v>
      </c>
      <c r="G1" s="22" t="s">
        <v>21</v>
      </c>
      <c r="H1" s="1" t="s">
        <v>20</v>
      </c>
      <c r="I1" s="1" t="s">
        <v>19</v>
      </c>
      <c r="J1" s="1" t="s">
        <v>26</v>
      </c>
      <c r="K1" s="1" t="s">
        <v>18</v>
      </c>
      <c r="L1" s="1" t="s">
        <v>17</v>
      </c>
      <c r="M1" s="1" t="s">
        <v>16</v>
      </c>
      <c r="N1" s="1" t="s">
        <v>15</v>
      </c>
      <c r="O1" s="1" t="s">
        <v>14</v>
      </c>
      <c r="P1" s="1" t="s">
        <v>13</v>
      </c>
      <c r="Q1" s="1" t="s">
        <v>32</v>
      </c>
      <c r="R1" s="1" t="s">
        <v>33</v>
      </c>
      <c r="S1" s="9" t="s">
        <v>12</v>
      </c>
      <c r="T1" s="1" t="s">
        <v>36</v>
      </c>
      <c r="U1" s="1" t="s">
        <v>61</v>
      </c>
      <c r="V1" s="1" t="s">
        <v>11</v>
      </c>
      <c r="W1" s="9" t="s">
        <v>30</v>
      </c>
      <c r="X1" s="9" t="s">
        <v>39</v>
      </c>
      <c r="Y1" s="1" t="s">
        <v>27</v>
      </c>
      <c r="Z1" s="1" t="s">
        <v>10</v>
      </c>
      <c r="AA1" s="1" t="s">
        <v>9</v>
      </c>
    </row>
    <row r="2" spans="1:27" ht="30" customHeight="1" x14ac:dyDescent="0.3">
      <c r="A2" s="6">
        <v>2</v>
      </c>
      <c r="B2" s="3" t="s">
        <v>50</v>
      </c>
      <c r="C2" s="52" t="s">
        <v>250</v>
      </c>
      <c r="D2" s="16" t="s">
        <v>60</v>
      </c>
      <c r="G2" s="22" t="s">
        <v>3</v>
      </c>
      <c r="I2" s="5" t="s">
        <v>38</v>
      </c>
      <c r="J2" s="3" t="s">
        <v>44</v>
      </c>
      <c r="M2" s="3">
        <v>4</v>
      </c>
      <c r="O2" s="15"/>
      <c r="Q2" s="3">
        <v>1502</v>
      </c>
      <c r="R2" s="8"/>
      <c r="S2" s="19" t="s">
        <v>7</v>
      </c>
      <c r="U2" s="3">
        <v>258</v>
      </c>
      <c r="V2" s="5" t="s">
        <v>0</v>
      </c>
      <c r="W2" s="13">
        <f>U2</f>
        <v>258</v>
      </c>
      <c r="X2" s="19">
        <v>1</v>
      </c>
    </row>
    <row r="3" spans="1:27" ht="30" customHeight="1" x14ac:dyDescent="0.3">
      <c r="A3" s="6">
        <v>2</v>
      </c>
      <c r="G3" s="22" t="s">
        <v>3</v>
      </c>
      <c r="I3" s="5" t="s">
        <v>38</v>
      </c>
      <c r="M3" s="3">
        <v>4</v>
      </c>
      <c r="O3" s="15"/>
      <c r="Q3" s="3">
        <v>1502</v>
      </c>
      <c r="R3" s="8"/>
      <c r="S3" s="19" t="s">
        <v>2</v>
      </c>
      <c r="U3" s="8">
        <v>137.80000000000001</v>
      </c>
      <c r="V3" s="5" t="s">
        <v>0</v>
      </c>
      <c r="W3" s="13">
        <f t="shared" ref="W3:W19" si="0">U3</f>
        <v>137.80000000000001</v>
      </c>
      <c r="X3" s="19">
        <v>1</v>
      </c>
    </row>
    <row r="4" spans="1:27" ht="30" customHeight="1" x14ac:dyDescent="0.3">
      <c r="A4" s="6">
        <v>2</v>
      </c>
      <c r="G4" s="22" t="s">
        <v>3</v>
      </c>
      <c r="I4" s="5" t="s">
        <v>38</v>
      </c>
      <c r="M4" s="3">
        <v>4</v>
      </c>
      <c r="O4" s="15"/>
      <c r="Q4" s="3">
        <v>1502</v>
      </c>
      <c r="R4" s="8"/>
      <c r="S4" s="19" t="s">
        <v>1</v>
      </c>
      <c r="U4" s="3">
        <v>358</v>
      </c>
      <c r="V4" s="5" t="s">
        <v>0</v>
      </c>
      <c r="W4" s="13">
        <f t="shared" si="0"/>
        <v>358</v>
      </c>
      <c r="X4" s="19">
        <v>1</v>
      </c>
    </row>
    <row r="5" spans="1:27" ht="30" customHeight="1" x14ac:dyDescent="0.3">
      <c r="A5" s="6">
        <v>2</v>
      </c>
      <c r="G5" s="22" t="s">
        <v>3</v>
      </c>
      <c r="I5" s="3" t="s">
        <v>6</v>
      </c>
      <c r="J5" s="3" t="s">
        <v>45</v>
      </c>
      <c r="M5" s="3">
        <v>8</v>
      </c>
      <c r="O5" s="15"/>
      <c r="Q5" s="3">
        <v>2802</v>
      </c>
      <c r="R5" s="8"/>
      <c r="S5" s="19" t="s">
        <v>7</v>
      </c>
      <c r="U5" s="3">
        <v>250</v>
      </c>
      <c r="V5" s="5" t="str">
        <f>V2</f>
        <v>kg/m2</v>
      </c>
      <c r="W5" s="13">
        <f t="shared" si="0"/>
        <v>250</v>
      </c>
      <c r="X5" s="19">
        <v>1</v>
      </c>
    </row>
    <row r="6" spans="1:27" ht="30" customHeight="1" x14ac:dyDescent="0.3">
      <c r="A6" s="6">
        <v>2</v>
      </c>
      <c r="G6" s="22" t="s">
        <v>3</v>
      </c>
      <c r="I6" s="3" t="s">
        <v>6</v>
      </c>
      <c r="M6" s="3">
        <v>8</v>
      </c>
      <c r="O6" s="15"/>
      <c r="Q6" s="3">
        <v>2802</v>
      </c>
      <c r="R6" s="8"/>
      <c r="S6" s="19" t="s">
        <v>2</v>
      </c>
      <c r="U6" s="3">
        <v>151.37</v>
      </c>
      <c r="V6" s="5" t="str">
        <f t="shared" ref="V6:V19" si="1">V5</f>
        <v>kg/m2</v>
      </c>
      <c r="W6" s="13">
        <f t="shared" si="0"/>
        <v>151.37</v>
      </c>
      <c r="X6" s="19">
        <v>1</v>
      </c>
    </row>
    <row r="7" spans="1:27" ht="30" customHeight="1" x14ac:dyDescent="0.3">
      <c r="A7" s="6">
        <v>2</v>
      </c>
      <c r="G7" s="22" t="s">
        <v>3</v>
      </c>
      <c r="I7" s="3" t="s">
        <v>6</v>
      </c>
      <c r="M7" s="3">
        <v>8</v>
      </c>
      <c r="O7" s="15"/>
      <c r="Q7" s="3">
        <v>2802</v>
      </c>
      <c r="R7" s="8"/>
      <c r="S7" s="19" t="s">
        <v>1</v>
      </c>
      <c r="U7" s="3">
        <v>314</v>
      </c>
      <c r="V7" s="5" t="str">
        <f t="shared" si="1"/>
        <v>kg/m2</v>
      </c>
      <c r="W7" s="13">
        <f t="shared" si="0"/>
        <v>314</v>
      </c>
      <c r="X7" s="19">
        <v>1</v>
      </c>
    </row>
    <row r="8" spans="1:27" ht="30" customHeight="1" x14ac:dyDescent="0.3">
      <c r="A8" s="6">
        <v>2</v>
      </c>
      <c r="G8" s="22" t="s">
        <v>3</v>
      </c>
      <c r="I8" s="3" t="s">
        <v>6</v>
      </c>
      <c r="J8" s="3" t="s">
        <v>46</v>
      </c>
      <c r="M8" s="3">
        <v>8</v>
      </c>
      <c r="O8" s="15"/>
      <c r="Q8" s="3">
        <v>3500</v>
      </c>
      <c r="R8" s="8"/>
      <c r="S8" s="19" t="s">
        <v>7</v>
      </c>
      <c r="U8" s="3">
        <v>311</v>
      </c>
      <c r="V8" s="5" t="str">
        <f t="shared" si="1"/>
        <v>kg/m2</v>
      </c>
      <c r="W8" s="13">
        <f t="shared" si="0"/>
        <v>311</v>
      </c>
      <c r="X8" s="19">
        <v>1</v>
      </c>
    </row>
    <row r="9" spans="1:27" ht="30" customHeight="1" x14ac:dyDescent="0.3">
      <c r="A9" s="6">
        <v>2</v>
      </c>
      <c r="G9" s="22" t="s">
        <v>3</v>
      </c>
      <c r="I9" s="3" t="s">
        <v>6</v>
      </c>
      <c r="M9" s="3">
        <v>8</v>
      </c>
      <c r="O9" s="15"/>
      <c r="Q9" s="3">
        <v>3500</v>
      </c>
      <c r="R9" s="8"/>
      <c r="S9" s="19" t="s">
        <v>2</v>
      </c>
      <c r="U9" s="3">
        <v>144.01</v>
      </c>
      <c r="V9" s="5" t="str">
        <f t="shared" si="1"/>
        <v>kg/m2</v>
      </c>
      <c r="W9" s="13">
        <f t="shared" si="0"/>
        <v>144.01</v>
      </c>
      <c r="X9" s="19">
        <v>1</v>
      </c>
    </row>
    <row r="10" spans="1:27" ht="30" customHeight="1" x14ac:dyDescent="0.3">
      <c r="A10" s="6">
        <v>2</v>
      </c>
      <c r="G10" s="22" t="s">
        <v>3</v>
      </c>
      <c r="I10" s="3" t="s">
        <v>6</v>
      </c>
      <c r="M10" s="3">
        <v>8</v>
      </c>
      <c r="O10" s="15"/>
      <c r="Q10" s="3">
        <v>3500</v>
      </c>
      <c r="R10" s="8"/>
      <c r="S10" s="19" t="s">
        <v>1</v>
      </c>
      <c r="U10" s="3">
        <v>345</v>
      </c>
      <c r="V10" s="5" t="str">
        <f t="shared" si="1"/>
        <v>kg/m2</v>
      </c>
      <c r="W10" s="13">
        <f t="shared" si="0"/>
        <v>345</v>
      </c>
      <c r="X10" s="19">
        <v>1</v>
      </c>
    </row>
    <row r="11" spans="1:27" ht="30" customHeight="1" x14ac:dyDescent="0.3">
      <c r="A11" s="6">
        <v>2</v>
      </c>
      <c r="G11" s="22" t="s">
        <v>3</v>
      </c>
      <c r="I11" s="3" t="s">
        <v>6</v>
      </c>
      <c r="J11" s="3" t="s">
        <v>47</v>
      </c>
      <c r="M11" s="3">
        <v>18</v>
      </c>
      <c r="O11" s="15"/>
      <c r="Q11" s="3">
        <v>22861</v>
      </c>
      <c r="R11" s="8"/>
      <c r="S11" s="19" t="s">
        <v>7</v>
      </c>
      <c r="U11" s="3">
        <v>172</v>
      </c>
      <c r="V11" s="5" t="str">
        <f t="shared" si="1"/>
        <v>kg/m2</v>
      </c>
      <c r="W11" s="13">
        <f t="shared" si="0"/>
        <v>172</v>
      </c>
      <c r="X11" s="19">
        <v>1</v>
      </c>
    </row>
    <row r="12" spans="1:27" ht="30" customHeight="1" x14ac:dyDescent="0.3">
      <c r="A12" s="6">
        <v>2</v>
      </c>
      <c r="G12" s="22" t="s">
        <v>3</v>
      </c>
      <c r="I12" s="3" t="s">
        <v>6</v>
      </c>
      <c r="M12" s="3">
        <v>18</v>
      </c>
      <c r="O12" s="15"/>
      <c r="Q12" s="3">
        <v>22861</v>
      </c>
      <c r="R12" s="8"/>
      <c r="S12" s="19" t="s">
        <v>2</v>
      </c>
      <c r="U12" s="3">
        <v>202.4</v>
      </c>
      <c r="V12" s="5" t="str">
        <f t="shared" si="1"/>
        <v>kg/m2</v>
      </c>
      <c r="W12" s="13">
        <f t="shared" si="0"/>
        <v>202.4</v>
      </c>
      <c r="X12" s="19">
        <v>1</v>
      </c>
    </row>
    <row r="13" spans="1:27" ht="30" customHeight="1" x14ac:dyDescent="0.3">
      <c r="A13" s="6">
        <v>2</v>
      </c>
      <c r="G13" s="22" t="s">
        <v>3</v>
      </c>
      <c r="I13" s="3" t="s">
        <v>6</v>
      </c>
      <c r="M13" s="3">
        <v>18</v>
      </c>
      <c r="O13" s="15"/>
      <c r="Q13" s="3">
        <v>22861</v>
      </c>
      <c r="R13" s="8"/>
      <c r="S13" s="19" t="s">
        <v>1</v>
      </c>
      <c r="U13" s="3">
        <v>409</v>
      </c>
      <c r="V13" s="5" t="str">
        <f t="shared" si="1"/>
        <v>kg/m2</v>
      </c>
      <c r="W13" s="13">
        <f t="shared" si="0"/>
        <v>409</v>
      </c>
      <c r="X13" s="19">
        <v>1</v>
      </c>
    </row>
    <row r="14" spans="1:27" ht="30" customHeight="1" x14ac:dyDescent="0.3">
      <c r="A14" s="6">
        <v>2</v>
      </c>
      <c r="G14" s="22" t="s">
        <v>3</v>
      </c>
      <c r="I14" s="3" t="s">
        <v>6</v>
      </c>
      <c r="J14" s="3" t="s">
        <v>48</v>
      </c>
      <c r="M14" s="3">
        <v>31</v>
      </c>
      <c r="O14" s="15"/>
      <c r="Q14" s="3">
        <v>88049</v>
      </c>
      <c r="R14" s="8"/>
      <c r="S14" s="19" t="s">
        <v>7</v>
      </c>
      <c r="U14" s="3">
        <v>116</v>
      </c>
      <c r="V14" s="5" t="str">
        <f t="shared" si="1"/>
        <v>kg/m2</v>
      </c>
      <c r="W14" s="13">
        <f t="shared" si="0"/>
        <v>116</v>
      </c>
      <c r="X14" s="19">
        <v>1</v>
      </c>
    </row>
    <row r="15" spans="1:27" ht="30" customHeight="1" x14ac:dyDescent="0.3">
      <c r="A15" s="6">
        <v>2</v>
      </c>
      <c r="G15" s="22" t="s">
        <v>3</v>
      </c>
      <c r="I15" s="3" t="s">
        <v>6</v>
      </c>
      <c r="M15" s="3">
        <v>31</v>
      </c>
      <c r="O15" s="15"/>
      <c r="Q15" s="3">
        <v>88049</v>
      </c>
      <c r="R15" s="8"/>
      <c r="S15" s="19" t="s">
        <v>2</v>
      </c>
      <c r="U15" s="3">
        <v>158.76</v>
      </c>
      <c r="V15" s="5" t="str">
        <f t="shared" si="1"/>
        <v>kg/m2</v>
      </c>
      <c r="W15" s="13">
        <f t="shared" si="0"/>
        <v>158.76</v>
      </c>
      <c r="X15" s="19">
        <v>1</v>
      </c>
    </row>
    <row r="16" spans="1:27" ht="30" customHeight="1" x14ac:dyDescent="0.3">
      <c r="A16" s="6">
        <v>2</v>
      </c>
      <c r="G16" s="22" t="s">
        <v>3</v>
      </c>
      <c r="I16" s="3" t="s">
        <v>6</v>
      </c>
      <c r="M16" s="3">
        <v>31</v>
      </c>
      <c r="O16" s="15"/>
      <c r="Q16" s="3">
        <v>88049</v>
      </c>
      <c r="R16" s="8"/>
      <c r="S16" s="19" t="s">
        <v>1</v>
      </c>
      <c r="U16" s="3">
        <v>425</v>
      </c>
      <c r="V16" s="5" t="str">
        <f t="shared" si="1"/>
        <v>kg/m2</v>
      </c>
      <c r="W16" s="13">
        <f t="shared" si="0"/>
        <v>425</v>
      </c>
      <c r="X16" s="19">
        <v>1</v>
      </c>
    </row>
    <row r="17" spans="1:27" ht="30" customHeight="1" x14ac:dyDescent="0.3">
      <c r="A17" s="6">
        <v>2</v>
      </c>
      <c r="G17" s="22" t="s">
        <v>3</v>
      </c>
      <c r="I17" s="3" t="s">
        <v>6</v>
      </c>
      <c r="J17" s="3" t="s">
        <v>49</v>
      </c>
      <c r="M17" s="3">
        <v>25</v>
      </c>
      <c r="O17" s="15"/>
      <c r="Q17" s="3">
        <v>216000</v>
      </c>
      <c r="R17" s="8"/>
      <c r="S17" s="19" t="s">
        <v>7</v>
      </c>
      <c r="U17" s="3">
        <v>127</v>
      </c>
      <c r="V17" s="5" t="str">
        <f t="shared" si="1"/>
        <v>kg/m2</v>
      </c>
      <c r="W17" s="13">
        <f t="shared" si="0"/>
        <v>127</v>
      </c>
      <c r="X17" s="19">
        <v>1</v>
      </c>
    </row>
    <row r="18" spans="1:27" ht="30" customHeight="1" x14ac:dyDescent="0.3">
      <c r="A18" s="6">
        <v>2</v>
      </c>
      <c r="G18" s="22" t="s">
        <v>3</v>
      </c>
      <c r="I18" s="3" t="s">
        <v>6</v>
      </c>
      <c r="M18" s="3">
        <v>25</v>
      </c>
      <c r="O18" s="15"/>
      <c r="Q18" s="3">
        <v>216000</v>
      </c>
      <c r="R18" s="8"/>
      <c r="S18" s="19" t="s">
        <v>2</v>
      </c>
      <c r="U18" s="3">
        <v>151.43</v>
      </c>
      <c r="V18" s="5" t="str">
        <f t="shared" si="1"/>
        <v>kg/m2</v>
      </c>
      <c r="W18" s="13">
        <f t="shared" si="0"/>
        <v>151.43</v>
      </c>
      <c r="X18" s="19">
        <v>1</v>
      </c>
    </row>
    <row r="19" spans="1:27" ht="30" customHeight="1" x14ac:dyDescent="0.3">
      <c r="A19" s="7">
        <v>2</v>
      </c>
      <c r="G19" s="22" t="s">
        <v>3</v>
      </c>
      <c r="I19" s="3" t="s">
        <v>6</v>
      </c>
      <c r="M19" s="3">
        <v>25</v>
      </c>
      <c r="O19" s="15"/>
      <c r="Q19" s="3">
        <v>216000</v>
      </c>
      <c r="R19" s="8"/>
      <c r="S19" s="19" t="s">
        <v>1</v>
      </c>
      <c r="U19" s="3">
        <v>326</v>
      </c>
      <c r="V19" s="5" t="str">
        <f t="shared" si="1"/>
        <v>kg/m2</v>
      </c>
      <c r="W19" s="13">
        <f t="shared" si="0"/>
        <v>326</v>
      </c>
      <c r="X19" s="19">
        <v>1</v>
      </c>
    </row>
    <row r="20" spans="1:27" x14ac:dyDescent="0.3">
      <c r="G20" s="22"/>
      <c r="S20" s="19" t="str">
        <f>S17</f>
        <v>Cement</v>
      </c>
      <c r="W20" s="13">
        <f>AVERAGE(W2,W5,W8,W11,W14,W17)</f>
        <v>205.66666666666666</v>
      </c>
      <c r="X20" s="19"/>
      <c r="AA20" s="3" t="s">
        <v>128</v>
      </c>
    </row>
    <row r="21" spans="1:27" x14ac:dyDescent="0.3">
      <c r="G21" s="22"/>
      <c r="S21" s="19" t="str">
        <f t="shared" ref="S21:S22" si="2">S18</f>
        <v>Steel</v>
      </c>
      <c r="W21" s="13">
        <f t="shared" ref="W21:W22" si="3">AVERAGE(W3,W6,W9,W12,W15,W18)</f>
        <v>157.62833333333333</v>
      </c>
      <c r="X21" s="19"/>
      <c r="AA21" s="3" t="s">
        <v>128</v>
      </c>
    </row>
    <row r="22" spans="1:27" x14ac:dyDescent="0.3">
      <c r="G22" s="22"/>
      <c r="S22" s="19" t="str">
        <f t="shared" si="2"/>
        <v>Iron</v>
      </c>
      <c r="W22" s="13">
        <f t="shared" si="3"/>
        <v>362.83333333333331</v>
      </c>
      <c r="X22" s="19"/>
      <c r="AA22" s="3" t="s">
        <v>128</v>
      </c>
    </row>
    <row r="23" spans="1:27" x14ac:dyDescent="0.3">
      <c r="G23" s="22"/>
      <c r="S23" s="19"/>
      <c r="W23" s="19"/>
      <c r="X23" s="19"/>
    </row>
    <row r="24" spans="1:27" x14ac:dyDescent="0.3">
      <c r="G24" s="22"/>
      <c r="S24" s="19"/>
      <c r="W24" s="19"/>
      <c r="X24" s="19"/>
    </row>
    <row r="25" spans="1:27" x14ac:dyDescent="0.3">
      <c r="G25" s="22"/>
      <c r="S25" s="19"/>
      <c r="W25" s="19"/>
      <c r="X25" s="19"/>
    </row>
    <row r="26" spans="1:27" x14ac:dyDescent="0.3">
      <c r="G26" s="22"/>
      <c r="S26" s="19"/>
      <c r="W26" s="19"/>
      <c r="X26" s="19"/>
    </row>
    <row r="27" spans="1:27" x14ac:dyDescent="0.3">
      <c r="G27" s="22"/>
      <c r="S27" s="19"/>
      <c r="W27" s="19"/>
      <c r="X27" s="19"/>
    </row>
    <row r="28" spans="1:27" x14ac:dyDescent="0.3">
      <c r="G28" s="22"/>
      <c r="S28" s="19"/>
      <c r="W28" s="19"/>
      <c r="X28" s="19"/>
    </row>
    <row r="29" spans="1:27" x14ac:dyDescent="0.3">
      <c r="G29" s="22"/>
      <c r="S29" s="19"/>
      <c r="W29" s="19"/>
      <c r="X29" s="19"/>
    </row>
    <row r="30" spans="1:27" x14ac:dyDescent="0.3">
      <c r="G30" s="22"/>
      <c r="S30" s="19"/>
      <c r="W30" s="19"/>
      <c r="X30" s="19"/>
    </row>
    <row r="31" spans="1:27" x14ac:dyDescent="0.3">
      <c r="G31" s="22"/>
      <c r="S31" s="19"/>
      <c r="W31" s="19"/>
      <c r="X31" s="19"/>
    </row>
    <row r="32" spans="1:27" x14ac:dyDescent="0.3">
      <c r="G32" s="22"/>
      <c r="S32" s="19"/>
      <c r="W32" s="19"/>
      <c r="X32" s="19"/>
    </row>
    <row r="33" spans="7:24" x14ac:dyDescent="0.3">
      <c r="G33" s="22"/>
      <c r="S33" s="19"/>
      <c r="W33" s="19"/>
      <c r="X33" s="19"/>
    </row>
    <row r="34" spans="7:24" x14ac:dyDescent="0.3">
      <c r="G34" s="22"/>
      <c r="S34" s="19"/>
      <c r="W34" s="19"/>
      <c r="X34" s="19"/>
    </row>
    <row r="35" spans="7:24" x14ac:dyDescent="0.3">
      <c r="G35" s="22"/>
      <c r="S35" s="19"/>
      <c r="W35" s="19"/>
      <c r="X35" s="19"/>
    </row>
    <row r="36" spans="7:24" x14ac:dyDescent="0.3">
      <c r="G36" s="22"/>
      <c r="S36" s="19"/>
      <c r="W36" s="19"/>
      <c r="X36" s="19"/>
    </row>
    <row r="37" spans="7:24" x14ac:dyDescent="0.3">
      <c r="G37" s="22"/>
      <c r="S37" s="19"/>
      <c r="W37" s="19"/>
      <c r="X37" s="19"/>
    </row>
    <row r="38" spans="7:24" x14ac:dyDescent="0.3">
      <c r="G38" s="22"/>
      <c r="S38" s="19"/>
      <c r="W38" s="19"/>
      <c r="X38" s="19"/>
    </row>
    <row r="39" spans="7:24" x14ac:dyDescent="0.3">
      <c r="G39" s="22"/>
      <c r="S39" s="19"/>
      <c r="W39" s="19"/>
      <c r="X39" s="19"/>
    </row>
    <row r="40" spans="7:24" x14ac:dyDescent="0.3">
      <c r="G40" s="22"/>
      <c r="S40" s="19"/>
      <c r="W40" s="19"/>
      <c r="X40" s="19"/>
    </row>
    <row r="41" spans="7:24" x14ac:dyDescent="0.3">
      <c r="G41" s="22"/>
      <c r="S41" s="19"/>
      <c r="W41" s="19"/>
      <c r="X41" s="19"/>
    </row>
    <row r="42" spans="7:24" x14ac:dyDescent="0.3">
      <c r="G42" s="22"/>
      <c r="S42" s="19"/>
      <c r="W42" s="19"/>
      <c r="X42" s="19"/>
    </row>
    <row r="43" spans="7:24" x14ac:dyDescent="0.3">
      <c r="G43" s="22"/>
      <c r="S43" s="19"/>
      <c r="W43" s="19"/>
      <c r="X43" s="19"/>
    </row>
    <row r="44" spans="7:24" x14ac:dyDescent="0.3">
      <c r="G44" s="22"/>
      <c r="S44" s="19"/>
      <c r="W44" s="19"/>
      <c r="X44" s="19"/>
    </row>
    <row r="45" spans="7:24" x14ac:dyDescent="0.3">
      <c r="G45" s="22"/>
      <c r="S45" s="19"/>
      <c r="W45" s="19"/>
      <c r="X45" s="19"/>
    </row>
    <row r="46" spans="7:24" x14ac:dyDescent="0.3">
      <c r="G46" s="22"/>
      <c r="S46" s="19"/>
      <c r="W46" s="19"/>
      <c r="X46" s="19"/>
    </row>
    <row r="47" spans="7:24" x14ac:dyDescent="0.3">
      <c r="G47" s="22"/>
      <c r="S47" s="19"/>
      <c r="W47" s="19"/>
      <c r="X47" s="19"/>
    </row>
    <row r="48" spans="7:24" x14ac:dyDescent="0.3">
      <c r="G48" s="22"/>
      <c r="S48" s="19"/>
      <c r="W48" s="19"/>
      <c r="X48" s="19"/>
    </row>
    <row r="49" spans="7:24" x14ac:dyDescent="0.3">
      <c r="G49" s="22"/>
      <c r="S49" s="19"/>
      <c r="W49" s="19"/>
      <c r="X49" s="19"/>
    </row>
    <row r="50" spans="7:24" x14ac:dyDescent="0.3">
      <c r="G50" s="22"/>
      <c r="S50" s="19"/>
      <c r="W50" s="19"/>
      <c r="X50" s="19"/>
    </row>
    <row r="51" spans="7:24" x14ac:dyDescent="0.3">
      <c r="G51" s="22"/>
      <c r="S51" s="19"/>
      <c r="W51" s="19"/>
      <c r="X51" s="19"/>
    </row>
    <row r="52" spans="7:24" x14ac:dyDescent="0.3">
      <c r="G52" s="22"/>
      <c r="S52" s="19"/>
      <c r="W52" s="19"/>
      <c r="X52" s="19"/>
    </row>
    <row r="53" spans="7:24" x14ac:dyDescent="0.3">
      <c r="G53" s="22"/>
      <c r="S53" s="19"/>
      <c r="W53" s="19"/>
      <c r="X53" s="19"/>
    </row>
    <row r="54" spans="7:24" x14ac:dyDescent="0.3">
      <c r="G54" s="22"/>
      <c r="S54" s="19"/>
      <c r="W54" s="19"/>
      <c r="X54" s="19"/>
    </row>
    <row r="55" spans="7:24" x14ac:dyDescent="0.3">
      <c r="G55" s="22"/>
      <c r="S55" s="19"/>
      <c r="W55" s="19"/>
      <c r="X55" s="19"/>
    </row>
    <row r="56" spans="7:24" x14ac:dyDescent="0.3">
      <c r="G56" s="22"/>
      <c r="S56" s="19"/>
      <c r="W56" s="19"/>
      <c r="X56" s="19"/>
    </row>
    <row r="57" spans="7:24" x14ac:dyDescent="0.3">
      <c r="G57" s="22"/>
      <c r="S57" s="19"/>
      <c r="W57" s="19"/>
      <c r="X57" s="19"/>
    </row>
    <row r="58" spans="7:24" x14ac:dyDescent="0.3">
      <c r="G58" s="22"/>
      <c r="S58" s="19"/>
      <c r="W58" s="19"/>
      <c r="X58" s="19"/>
    </row>
    <row r="59" spans="7:24" x14ac:dyDescent="0.3">
      <c r="G59" s="22"/>
      <c r="S59" s="19"/>
      <c r="W59" s="19"/>
      <c r="X59" s="19"/>
    </row>
    <row r="60" spans="7:24" x14ac:dyDescent="0.3">
      <c r="G60" s="22"/>
      <c r="S60" s="19"/>
      <c r="W60" s="19"/>
      <c r="X60" s="19"/>
    </row>
    <row r="61" spans="7:24" x14ac:dyDescent="0.3">
      <c r="G61" s="22"/>
      <c r="S61" s="19"/>
      <c r="W61" s="19"/>
      <c r="X61" s="19"/>
    </row>
    <row r="62" spans="7:24" x14ac:dyDescent="0.3">
      <c r="G62" s="22"/>
      <c r="S62" s="19"/>
      <c r="W62" s="19"/>
      <c r="X62" s="19"/>
    </row>
    <row r="63" spans="7:24" x14ac:dyDescent="0.3">
      <c r="G63" s="22"/>
      <c r="S63" s="19"/>
      <c r="W63" s="19"/>
      <c r="X63" s="19"/>
    </row>
    <row r="64" spans="7:24" x14ac:dyDescent="0.3">
      <c r="G64" s="22"/>
      <c r="S64" s="19"/>
      <c r="W64" s="19"/>
      <c r="X64" s="19"/>
    </row>
    <row r="65" spans="7:24" x14ac:dyDescent="0.3">
      <c r="G65" s="22"/>
      <c r="S65" s="19"/>
      <c r="W65" s="19"/>
      <c r="X65" s="19"/>
    </row>
    <row r="66" spans="7:24" x14ac:dyDescent="0.3">
      <c r="G66" s="22"/>
      <c r="S66" s="19"/>
      <c r="W66" s="19"/>
      <c r="X66" s="19"/>
    </row>
    <row r="67" spans="7:24" x14ac:dyDescent="0.3">
      <c r="G67" s="22"/>
      <c r="S67" s="19"/>
      <c r="W67" s="19"/>
      <c r="X67" s="19"/>
    </row>
    <row r="68" spans="7:24" x14ac:dyDescent="0.3">
      <c r="G68" s="22"/>
      <c r="S68" s="19"/>
      <c r="W68" s="19"/>
      <c r="X68" s="19"/>
    </row>
    <row r="69" spans="7:24" x14ac:dyDescent="0.3">
      <c r="G69" s="22"/>
      <c r="S69" s="19"/>
      <c r="W69" s="19"/>
      <c r="X69" s="19"/>
    </row>
    <row r="70" spans="7:24" x14ac:dyDescent="0.3">
      <c r="G70" s="22"/>
      <c r="S70" s="19"/>
      <c r="W70" s="19"/>
      <c r="X70" s="19"/>
    </row>
    <row r="71" spans="7:24" x14ac:dyDescent="0.3">
      <c r="G71" s="22"/>
      <c r="S71" s="19"/>
      <c r="W71" s="19"/>
      <c r="X71" s="19"/>
    </row>
    <row r="72" spans="7:24" x14ac:dyDescent="0.3">
      <c r="G72" s="22"/>
      <c r="S72" s="19"/>
      <c r="W72" s="19"/>
      <c r="X72" s="19"/>
    </row>
    <row r="73" spans="7:24" x14ac:dyDescent="0.3">
      <c r="G73" s="22"/>
      <c r="S73" s="19"/>
      <c r="W73" s="19"/>
      <c r="X73" s="19"/>
    </row>
    <row r="74" spans="7:24" x14ac:dyDescent="0.3">
      <c r="G74" s="22"/>
      <c r="S74" s="19"/>
      <c r="W74" s="19"/>
      <c r="X74" s="19"/>
    </row>
    <row r="75" spans="7:24" x14ac:dyDescent="0.3">
      <c r="G75" s="22"/>
      <c r="S75" s="19"/>
      <c r="W75" s="19"/>
      <c r="X75" s="19"/>
    </row>
    <row r="76" spans="7:24" x14ac:dyDescent="0.3">
      <c r="G76" s="22"/>
      <c r="S76" s="19"/>
      <c r="W76" s="19"/>
      <c r="X76" s="19"/>
    </row>
    <row r="77" spans="7:24" x14ac:dyDescent="0.3">
      <c r="G77" s="22"/>
      <c r="S77" s="19"/>
      <c r="W77" s="19"/>
      <c r="X77" s="19"/>
    </row>
    <row r="78" spans="7:24" x14ac:dyDescent="0.3">
      <c r="G78" s="22"/>
      <c r="S78" s="19"/>
      <c r="W78" s="19"/>
      <c r="X78" s="19"/>
    </row>
    <row r="79" spans="7:24" x14ac:dyDescent="0.3">
      <c r="G79" s="22"/>
      <c r="S79" s="19"/>
      <c r="W79" s="19"/>
      <c r="X79" s="19"/>
    </row>
    <row r="80" spans="7:24" x14ac:dyDescent="0.3">
      <c r="G80" s="22"/>
      <c r="S80" s="19"/>
      <c r="W80" s="19"/>
      <c r="X80" s="19"/>
    </row>
    <row r="81" spans="7:24" x14ac:dyDescent="0.3">
      <c r="G81" s="22"/>
      <c r="S81" s="19"/>
      <c r="W81" s="19"/>
      <c r="X81" s="19"/>
    </row>
    <row r="82" spans="7:24" x14ac:dyDescent="0.3">
      <c r="G82" s="22"/>
      <c r="S82" s="19"/>
      <c r="W82" s="19"/>
      <c r="X82" s="19"/>
    </row>
    <row r="83" spans="7:24" x14ac:dyDescent="0.3">
      <c r="G83" s="22"/>
      <c r="S83" s="19"/>
      <c r="W83" s="19"/>
      <c r="X83" s="19"/>
    </row>
    <row r="84" spans="7:24" x14ac:dyDescent="0.3">
      <c r="G84" s="22"/>
      <c r="S84" s="19"/>
      <c r="W84" s="19"/>
      <c r="X84" s="19"/>
    </row>
    <row r="85" spans="7:24" x14ac:dyDescent="0.3">
      <c r="S85" s="19"/>
      <c r="W85" s="19"/>
      <c r="X85" s="19"/>
    </row>
    <row r="86" spans="7:24" x14ac:dyDescent="0.3">
      <c r="S86" s="19"/>
      <c r="W86" s="19"/>
      <c r="X86" s="19"/>
    </row>
    <row r="87" spans="7:24" x14ac:dyDescent="0.3">
      <c r="S87" s="19"/>
      <c r="W87" s="19"/>
      <c r="X87" s="19"/>
    </row>
    <row r="88" spans="7:24" x14ac:dyDescent="0.3">
      <c r="S88" s="19"/>
      <c r="W88" s="19"/>
      <c r="X88" s="19"/>
    </row>
    <row r="89" spans="7:24" x14ac:dyDescent="0.3">
      <c r="S89" s="19"/>
      <c r="W89" s="19"/>
      <c r="X89" s="19"/>
    </row>
    <row r="90" spans="7:24" x14ac:dyDescent="0.3">
      <c r="S90" s="19"/>
      <c r="W90" s="19"/>
      <c r="X90" s="19"/>
    </row>
    <row r="91" spans="7:24" x14ac:dyDescent="0.3">
      <c r="S91" s="19"/>
      <c r="W91" s="19"/>
      <c r="X91" s="19"/>
    </row>
    <row r="92" spans="7:24" x14ac:dyDescent="0.3">
      <c r="S92" s="19"/>
      <c r="W92" s="19"/>
      <c r="X92" s="19"/>
    </row>
    <row r="93" spans="7:24" x14ac:dyDescent="0.3">
      <c r="S93" s="19"/>
      <c r="W93" s="19"/>
      <c r="X93" s="19"/>
    </row>
    <row r="94" spans="7:24" x14ac:dyDescent="0.3">
      <c r="S94" s="19"/>
      <c r="W94" s="19"/>
      <c r="X94" s="19"/>
    </row>
    <row r="95" spans="7:24" x14ac:dyDescent="0.3">
      <c r="S95" s="19"/>
      <c r="W95" s="19"/>
      <c r="X95" s="19"/>
    </row>
    <row r="96" spans="7:24" x14ac:dyDescent="0.3">
      <c r="S96" s="19"/>
      <c r="W96" s="19"/>
      <c r="X96" s="19"/>
    </row>
    <row r="97" spans="19:24" x14ac:dyDescent="0.3">
      <c r="S97" s="19"/>
      <c r="W97" s="19"/>
      <c r="X97" s="19"/>
    </row>
    <row r="98" spans="19:24" x14ac:dyDescent="0.3">
      <c r="S98" s="19"/>
      <c r="W98" s="19"/>
      <c r="X98" s="19"/>
    </row>
    <row r="99" spans="19:24" x14ac:dyDescent="0.3">
      <c r="S99" s="19"/>
      <c r="W99" s="19"/>
      <c r="X99" s="19"/>
    </row>
    <row r="100" spans="19:24" x14ac:dyDescent="0.3">
      <c r="S100" s="19"/>
      <c r="W100" s="19"/>
      <c r="X100" s="19"/>
    </row>
    <row r="101" spans="19:24" x14ac:dyDescent="0.3">
      <c r="S101" s="19"/>
      <c r="W101" s="19"/>
      <c r="X101" s="19"/>
    </row>
    <row r="102" spans="19:24" x14ac:dyDescent="0.3">
      <c r="S102" s="19"/>
      <c r="W102" s="19"/>
      <c r="X102" s="19"/>
    </row>
    <row r="103" spans="19:24" x14ac:dyDescent="0.3">
      <c r="S103" s="19"/>
      <c r="W103" s="19"/>
      <c r="X103" s="19"/>
    </row>
    <row r="104" spans="19:24" x14ac:dyDescent="0.3">
      <c r="S104" s="19"/>
      <c r="W104" s="19"/>
      <c r="X104" s="19"/>
    </row>
    <row r="105" spans="19:24" x14ac:dyDescent="0.3">
      <c r="S105" s="19"/>
      <c r="W105" s="19"/>
      <c r="X105" s="19"/>
    </row>
    <row r="106" spans="19:24" x14ac:dyDescent="0.3">
      <c r="S106" s="19"/>
      <c r="W106" s="19"/>
      <c r="X106" s="19"/>
    </row>
    <row r="107" spans="19:24" x14ac:dyDescent="0.3">
      <c r="S107" s="19"/>
      <c r="W107" s="19"/>
      <c r="X107" s="19"/>
    </row>
    <row r="108" spans="19:24" x14ac:dyDescent="0.3">
      <c r="S108" s="19"/>
      <c r="W108" s="19"/>
      <c r="X108" s="19"/>
    </row>
    <row r="109" spans="19:24" x14ac:dyDescent="0.3">
      <c r="S109" s="19"/>
      <c r="W109" s="19"/>
      <c r="X109" s="19"/>
    </row>
    <row r="110" spans="19:24" x14ac:dyDescent="0.3">
      <c r="S110" s="19"/>
      <c r="W110" s="19"/>
      <c r="X110" s="19"/>
    </row>
    <row r="111" spans="19:24" x14ac:dyDescent="0.3">
      <c r="S111" s="19"/>
      <c r="W111" s="19"/>
      <c r="X111" s="19"/>
    </row>
    <row r="112" spans="19:24" x14ac:dyDescent="0.3">
      <c r="S112" s="19"/>
      <c r="W112" s="19"/>
      <c r="X112" s="19"/>
    </row>
    <row r="113" spans="19:24" x14ac:dyDescent="0.3">
      <c r="S113" s="19"/>
      <c r="W113" s="19"/>
      <c r="X113" s="19"/>
    </row>
    <row r="114" spans="19:24" x14ac:dyDescent="0.3">
      <c r="S114" s="19"/>
      <c r="W114" s="19"/>
      <c r="X114" s="19"/>
    </row>
    <row r="115" spans="19:24" x14ac:dyDescent="0.3">
      <c r="S115" s="19"/>
      <c r="W115" s="19"/>
      <c r="X115" s="19"/>
    </row>
    <row r="116" spans="19:24" x14ac:dyDescent="0.3">
      <c r="S116" s="19"/>
      <c r="W116" s="19"/>
      <c r="X116" s="19"/>
    </row>
    <row r="117" spans="19:24" x14ac:dyDescent="0.3">
      <c r="S117" s="19"/>
      <c r="W117" s="19"/>
      <c r="X117" s="19"/>
    </row>
    <row r="118" spans="19:24" x14ac:dyDescent="0.3">
      <c r="S118" s="19"/>
      <c r="W118" s="19"/>
      <c r="X118" s="19"/>
    </row>
    <row r="119" spans="19:24" x14ac:dyDescent="0.3">
      <c r="S119" s="19"/>
      <c r="W119" s="19"/>
      <c r="X119" s="19"/>
    </row>
    <row r="120" spans="19:24" x14ac:dyDescent="0.3">
      <c r="S120" s="19"/>
      <c r="W120" s="19"/>
      <c r="X120" s="19"/>
    </row>
    <row r="121" spans="19:24" x14ac:dyDescent="0.3">
      <c r="S121" s="19"/>
      <c r="W121" s="19"/>
      <c r="X121" s="19"/>
    </row>
    <row r="122" spans="19:24" x14ac:dyDescent="0.3">
      <c r="S122" s="19"/>
      <c r="W122" s="19"/>
      <c r="X122" s="19"/>
    </row>
    <row r="123" spans="19:24" x14ac:dyDescent="0.3">
      <c r="S123" s="19"/>
      <c r="W123" s="19"/>
      <c r="X123" s="19"/>
    </row>
    <row r="124" spans="19:24" x14ac:dyDescent="0.3">
      <c r="S124" s="19"/>
      <c r="W124" s="19"/>
      <c r="X124" s="19"/>
    </row>
    <row r="125" spans="19:24" x14ac:dyDescent="0.3">
      <c r="S125" s="19"/>
      <c r="W125" s="19"/>
      <c r="X125" s="19"/>
    </row>
    <row r="126" spans="19:24" x14ac:dyDescent="0.3">
      <c r="S126" s="19"/>
      <c r="W126" s="19"/>
      <c r="X126" s="19"/>
    </row>
    <row r="127" spans="19:24" x14ac:dyDescent="0.3">
      <c r="S127" s="19"/>
      <c r="W127" s="19"/>
      <c r="X127" s="19"/>
    </row>
    <row r="128" spans="19:24" x14ac:dyDescent="0.3">
      <c r="S128" s="19"/>
      <c r="W128" s="19"/>
      <c r="X128" s="19"/>
    </row>
    <row r="129" spans="19:24" x14ac:dyDescent="0.3">
      <c r="S129" s="19"/>
      <c r="W129" s="19"/>
      <c r="X129" s="19"/>
    </row>
    <row r="130" spans="19:24" x14ac:dyDescent="0.3">
      <c r="S130" s="19"/>
      <c r="W130" s="19"/>
      <c r="X130" s="19"/>
    </row>
    <row r="131" spans="19:24" x14ac:dyDescent="0.3">
      <c r="S131" s="19"/>
      <c r="W131" s="19"/>
      <c r="X131" s="19"/>
    </row>
    <row r="132" spans="19:24" x14ac:dyDescent="0.3">
      <c r="S132" s="19"/>
      <c r="W132" s="19"/>
      <c r="X132" s="19"/>
    </row>
    <row r="133" spans="19:24" x14ac:dyDescent="0.3">
      <c r="S133" s="19"/>
      <c r="W133" s="19"/>
      <c r="X133" s="19"/>
    </row>
    <row r="134" spans="19:24" x14ac:dyDescent="0.3">
      <c r="S134" s="19"/>
      <c r="W134" s="19"/>
      <c r="X134" s="19"/>
    </row>
    <row r="135" spans="19:24" x14ac:dyDescent="0.3">
      <c r="S135" s="19"/>
      <c r="W135" s="19"/>
      <c r="X135" s="19"/>
    </row>
    <row r="136" spans="19:24" x14ac:dyDescent="0.3">
      <c r="S136" s="19"/>
      <c r="W136" s="19"/>
      <c r="X136" s="19"/>
    </row>
    <row r="137" spans="19:24" x14ac:dyDescent="0.3">
      <c r="S137" s="19"/>
      <c r="W137" s="19"/>
      <c r="X137" s="19"/>
    </row>
    <row r="138" spans="19:24" x14ac:dyDescent="0.3">
      <c r="S138" s="19"/>
      <c r="W138" s="19"/>
      <c r="X138" s="19"/>
    </row>
    <row r="139" spans="19:24" x14ac:dyDescent="0.3">
      <c r="S139" s="19"/>
      <c r="W139" s="19"/>
      <c r="X139" s="19"/>
    </row>
    <row r="140" spans="19:24" x14ac:dyDescent="0.3">
      <c r="S140" s="19"/>
      <c r="W140" s="19"/>
      <c r="X140" s="19"/>
    </row>
    <row r="141" spans="19:24" x14ac:dyDescent="0.3">
      <c r="S141" s="19"/>
      <c r="W141" s="19"/>
      <c r="X141" s="19"/>
    </row>
    <row r="142" spans="19:24" x14ac:dyDescent="0.3">
      <c r="S142" s="19"/>
      <c r="W142" s="19"/>
      <c r="X142" s="19"/>
    </row>
    <row r="143" spans="19:24" x14ac:dyDescent="0.3">
      <c r="S143" s="19"/>
      <c r="W143" s="19"/>
      <c r="X143" s="19"/>
    </row>
    <row r="144" spans="19:24" x14ac:dyDescent="0.3">
      <c r="S144" s="19"/>
      <c r="W144" s="19"/>
      <c r="X144" s="19"/>
    </row>
    <row r="145" spans="19:24" x14ac:dyDescent="0.3">
      <c r="S145" s="19"/>
      <c r="W145" s="19"/>
      <c r="X145" s="19"/>
    </row>
    <row r="146" spans="19:24" x14ac:dyDescent="0.3">
      <c r="S146" s="19"/>
      <c r="W146" s="19"/>
      <c r="X146" s="19"/>
    </row>
    <row r="147" spans="19:24" x14ac:dyDescent="0.3">
      <c r="S147" s="19"/>
      <c r="W147" s="19"/>
      <c r="X147" s="19"/>
    </row>
    <row r="148" spans="19:24" x14ac:dyDescent="0.3">
      <c r="S148" s="19"/>
      <c r="W148" s="19"/>
      <c r="X148" s="19"/>
    </row>
    <row r="149" spans="19:24" x14ac:dyDescent="0.3">
      <c r="S149" s="19"/>
      <c r="W149" s="19"/>
      <c r="X149" s="19"/>
    </row>
    <row r="150" spans="19:24" x14ac:dyDescent="0.3">
      <c r="S150" s="19"/>
      <c r="W150" s="19"/>
      <c r="X150" s="19"/>
    </row>
    <row r="151" spans="19:24" x14ac:dyDescent="0.3">
      <c r="S151" s="19"/>
      <c r="W151" s="19"/>
      <c r="X151" s="19"/>
    </row>
    <row r="152" spans="19:24" x14ac:dyDescent="0.3">
      <c r="S152" s="19"/>
      <c r="W152" s="19"/>
      <c r="X152" s="19"/>
    </row>
    <row r="153" spans="19:24" x14ac:dyDescent="0.3">
      <c r="S153" s="19"/>
      <c r="W153" s="19"/>
      <c r="X153" s="19"/>
    </row>
    <row r="154" spans="19:24" x14ac:dyDescent="0.3">
      <c r="S154" s="19"/>
      <c r="W154" s="19"/>
      <c r="X154" s="19"/>
    </row>
    <row r="155" spans="19:24" x14ac:dyDescent="0.3">
      <c r="S155" s="19"/>
      <c r="W155" s="19"/>
      <c r="X155" s="19"/>
    </row>
    <row r="156" spans="19:24" x14ac:dyDescent="0.3">
      <c r="S156" s="19"/>
      <c r="W156" s="19"/>
      <c r="X156" s="19"/>
    </row>
    <row r="157" spans="19:24" x14ac:dyDescent="0.3">
      <c r="S157" s="19"/>
      <c r="W157" s="19"/>
      <c r="X157" s="19"/>
    </row>
    <row r="158" spans="19:24" x14ac:dyDescent="0.3">
      <c r="S158" s="19"/>
      <c r="W158" s="19"/>
      <c r="X158" s="19"/>
    </row>
    <row r="159" spans="19:24" x14ac:dyDescent="0.3">
      <c r="S159" s="19"/>
      <c r="W159" s="19"/>
      <c r="X159" s="19"/>
    </row>
    <row r="160" spans="19:24" x14ac:dyDescent="0.3">
      <c r="S160" s="19"/>
      <c r="W160" s="19"/>
      <c r="X160" s="19"/>
    </row>
    <row r="161" spans="19:24" x14ac:dyDescent="0.3">
      <c r="S161" s="19"/>
      <c r="W161" s="19"/>
      <c r="X161" s="19"/>
    </row>
    <row r="162" spans="19:24" x14ac:dyDescent="0.3">
      <c r="S162" s="19"/>
      <c r="W162" s="19"/>
      <c r="X162" s="19"/>
    </row>
    <row r="163" spans="19:24" x14ac:dyDescent="0.3">
      <c r="S163" s="19"/>
      <c r="W163" s="19"/>
      <c r="X163" s="19"/>
    </row>
    <row r="164" spans="19:24" x14ac:dyDescent="0.3">
      <c r="S164" s="19"/>
      <c r="W164" s="19"/>
      <c r="X164" s="19"/>
    </row>
    <row r="165" spans="19:24" x14ac:dyDescent="0.3">
      <c r="S165" s="19"/>
      <c r="W165" s="19"/>
      <c r="X165" s="19"/>
    </row>
    <row r="166" spans="19:24" x14ac:dyDescent="0.3">
      <c r="S166" s="19"/>
      <c r="W166" s="19"/>
      <c r="X166" s="19"/>
    </row>
    <row r="167" spans="19:24" x14ac:dyDescent="0.3">
      <c r="S167" s="19"/>
      <c r="W167" s="19"/>
      <c r="X167" s="19"/>
    </row>
    <row r="168" spans="19:24" x14ac:dyDescent="0.3">
      <c r="S168" s="19"/>
      <c r="W168" s="19"/>
      <c r="X168" s="19"/>
    </row>
    <row r="169" spans="19:24" x14ac:dyDescent="0.3">
      <c r="S169" s="19"/>
      <c r="W169" s="19"/>
      <c r="X169" s="19"/>
    </row>
    <row r="170" spans="19:24" x14ac:dyDescent="0.3">
      <c r="S170" s="19"/>
      <c r="W170" s="19"/>
      <c r="X170" s="19"/>
    </row>
    <row r="171" spans="19:24" x14ac:dyDescent="0.3">
      <c r="S171" s="19"/>
      <c r="W171" s="19"/>
      <c r="X171" s="19"/>
    </row>
    <row r="172" spans="19:24" x14ac:dyDescent="0.3">
      <c r="S172" s="19"/>
      <c r="W172" s="19"/>
      <c r="X172" s="19"/>
    </row>
    <row r="173" spans="19:24" x14ac:dyDescent="0.3">
      <c r="S173" s="19"/>
      <c r="W173" s="19"/>
      <c r="X173" s="19"/>
    </row>
    <row r="174" spans="19:24" x14ac:dyDescent="0.3">
      <c r="S174" s="19"/>
      <c r="W174" s="19"/>
      <c r="X174" s="19"/>
    </row>
    <row r="175" spans="19:24" x14ac:dyDescent="0.3">
      <c r="S175" s="19"/>
      <c r="W175" s="19"/>
      <c r="X175" s="19"/>
    </row>
    <row r="176" spans="19:24" x14ac:dyDescent="0.3">
      <c r="S176" s="19"/>
      <c r="W176" s="19"/>
      <c r="X176" s="19"/>
    </row>
    <row r="177" spans="19:24" x14ac:dyDescent="0.3">
      <c r="S177" s="19"/>
      <c r="W177" s="19"/>
      <c r="X177" s="19"/>
    </row>
    <row r="178" spans="19:24" x14ac:dyDescent="0.3">
      <c r="S178" s="19"/>
      <c r="W178" s="19"/>
      <c r="X178" s="19"/>
    </row>
    <row r="179" spans="19:24" x14ac:dyDescent="0.3">
      <c r="S179" s="19"/>
      <c r="W179" s="19"/>
      <c r="X179" s="19"/>
    </row>
    <row r="180" spans="19:24" x14ac:dyDescent="0.3">
      <c r="S180" s="19"/>
      <c r="W180" s="19"/>
      <c r="X180" s="19"/>
    </row>
    <row r="181" spans="19:24" x14ac:dyDescent="0.3">
      <c r="S181" s="19"/>
      <c r="W181" s="19"/>
      <c r="X181" s="19"/>
    </row>
    <row r="182" spans="19:24" x14ac:dyDescent="0.3">
      <c r="S182" s="19"/>
      <c r="W182" s="19"/>
      <c r="X182" s="19"/>
    </row>
    <row r="183" spans="19:24" x14ac:dyDescent="0.3">
      <c r="S183" s="19"/>
      <c r="W183" s="19"/>
      <c r="X183" s="19"/>
    </row>
    <row r="184" spans="19:24" x14ac:dyDescent="0.3">
      <c r="S184" s="19"/>
      <c r="W184" s="19"/>
      <c r="X184" s="19"/>
    </row>
    <row r="185" spans="19:24" x14ac:dyDescent="0.3">
      <c r="S185" s="19"/>
      <c r="W185" s="19"/>
      <c r="X185" s="19"/>
    </row>
    <row r="186" spans="19:24" x14ac:dyDescent="0.3">
      <c r="S186" s="19"/>
      <c r="W186" s="19"/>
      <c r="X186" s="19"/>
    </row>
    <row r="187" spans="19:24" x14ac:dyDescent="0.3">
      <c r="S187" s="19"/>
      <c r="W187" s="19"/>
      <c r="X187" s="19"/>
    </row>
    <row r="188" spans="19:24" x14ac:dyDescent="0.3">
      <c r="S188" s="19"/>
      <c r="W188" s="19"/>
      <c r="X188" s="19"/>
    </row>
    <row r="189" spans="19:24" x14ac:dyDescent="0.3">
      <c r="S189" s="19"/>
      <c r="W189" s="19"/>
      <c r="X189" s="19"/>
    </row>
    <row r="190" spans="19:24" x14ac:dyDescent="0.3">
      <c r="S190" s="19"/>
      <c r="W190" s="19"/>
      <c r="X190" s="19"/>
    </row>
    <row r="191" spans="19:24" x14ac:dyDescent="0.3">
      <c r="S191" s="19"/>
      <c r="W191" s="19"/>
      <c r="X191" s="19"/>
    </row>
    <row r="192" spans="19:24" x14ac:dyDescent="0.3">
      <c r="S192" s="19"/>
      <c r="W192" s="19"/>
      <c r="X192" s="19"/>
    </row>
    <row r="193" spans="19:24" x14ac:dyDescent="0.3">
      <c r="S193" s="19"/>
      <c r="W193" s="19"/>
      <c r="X193" s="19"/>
    </row>
    <row r="194" spans="19:24" x14ac:dyDescent="0.3">
      <c r="S194" s="19"/>
      <c r="W194" s="19"/>
      <c r="X194" s="19"/>
    </row>
    <row r="195" spans="19:24" x14ac:dyDescent="0.3">
      <c r="S195" s="19"/>
      <c r="W195" s="19"/>
      <c r="X195" s="19"/>
    </row>
    <row r="196" spans="19:24" x14ac:dyDescent="0.3">
      <c r="S196" s="19"/>
      <c r="W196" s="19"/>
      <c r="X196" s="19"/>
    </row>
    <row r="197" spans="19:24" x14ac:dyDescent="0.3">
      <c r="S197" s="19"/>
      <c r="W197" s="19"/>
      <c r="X197" s="19"/>
    </row>
    <row r="198" spans="19:24" x14ac:dyDescent="0.3">
      <c r="S198" s="19"/>
      <c r="W198" s="19"/>
      <c r="X198" s="19"/>
    </row>
    <row r="199" spans="19:24" x14ac:dyDescent="0.3">
      <c r="S199" s="19"/>
      <c r="W199" s="19"/>
      <c r="X199" s="19"/>
    </row>
    <row r="200" spans="19:24" x14ac:dyDescent="0.3">
      <c r="S200" s="19"/>
      <c r="W200" s="19"/>
      <c r="X200" s="19"/>
    </row>
    <row r="201" spans="19:24" x14ac:dyDescent="0.3">
      <c r="S201" s="19"/>
      <c r="W201" s="19"/>
      <c r="X201" s="19"/>
    </row>
    <row r="202" spans="19:24" x14ac:dyDescent="0.3">
      <c r="S202" s="19"/>
      <c r="W202" s="19"/>
      <c r="X202" s="19"/>
    </row>
    <row r="203" spans="19:24" x14ac:dyDescent="0.3">
      <c r="S203" s="19"/>
      <c r="W203" s="19"/>
      <c r="X203" s="19"/>
    </row>
    <row r="204" spans="19:24" x14ac:dyDescent="0.3">
      <c r="S204" s="19"/>
      <c r="W204" s="19"/>
      <c r="X204" s="19"/>
    </row>
    <row r="205" spans="19:24" x14ac:dyDescent="0.3">
      <c r="S205" s="19"/>
      <c r="W205" s="19"/>
      <c r="X205" s="19"/>
    </row>
    <row r="206" spans="19:24" x14ac:dyDescent="0.3">
      <c r="S206" s="19"/>
      <c r="W206" s="19"/>
      <c r="X206" s="19"/>
    </row>
    <row r="207" spans="19:24" x14ac:dyDescent="0.3">
      <c r="S207" s="19"/>
      <c r="W207" s="19"/>
      <c r="X207" s="19"/>
    </row>
    <row r="208" spans="19:24" x14ac:dyDescent="0.3">
      <c r="S208" s="19"/>
      <c r="W208" s="19"/>
      <c r="X208" s="19"/>
    </row>
    <row r="209" spans="19:24" x14ac:dyDescent="0.3">
      <c r="S209" s="19"/>
      <c r="W209" s="19"/>
      <c r="X209" s="19"/>
    </row>
    <row r="210" spans="19:24" x14ac:dyDescent="0.3">
      <c r="S210" s="19"/>
      <c r="W210" s="19"/>
      <c r="X210" s="19"/>
    </row>
    <row r="211" spans="19:24" x14ac:dyDescent="0.3">
      <c r="S211" s="19"/>
      <c r="W211" s="19"/>
      <c r="X211" s="19"/>
    </row>
    <row r="212" spans="19:24" x14ac:dyDescent="0.3">
      <c r="S212" s="19"/>
      <c r="W212" s="19"/>
      <c r="X212" s="19"/>
    </row>
    <row r="213" spans="19:24" x14ac:dyDescent="0.3">
      <c r="S213" s="19"/>
      <c r="W213" s="19"/>
      <c r="X213" s="19"/>
    </row>
    <row r="214" spans="19:24" x14ac:dyDescent="0.3">
      <c r="S214" s="19"/>
      <c r="W214" s="19"/>
      <c r="X214" s="19"/>
    </row>
    <row r="215" spans="19:24" x14ac:dyDescent="0.3">
      <c r="S215" s="19"/>
      <c r="W215" s="19"/>
      <c r="X215" s="19"/>
    </row>
    <row r="216" spans="19:24" x14ac:dyDescent="0.3">
      <c r="S216" s="19"/>
      <c r="W216" s="19"/>
      <c r="X216" s="19"/>
    </row>
    <row r="217" spans="19:24" x14ac:dyDescent="0.3">
      <c r="S217" s="19"/>
      <c r="W217" s="19"/>
      <c r="X217" s="19"/>
    </row>
    <row r="218" spans="19:24" x14ac:dyDescent="0.3">
      <c r="S218" s="19"/>
      <c r="W218" s="19"/>
      <c r="X218" s="19"/>
    </row>
    <row r="219" spans="19:24" x14ac:dyDescent="0.3">
      <c r="S219" s="19"/>
      <c r="W219" s="19"/>
      <c r="X219" s="19"/>
    </row>
    <row r="220" spans="19:24" x14ac:dyDescent="0.3">
      <c r="S220" s="19"/>
      <c r="W220" s="19"/>
      <c r="X220" s="19"/>
    </row>
    <row r="221" spans="19:24" x14ac:dyDescent="0.3">
      <c r="S221" s="19"/>
      <c r="W221" s="19"/>
      <c r="X221" s="19"/>
    </row>
    <row r="222" spans="19:24" x14ac:dyDescent="0.3">
      <c r="S222" s="19"/>
      <c r="W222" s="19"/>
      <c r="X222" s="19"/>
    </row>
    <row r="223" spans="19:24" x14ac:dyDescent="0.3">
      <c r="S223" s="19"/>
      <c r="W223" s="19"/>
      <c r="X223" s="19"/>
    </row>
    <row r="224" spans="19:24" x14ac:dyDescent="0.3">
      <c r="S224" s="19"/>
      <c r="W224" s="19"/>
      <c r="X224" s="19"/>
    </row>
    <row r="225" spans="19:24" x14ac:dyDescent="0.3">
      <c r="S225" s="19"/>
      <c r="W225" s="19"/>
      <c r="X225" s="19"/>
    </row>
    <row r="226" spans="19:24" x14ac:dyDescent="0.3">
      <c r="S226" s="19"/>
      <c r="W226" s="19"/>
      <c r="X226" s="19"/>
    </row>
    <row r="227" spans="19:24" x14ac:dyDescent="0.3">
      <c r="S227" s="19"/>
      <c r="W227" s="19"/>
      <c r="X227" s="19"/>
    </row>
    <row r="228" spans="19:24" x14ac:dyDescent="0.3">
      <c r="S228" s="19"/>
      <c r="W228" s="19"/>
      <c r="X228" s="19"/>
    </row>
    <row r="229" spans="19:24" x14ac:dyDescent="0.3">
      <c r="S229" s="19"/>
      <c r="W229" s="19"/>
      <c r="X229" s="19"/>
    </row>
    <row r="230" spans="19:24" x14ac:dyDescent="0.3">
      <c r="S230" s="19"/>
      <c r="W230" s="19"/>
      <c r="X230" s="19"/>
    </row>
    <row r="231" spans="19:24" x14ac:dyDescent="0.3">
      <c r="S231" s="19"/>
      <c r="W231" s="19"/>
      <c r="X231" s="19"/>
    </row>
    <row r="232" spans="19:24" x14ac:dyDescent="0.3">
      <c r="S232" s="19"/>
      <c r="W232" s="19"/>
      <c r="X232" s="19"/>
    </row>
    <row r="233" spans="19:24" x14ac:dyDescent="0.3">
      <c r="S233" s="19"/>
      <c r="W233" s="19"/>
      <c r="X233" s="19"/>
    </row>
    <row r="234" spans="19:24" x14ac:dyDescent="0.3">
      <c r="S234" s="19"/>
      <c r="W234" s="19"/>
      <c r="X234" s="19"/>
    </row>
    <row r="235" spans="19:24" x14ac:dyDescent="0.3">
      <c r="S235" s="19"/>
      <c r="W235" s="19"/>
      <c r="X235" s="19"/>
    </row>
    <row r="236" spans="19:24" x14ac:dyDescent="0.3">
      <c r="S236" s="19"/>
      <c r="W236" s="19"/>
      <c r="X236" s="19"/>
    </row>
    <row r="237" spans="19:24" x14ac:dyDescent="0.3">
      <c r="S237" s="19"/>
      <c r="W237" s="19"/>
      <c r="X237" s="19"/>
    </row>
    <row r="238" spans="19:24" x14ac:dyDescent="0.3">
      <c r="S238" s="19"/>
      <c r="W238" s="19"/>
      <c r="X238" s="19"/>
    </row>
    <row r="239" spans="19:24" x14ac:dyDescent="0.3">
      <c r="S239" s="19"/>
      <c r="W239" s="19"/>
      <c r="X239" s="19"/>
    </row>
    <row r="240" spans="19:24" x14ac:dyDescent="0.3">
      <c r="S240" s="19"/>
      <c r="W240" s="19"/>
      <c r="X240" s="19"/>
    </row>
    <row r="241" spans="19:24" x14ac:dyDescent="0.3">
      <c r="S241" s="19"/>
      <c r="W241" s="19"/>
      <c r="X241" s="19"/>
    </row>
    <row r="242" spans="19:24" x14ac:dyDescent="0.3">
      <c r="S242" s="19"/>
      <c r="W242" s="19"/>
      <c r="X242" s="19"/>
    </row>
    <row r="243" spans="19:24" x14ac:dyDescent="0.3">
      <c r="S243" s="19"/>
      <c r="W243" s="19"/>
      <c r="X243" s="19"/>
    </row>
    <row r="244" spans="19:24" x14ac:dyDescent="0.3">
      <c r="S244" s="19"/>
      <c r="W244" s="19"/>
      <c r="X244" s="19"/>
    </row>
    <row r="245" spans="19:24" x14ac:dyDescent="0.3">
      <c r="S245" s="19"/>
      <c r="W245" s="19"/>
      <c r="X245" s="19"/>
    </row>
    <row r="246" spans="19:24" x14ac:dyDescent="0.3">
      <c r="S246" s="19"/>
      <c r="W246" s="19"/>
      <c r="X246" s="19"/>
    </row>
    <row r="247" spans="19:24" x14ac:dyDescent="0.3">
      <c r="S247" s="19"/>
      <c r="W247" s="19"/>
      <c r="X247" s="19"/>
    </row>
    <row r="248" spans="19:24" x14ac:dyDescent="0.3">
      <c r="S248" s="19"/>
      <c r="W248" s="19"/>
      <c r="X248" s="19"/>
    </row>
    <row r="249" spans="19:24" x14ac:dyDescent="0.3">
      <c r="S249" s="19"/>
      <c r="W249" s="19"/>
      <c r="X249" s="19"/>
    </row>
    <row r="250" spans="19:24" x14ac:dyDescent="0.3">
      <c r="S250" s="19"/>
      <c r="W250" s="19"/>
      <c r="X250" s="19"/>
    </row>
    <row r="251" spans="19:24" x14ac:dyDescent="0.3">
      <c r="S251" s="19"/>
      <c r="W251" s="19"/>
      <c r="X251" s="19"/>
    </row>
    <row r="252" spans="19:24" x14ac:dyDescent="0.3">
      <c r="S252" s="19"/>
      <c r="W252" s="19"/>
      <c r="X252" s="19"/>
    </row>
    <row r="253" spans="19:24" x14ac:dyDescent="0.3">
      <c r="S253" s="19"/>
      <c r="W253" s="19"/>
      <c r="X253" s="19"/>
    </row>
    <row r="254" spans="19:24" x14ac:dyDescent="0.3">
      <c r="S254" s="19"/>
      <c r="W254" s="19"/>
      <c r="X254" s="19"/>
    </row>
    <row r="255" spans="19:24" x14ac:dyDescent="0.3">
      <c r="S255" s="19"/>
      <c r="W255" s="19"/>
      <c r="X255" s="19"/>
    </row>
    <row r="256" spans="19:24" x14ac:dyDescent="0.3">
      <c r="S256" s="19"/>
      <c r="W256" s="19"/>
      <c r="X256" s="19"/>
    </row>
    <row r="257" spans="19:24" x14ac:dyDescent="0.3">
      <c r="S257" s="19"/>
      <c r="W257" s="19"/>
      <c r="X257" s="19"/>
    </row>
    <row r="258" spans="19:24" x14ac:dyDescent="0.3">
      <c r="S258" s="19"/>
      <c r="W258" s="19"/>
      <c r="X258" s="19"/>
    </row>
    <row r="259" spans="19:24" x14ac:dyDescent="0.3">
      <c r="S259" s="19"/>
      <c r="W259" s="19"/>
      <c r="X259" s="19"/>
    </row>
    <row r="260" spans="19:24" x14ac:dyDescent="0.3">
      <c r="S260" s="19"/>
      <c r="W260" s="19"/>
      <c r="X260" s="19"/>
    </row>
    <row r="261" spans="19:24" x14ac:dyDescent="0.3">
      <c r="S261" s="19"/>
      <c r="W261" s="19"/>
      <c r="X261" s="19"/>
    </row>
    <row r="262" spans="19:24" x14ac:dyDescent="0.3">
      <c r="S262" s="19"/>
      <c r="W262" s="19"/>
      <c r="X262" s="19"/>
    </row>
    <row r="263" spans="19:24" x14ac:dyDescent="0.3">
      <c r="S263" s="19"/>
      <c r="W263" s="19"/>
      <c r="X263" s="19"/>
    </row>
    <row r="264" spans="19:24" x14ac:dyDescent="0.3">
      <c r="S264" s="19"/>
      <c r="W264" s="19"/>
      <c r="X264" s="19"/>
    </row>
    <row r="265" spans="19:24" x14ac:dyDescent="0.3">
      <c r="S265" s="19"/>
      <c r="W265" s="19"/>
      <c r="X265" s="19"/>
    </row>
    <row r="266" spans="19:24" x14ac:dyDescent="0.3">
      <c r="S266" s="19"/>
      <c r="W266" s="19"/>
      <c r="X266" s="19"/>
    </row>
    <row r="267" spans="19:24" x14ac:dyDescent="0.3">
      <c r="S267" s="19"/>
      <c r="W267" s="19"/>
      <c r="X267" s="19"/>
    </row>
    <row r="268" spans="19:24" x14ac:dyDescent="0.3">
      <c r="S268" s="19"/>
      <c r="W268" s="19"/>
      <c r="X268" s="19"/>
    </row>
    <row r="269" spans="19:24" x14ac:dyDescent="0.3">
      <c r="S269" s="19"/>
      <c r="W269" s="19"/>
      <c r="X269" s="19"/>
    </row>
    <row r="270" spans="19:24" x14ac:dyDescent="0.3">
      <c r="S270" s="19"/>
      <c r="W270" s="19"/>
      <c r="X270" s="19"/>
    </row>
    <row r="271" spans="19:24" x14ac:dyDescent="0.3">
      <c r="S271" s="19"/>
      <c r="W271" s="19"/>
      <c r="X271" s="19"/>
    </row>
    <row r="272" spans="19:24" x14ac:dyDescent="0.3">
      <c r="S272" s="19"/>
      <c r="W272" s="19"/>
      <c r="X272" s="19"/>
    </row>
    <row r="273" spans="19:24" x14ac:dyDescent="0.3">
      <c r="S273" s="19"/>
      <c r="W273" s="19"/>
      <c r="X273" s="19"/>
    </row>
    <row r="274" spans="19:24" x14ac:dyDescent="0.3">
      <c r="S274" s="19"/>
      <c r="W274" s="19"/>
      <c r="X274" s="19"/>
    </row>
    <row r="275" spans="19:24" x14ac:dyDescent="0.3">
      <c r="S275" s="19"/>
      <c r="W275" s="19"/>
      <c r="X275" s="19"/>
    </row>
    <row r="276" spans="19:24" x14ac:dyDescent="0.3">
      <c r="S276" s="19"/>
      <c r="W276" s="19"/>
      <c r="X276" s="19"/>
    </row>
    <row r="277" spans="19:24" x14ac:dyDescent="0.3">
      <c r="S277" s="19"/>
      <c r="W277" s="19"/>
      <c r="X277" s="19"/>
    </row>
    <row r="278" spans="19:24" x14ac:dyDescent="0.3">
      <c r="S278" s="19"/>
      <c r="W278" s="19"/>
      <c r="X278" s="19"/>
    </row>
    <row r="279" spans="19:24" x14ac:dyDescent="0.3">
      <c r="S279" s="19"/>
      <c r="W279" s="19"/>
      <c r="X279" s="19"/>
    </row>
    <row r="280" spans="19:24" x14ac:dyDescent="0.3">
      <c r="S280" s="19"/>
      <c r="W280" s="19"/>
      <c r="X280" s="19"/>
    </row>
    <row r="281" spans="19:24" x14ac:dyDescent="0.3">
      <c r="S281" s="19"/>
      <c r="W281" s="19"/>
      <c r="X281" s="19"/>
    </row>
    <row r="282" spans="19:24" x14ac:dyDescent="0.3">
      <c r="S282" s="19"/>
      <c r="W282" s="19"/>
      <c r="X282" s="19"/>
    </row>
    <row r="283" spans="19:24" x14ac:dyDescent="0.3">
      <c r="S283" s="19"/>
      <c r="W283" s="19"/>
      <c r="X283" s="19"/>
    </row>
    <row r="284" spans="19:24" x14ac:dyDescent="0.3">
      <c r="S284" s="19"/>
      <c r="W284" s="19"/>
      <c r="X284" s="19"/>
    </row>
    <row r="285" spans="19:24" x14ac:dyDescent="0.3">
      <c r="S285" s="19"/>
      <c r="W285" s="19"/>
      <c r="X285" s="19"/>
    </row>
    <row r="286" spans="19:24" x14ac:dyDescent="0.3">
      <c r="S286" s="19"/>
      <c r="W286" s="19"/>
      <c r="X286" s="19"/>
    </row>
    <row r="287" spans="19:24" x14ac:dyDescent="0.3">
      <c r="S287" s="19"/>
      <c r="W287" s="19"/>
      <c r="X287" s="19"/>
    </row>
    <row r="288" spans="19:24" x14ac:dyDescent="0.3">
      <c r="S288" s="19"/>
      <c r="W288" s="19"/>
      <c r="X288" s="19"/>
    </row>
    <row r="289" spans="19:24" x14ac:dyDescent="0.3">
      <c r="S289" s="19"/>
      <c r="W289" s="19"/>
      <c r="X289" s="19"/>
    </row>
    <row r="290" spans="19:24" x14ac:dyDescent="0.3">
      <c r="S290" s="19"/>
      <c r="W290" s="19"/>
      <c r="X290" s="19"/>
    </row>
    <row r="291" spans="19:24" x14ac:dyDescent="0.3">
      <c r="S291" s="19"/>
      <c r="W291" s="19"/>
      <c r="X291" s="19"/>
    </row>
    <row r="292" spans="19:24" x14ac:dyDescent="0.3">
      <c r="S292" s="19"/>
      <c r="W292" s="19"/>
      <c r="X292" s="19"/>
    </row>
    <row r="293" spans="19:24" x14ac:dyDescent="0.3">
      <c r="S293" s="19"/>
      <c r="W293" s="19"/>
      <c r="X293" s="19"/>
    </row>
    <row r="294" spans="19:24" x14ac:dyDescent="0.3">
      <c r="S294" s="19"/>
      <c r="W294" s="19"/>
      <c r="X294" s="19"/>
    </row>
    <row r="295" spans="19:24" x14ac:dyDescent="0.3">
      <c r="S295" s="19"/>
      <c r="W295" s="19"/>
      <c r="X295" s="19"/>
    </row>
    <row r="296" spans="19:24" x14ac:dyDescent="0.3">
      <c r="S296" s="19"/>
      <c r="W296" s="19"/>
      <c r="X296" s="19"/>
    </row>
    <row r="297" spans="19:24" x14ac:dyDescent="0.3">
      <c r="S297" s="19"/>
      <c r="W297" s="19"/>
      <c r="X297" s="19"/>
    </row>
    <row r="298" spans="19:24" x14ac:dyDescent="0.3">
      <c r="S298" s="19"/>
      <c r="W298" s="19"/>
      <c r="X298" s="19"/>
    </row>
    <row r="299" spans="19:24" x14ac:dyDescent="0.3">
      <c r="S299" s="19"/>
      <c r="W299" s="19"/>
      <c r="X299" s="19"/>
    </row>
    <row r="300" spans="19:24" x14ac:dyDescent="0.3">
      <c r="S300" s="19"/>
      <c r="W300" s="19"/>
      <c r="X300" s="19"/>
    </row>
    <row r="301" spans="19:24" x14ac:dyDescent="0.3">
      <c r="S301" s="19"/>
      <c r="W301" s="19"/>
      <c r="X301" s="19"/>
    </row>
    <row r="302" spans="19:24" x14ac:dyDescent="0.3">
      <c r="S302" s="19"/>
      <c r="W302" s="19"/>
      <c r="X302" s="19"/>
    </row>
    <row r="303" spans="19:24" x14ac:dyDescent="0.3">
      <c r="S303" s="19"/>
      <c r="W303" s="19"/>
      <c r="X303" s="19"/>
    </row>
    <row r="304" spans="19:24" x14ac:dyDescent="0.3">
      <c r="S304" s="19"/>
      <c r="W304" s="19"/>
      <c r="X304" s="19"/>
    </row>
    <row r="305" spans="19:24" x14ac:dyDescent="0.3">
      <c r="S305" s="19"/>
      <c r="W305" s="19"/>
      <c r="X305" s="19"/>
    </row>
    <row r="306" spans="19:24" x14ac:dyDescent="0.3">
      <c r="S306" s="19"/>
      <c r="W306" s="19"/>
      <c r="X306" s="19"/>
    </row>
    <row r="307" spans="19:24" x14ac:dyDescent="0.3">
      <c r="S307" s="19"/>
      <c r="W307" s="19"/>
      <c r="X307" s="19"/>
    </row>
    <row r="308" spans="19:24" x14ac:dyDescent="0.3">
      <c r="S308" s="19"/>
      <c r="W308" s="19"/>
      <c r="X308" s="19"/>
    </row>
    <row r="309" spans="19:24" x14ac:dyDescent="0.3">
      <c r="S309" s="19"/>
      <c r="W309" s="19"/>
      <c r="X309" s="19"/>
    </row>
    <row r="310" spans="19:24" x14ac:dyDescent="0.3">
      <c r="S310" s="19"/>
      <c r="W310" s="19"/>
      <c r="X310" s="19"/>
    </row>
    <row r="311" spans="19:24" x14ac:dyDescent="0.3">
      <c r="S311" s="19"/>
      <c r="W311" s="19"/>
      <c r="X311" s="19"/>
    </row>
    <row r="312" spans="19:24" x14ac:dyDescent="0.3">
      <c r="S312" s="19"/>
      <c r="W312" s="19"/>
      <c r="X312" s="19"/>
    </row>
    <row r="313" spans="19:24" x14ac:dyDescent="0.3">
      <c r="S313" s="19"/>
      <c r="W313" s="19"/>
      <c r="X313" s="19"/>
    </row>
    <row r="314" spans="19:24" x14ac:dyDescent="0.3">
      <c r="S314" s="19"/>
      <c r="W314" s="19"/>
      <c r="X314" s="19"/>
    </row>
    <row r="315" spans="19:24" x14ac:dyDescent="0.3">
      <c r="S315" s="19"/>
      <c r="W315" s="19"/>
      <c r="X315" s="19"/>
    </row>
    <row r="316" spans="19:24" x14ac:dyDescent="0.3">
      <c r="S316" s="19"/>
      <c r="W316" s="19"/>
      <c r="X316" s="19"/>
    </row>
    <row r="317" spans="19:24" x14ac:dyDescent="0.3">
      <c r="S317" s="19"/>
      <c r="W317" s="19"/>
      <c r="X317" s="19"/>
    </row>
    <row r="318" spans="19:24" x14ac:dyDescent="0.3">
      <c r="S318" s="19"/>
      <c r="W318" s="19"/>
      <c r="X318" s="19"/>
    </row>
    <row r="319" spans="19:24" x14ac:dyDescent="0.3">
      <c r="S319" s="19"/>
      <c r="W319" s="19"/>
      <c r="X319" s="19"/>
    </row>
    <row r="320" spans="19:24" x14ac:dyDescent="0.3">
      <c r="S320" s="19"/>
      <c r="W320" s="19"/>
      <c r="X320" s="19"/>
    </row>
    <row r="321" spans="19:24" x14ac:dyDescent="0.3">
      <c r="S321" s="19"/>
      <c r="W321" s="19"/>
      <c r="X321" s="19"/>
    </row>
    <row r="322" spans="19:24" x14ac:dyDescent="0.3">
      <c r="S322" s="19"/>
      <c r="W322" s="19"/>
      <c r="X322" s="19"/>
    </row>
    <row r="323" spans="19:24" x14ac:dyDescent="0.3">
      <c r="S323" s="19"/>
      <c r="W323" s="19"/>
      <c r="X323" s="19"/>
    </row>
    <row r="324" spans="19:24" x14ac:dyDescent="0.3">
      <c r="S324" s="19"/>
      <c r="W324" s="19"/>
      <c r="X324" s="19"/>
    </row>
    <row r="325" spans="19:24" x14ac:dyDescent="0.3">
      <c r="S325" s="19"/>
      <c r="W325" s="19"/>
      <c r="X325" s="19"/>
    </row>
    <row r="326" spans="19:24" x14ac:dyDescent="0.3">
      <c r="S326" s="19"/>
      <c r="W326" s="19"/>
      <c r="X326" s="19"/>
    </row>
    <row r="327" spans="19:24" x14ac:dyDescent="0.3">
      <c r="S327" s="19"/>
      <c r="W327" s="19"/>
      <c r="X327" s="19"/>
    </row>
    <row r="328" spans="19:24" x14ac:dyDescent="0.3">
      <c r="S328" s="19"/>
      <c r="W328" s="19"/>
      <c r="X328" s="19"/>
    </row>
    <row r="329" spans="19:24" x14ac:dyDescent="0.3">
      <c r="S329" s="19"/>
      <c r="W329" s="19"/>
      <c r="X329" s="19"/>
    </row>
    <row r="330" spans="19:24" x14ac:dyDescent="0.3">
      <c r="S330" s="19"/>
      <c r="W330" s="19"/>
      <c r="X330" s="19"/>
    </row>
    <row r="331" spans="19:24" x14ac:dyDescent="0.3">
      <c r="S331" s="19"/>
      <c r="W331" s="19"/>
      <c r="X331" s="19"/>
    </row>
    <row r="332" spans="19:24" x14ac:dyDescent="0.3">
      <c r="S332" s="19"/>
      <c r="W332" s="19"/>
      <c r="X332" s="19"/>
    </row>
    <row r="333" spans="19:24" x14ac:dyDescent="0.3">
      <c r="S333" s="19"/>
      <c r="W333" s="19"/>
      <c r="X333" s="19"/>
    </row>
    <row r="334" spans="19:24" x14ac:dyDescent="0.3">
      <c r="S334" s="19"/>
      <c r="W334" s="19"/>
      <c r="X334" s="19"/>
    </row>
    <row r="335" spans="19:24" x14ac:dyDescent="0.3">
      <c r="S335" s="19"/>
      <c r="W335" s="19"/>
      <c r="X335" s="19"/>
    </row>
    <row r="336" spans="19:24" x14ac:dyDescent="0.3">
      <c r="S336" s="19"/>
      <c r="W336" s="19"/>
      <c r="X336" s="19"/>
    </row>
    <row r="337" spans="19:24" x14ac:dyDescent="0.3">
      <c r="S337" s="19"/>
      <c r="W337" s="19"/>
      <c r="X337" s="19"/>
    </row>
    <row r="338" spans="19:24" x14ac:dyDescent="0.3">
      <c r="S338" s="19"/>
      <c r="W338" s="19"/>
      <c r="X338" s="19"/>
    </row>
    <row r="339" spans="19:24" x14ac:dyDescent="0.3">
      <c r="S339" s="19"/>
      <c r="W339" s="19"/>
      <c r="X339" s="19"/>
    </row>
    <row r="340" spans="19:24" x14ac:dyDescent="0.3">
      <c r="S340" s="19"/>
      <c r="W340" s="19"/>
      <c r="X340" s="19"/>
    </row>
    <row r="341" spans="19:24" x14ac:dyDescent="0.3">
      <c r="S341" s="19"/>
      <c r="W341" s="19"/>
      <c r="X341" s="19"/>
    </row>
    <row r="342" spans="19:24" x14ac:dyDescent="0.3">
      <c r="S342" s="19"/>
      <c r="W342" s="19"/>
      <c r="X342" s="19"/>
    </row>
    <row r="343" spans="19:24" x14ac:dyDescent="0.3">
      <c r="S343" s="19"/>
      <c r="W343" s="19"/>
      <c r="X343" s="19"/>
    </row>
    <row r="344" spans="19:24" x14ac:dyDescent="0.3">
      <c r="S344" s="19"/>
      <c r="W344" s="19"/>
      <c r="X344" s="19"/>
    </row>
    <row r="345" spans="19:24" x14ac:dyDescent="0.3">
      <c r="S345" s="19"/>
      <c r="W345" s="19"/>
      <c r="X345" s="19"/>
    </row>
    <row r="346" spans="19:24" x14ac:dyDescent="0.3">
      <c r="S346" s="19"/>
      <c r="W346" s="19"/>
      <c r="X346" s="19"/>
    </row>
    <row r="347" spans="19:24" x14ac:dyDescent="0.3">
      <c r="S347" s="19"/>
      <c r="W347" s="19"/>
      <c r="X347" s="19"/>
    </row>
    <row r="348" spans="19:24" x14ac:dyDescent="0.3">
      <c r="S348" s="19"/>
      <c r="W348" s="19"/>
      <c r="X348" s="19"/>
    </row>
    <row r="349" spans="19:24" x14ac:dyDescent="0.3">
      <c r="S349" s="19"/>
      <c r="W349" s="19"/>
      <c r="X349" s="19"/>
    </row>
    <row r="350" spans="19:24" x14ac:dyDescent="0.3">
      <c r="S350" s="19"/>
      <c r="W350" s="19"/>
      <c r="X350" s="19"/>
    </row>
    <row r="351" spans="19:24" x14ac:dyDescent="0.3">
      <c r="S351" s="19"/>
      <c r="W351" s="19"/>
      <c r="X351" s="19"/>
    </row>
    <row r="352" spans="19:24" x14ac:dyDescent="0.3">
      <c r="S352" s="19"/>
      <c r="W352" s="19"/>
      <c r="X352" s="19"/>
    </row>
    <row r="353" spans="19:24" x14ac:dyDescent="0.3">
      <c r="S353" s="19"/>
      <c r="W353" s="19"/>
      <c r="X353" s="19"/>
    </row>
    <row r="354" spans="19:24" x14ac:dyDescent="0.3">
      <c r="S354" s="19"/>
      <c r="W354" s="19"/>
      <c r="X354" s="19"/>
    </row>
    <row r="355" spans="19:24" x14ac:dyDescent="0.3">
      <c r="S355" s="19"/>
      <c r="W355" s="19"/>
      <c r="X355" s="19"/>
    </row>
    <row r="356" spans="19:24" x14ac:dyDescent="0.3">
      <c r="S356" s="19"/>
      <c r="W356" s="19"/>
      <c r="X356" s="19"/>
    </row>
    <row r="357" spans="19:24" x14ac:dyDescent="0.3">
      <c r="S357" s="19"/>
      <c r="W357" s="19"/>
      <c r="X357" s="19"/>
    </row>
    <row r="358" spans="19:24" x14ac:dyDescent="0.3">
      <c r="S358" s="19"/>
      <c r="W358" s="19"/>
      <c r="X358" s="19"/>
    </row>
    <row r="359" spans="19:24" x14ac:dyDescent="0.3">
      <c r="S359" s="19"/>
      <c r="W359" s="19"/>
      <c r="X359" s="19"/>
    </row>
    <row r="360" spans="19:24" x14ac:dyDescent="0.3">
      <c r="S360" s="19"/>
      <c r="W360" s="19"/>
      <c r="X360" s="19"/>
    </row>
    <row r="361" spans="19:24" x14ac:dyDescent="0.3">
      <c r="S361" s="19"/>
      <c r="W361" s="19"/>
      <c r="X361" s="19"/>
    </row>
    <row r="362" spans="19:24" x14ac:dyDescent="0.3">
      <c r="S362" s="19"/>
      <c r="W362" s="19"/>
      <c r="X362" s="19"/>
    </row>
    <row r="363" spans="19:24" x14ac:dyDescent="0.3">
      <c r="S363" s="19"/>
      <c r="W363" s="19"/>
      <c r="X363" s="19"/>
    </row>
    <row r="364" spans="19:24" x14ac:dyDescent="0.3">
      <c r="S364" s="19"/>
      <c r="W364" s="19"/>
      <c r="X364" s="19"/>
    </row>
    <row r="365" spans="19:24" x14ac:dyDescent="0.3">
      <c r="S365" s="19"/>
      <c r="W365" s="19"/>
      <c r="X365" s="19"/>
    </row>
    <row r="366" spans="19:24" x14ac:dyDescent="0.3">
      <c r="S366" s="19"/>
      <c r="W366" s="19"/>
      <c r="X366" s="19"/>
    </row>
    <row r="367" spans="19:24" x14ac:dyDescent="0.3">
      <c r="S367" s="19"/>
      <c r="W367" s="19"/>
      <c r="X367" s="19"/>
    </row>
    <row r="368" spans="19:24" x14ac:dyDescent="0.3">
      <c r="S368" s="19"/>
      <c r="W368" s="19"/>
      <c r="X368" s="19"/>
    </row>
    <row r="369" spans="19:24" x14ac:dyDescent="0.3">
      <c r="S369" s="19"/>
      <c r="W369" s="19"/>
      <c r="X369" s="19"/>
    </row>
    <row r="370" spans="19:24" x14ac:dyDescent="0.3">
      <c r="S370" s="19"/>
      <c r="W370" s="19"/>
      <c r="X370" s="19"/>
    </row>
    <row r="371" spans="19:24" x14ac:dyDescent="0.3">
      <c r="S371" s="19"/>
      <c r="W371" s="19"/>
      <c r="X371" s="19"/>
    </row>
    <row r="372" spans="19:24" x14ac:dyDescent="0.3">
      <c r="S372" s="19"/>
      <c r="W372" s="19"/>
      <c r="X372" s="19"/>
    </row>
    <row r="373" spans="19:24" x14ac:dyDescent="0.3">
      <c r="S373" s="19"/>
      <c r="W373" s="19"/>
      <c r="X373" s="19"/>
    </row>
    <row r="374" spans="19:24" x14ac:dyDescent="0.3">
      <c r="S374" s="19"/>
      <c r="W374" s="19"/>
      <c r="X374" s="19"/>
    </row>
    <row r="375" spans="19:24" x14ac:dyDescent="0.3">
      <c r="S375" s="19"/>
      <c r="W375" s="19"/>
      <c r="X375" s="19"/>
    </row>
    <row r="376" spans="19:24" x14ac:dyDescent="0.3">
      <c r="S376" s="19"/>
      <c r="W376" s="19"/>
      <c r="X376" s="19"/>
    </row>
    <row r="377" spans="19:24" x14ac:dyDescent="0.3">
      <c r="S377" s="19"/>
      <c r="W377" s="19"/>
      <c r="X377" s="19"/>
    </row>
    <row r="378" spans="19:24" x14ac:dyDescent="0.3">
      <c r="S378" s="19"/>
      <c r="W378" s="19"/>
      <c r="X378" s="19"/>
    </row>
    <row r="379" spans="19:24" x14ac:dyDescent="0.3">
      <c r="S379" s="19"/>
      <c r="W379" s="19"/>
      <c r="X379" s="19"/>
    </row>
    <row r="380" spans="19:24" x14ac:dyDescent="0.3">
      <c r="S380" s="19"/>
      <c r="W380" s="19"/>
      <c r="X380" s="19"/>
    </row>
    <row r="381" spans="19:24" x14ac:dyDescent="0.3">
      <c r="S381" s="19"/>
      <c r="W381" s="19"/>
      <c r="X381" s="19"/>
    </row>
    <row r="382" spans="19:24" x14ac:dyDescent="0.3">
      <c r="S382" s="19"/>
      <c r="W382" s="19"/>
      <c r="X382" s="19"/>
    </row>
    <row r="383" spans="19:24" x14ac:dyDescent="0.3">
      <c r="S383" s="19"/>
      <c r="W383" s="19"/>
      <c r="X383" s="19"/>
    </row>
    <row r="384" spans="19:24" x14ac:dyDescent="0.3">
      <c r="S384" s="19"/>
      <c r="W384" s="19"/>
      <c r="X384" s="19"/>
    </row>
    <row r="385" spans="19:24" x14ac:dyDescent="0.3">
      <c r="S385" s="19"/>
      <c r="W385" s="19"/>
      <c r="X385" s="19"/>
    </row>
    <row r="386" spans="19:24" x14ac:dyDescent="0.3">
      <c r="S386" s="19"/>
      <c r="W386" s="19"/>
      <c r="X386" s="19"/>
    </row>
    <row r="387" spans="19:24" x14ac:dyDescent="0.3">
      <c r="S387" s="19"/>
      <c r="W387" s="19"/>
      <c r="X387" s="19"/>
    </row>
    <row r="388" spans="19:24" x14ac:dyDescent="0.3">
      <c r="S388" s="19"/>
      <c r="W388" s="19"/>
      <c r="X388" s="19"/>
    </row>
    <row r="389" spans="19:24" x14ac:dyDescent="0.3">
      <c r="S389" s="19"/>
      <c r="W389" s="19"/>
      <c r="X389" s="19"/>
    </row>
    <row r="390" spans="19:24" x14ac:dyDescent="0.3">
      <c r="S390" s="19"/>
      <c r="W390" s="19"/>
      <c r="X390" s="19"/>
    </row>
    <row r="391" spans="19:24" x14ac:dyDescent="0.3">
      <c r="S391" s="19"/>
      <c r="W391" s="19"/>
      <c r="X391" s="19"/>
    </row>
    <row r="392" spans="19:24" x14ac:dyDescent="0.3">
      <c r="S392" s="19"/>
      <c r="W392" s="19"/>
      <c r="X392" s="19"/>
    </row>
    <row r="393" spans="19:24" x14ac:dyDescent="0.3">
      <c r="S393" s="19"/>
      <c r="W393" s="19"/>
      <c r="X393" s="19"/>
    </row>
    <row r="394" spans="19:24" x14ac:dyDescent="0.3">
      <c r="S394" s="19"/>
      <c r="W394" s="19"/>
      <c r="X394" s="19"/>
    </row>
    <row r="395" spans="19:24" x14ac:dyDescent="0.3">
      <c r="S395" s="19"/>
      <c r="W395" s="19"/>
      <c r="X395" s="19"/>
    </row>
    <row r="396" spans="19:24" x14ac:dyDescent="0.3">
      <c r="S396" s="19"/>
      <c r="W396" s="19"/>
      <c r="X396" s="19"/>
    </row>
    <row r="397" spans="19:24" x14ac:dyDescent="0.3">
      <c r="S397" s="19"/>
      <c r="W397" s="19"/>
      <c r="X397" s="19"/>
    </row>
    <row r="398" spans="19:24" x14ac:dyDescent="0.3">
      <c r="S398" s="19"/>
      <c r="W398" s="19"/>
      <c r="X398" s="19"/>
    </row>
    <row r="399" spans="19:24" x14ac:dyDescent="0.3">
      <c r="S399" s="19"/>
      <c r="W399" s="19"/>
      <c r="X399" s="19"/>
    </row>
    <row r="400" spans="19:24" x14ac:dyDescent="0.3">
      <c r="S400" s="19"/>
      <c r="W400" s="19"/>
      <c r="X400" s="19"/>
    </row>
    <row r="401" spans="19:24" x14ac:dyDescent="0.3">
      <c r="S401" s="19"/>
      <c r="W401" s="19"/>
      <c r="X401" s="19"/>
    </row>
    <row r="402" spans="19:24" x14ac:dyDescent="0.3">
      <c r="S402" s="19"/>
      <c r="W402" s="19"/>
      <c r="X402" s="19"/>
    </row>
    <row r="403" spans="19:24" x14ac:dyDescent="0.3">
      <c r="S403" s="19"/>
      <c r="W403" s="19"/>
      <c r="X403" s="19"/>
    </row>
    <row r="404" spans="19:24" x14ac:dyDescent="0.3">
      <c r="S404" s="19"/>
      <c r="W404" s="19"/>
      <c r="X404" s="19"/>
    </row>
    <row r="405" spans="19:24" x14ac:dyDescent="0.3">
      <c r="S405" s="19"/>
      <c r="W405" s="19"/>
      <c r="X405" s="19"/>
    </row>
    <row r="406" spans="19:24" x14ac:dyDescent="0.3">
      <c r="S406" s="19"/>
      <c r="W406" s="19"/>
      <c r="X406" s="19"/>
    </row>
    <row r="407" spans="19:24" x14ac:dyDescent="0.3">
      <c r="S407" s="19"/>
      <c r="W407" s="19"/>
      <c r="X407" s="19"/>
    </row>
    <row r="408" spans="19:24" x14ac:dyDescent="0.3">
      <c r="S408" s="19"/>
      <c r="W408" s="19"/>
      <c r="X408" s="19"/>
    </row>
    <row r="409" spans="19:24" x14ac:dyDescent="0.3">
      <c r="S409" s="19"/>
      <c r="W409" s="19"/>
      <c r="X409" s="19"/>
    </row>
    <row r="410" spans="19:24" x14ac:dyDescent="0.3">
      <c r="S410" s="19"/>
      <c r="W410" s="19"/>
      <c r="X410" s="19"/>
    </row>
    <row r="411" spans="19:24" x14ac:dyDescent="0.3">
      <c r="S411" s="19"/>
      <c r="W411" s="19"/>
      <c r="X411" s="19"/>
    </row>
    <row r="412" spans="19:24" x14ac:dyDescent="0.3">
      <c r="S412" s="19"/>
      <c r="W412" s="19"/>
      <c r="X412" s="19"/>
    </row>
    <row r="413" spans="19:24" x14ac:dyDescent="0.3">
      <c r="S413" s="19"/>
      <c r="W413" s="19"/>
      <c r="X413" s="19"/>
    </row>
    <row r="414" spans="19:24" x14ac:dyDescent="0.3">
      <c r="S414" s="19"/>
      <c r="W414" s="19"/>
      <c r="X414" s="19"/>
    </row>
    <row r="415" spans="19:24" x14ac:dyDescent="0.3">
      <c r="S415" s="19"/>
      <c r="W415" s="19"/>
      <c r="X415" s="19"/>
    </row>
    <row r="416" spans="19:24" x14ac:dyDescent="0.3">
      <c r="S416" s="19"/>
      <c r="W416" s="19"/>
      <c r="X416" s="19"/>
    </row>
    <row r="417" spans="19:24" x14ac:dyDescent="0.3">
      <c r="S417" s="19"/>
      <c r="W417" s="19"/>
      <c r="X417" s="19"/>
    </row>
    <row r="418" spans="19:24" x14ac:dyDescent="0.3">
      <c r="S418" s="19"/>
      <c r="W418" s="19"/>
      <c r="X418" s="19"/>
    </row>
    <row r="419" spans="19:24" x14ac:dyDescent="0.3">
      <c r="S419" s="19"/>
      <c r="W419" s="19"/>
      <c r="X419" s="19"/>
    </row>
    <row r="420" spans="19:24" x14ac:dyDescent="0.3">
      <c r="S420" s="19"/>
      <c r="W420" s="19"/>
      <c r="X420" s="19"/>
    </row>
    <row r="421" spans="19:24" x14ac:dyDescent="0.3">
      <c r="S421" s="19"/>
      <c r="W421" s="19"/>
      <c r="X421" s="19"/>
    </row>
    <row r="422" spans="19:24" x14ac:dyDescent="0.3">
      <c r="S422" s="19"/>
      <c r="W422" s="19"/>
      <c r="X422" s="19"/>
    </row>
    <row r="423" spans="19:24" x14ac:dyDescent="0.3">
      <c r="S423" s="19"/>
      <c r="W423" s="19"/>
      <c r="X423" s="19"/>
    </row>
    <row r="424" spans="19:24" x14ac:dyDescent="0.3">
      <c r="S424" s="19"/>
      <c r="W424" s="19"/>
      <c r="X424" s="19"/>
    </row>
    <row r="425" spans="19:24" x14ac:dyDescent="0.3">
      <c r="S425" s="19"/>
      <c r="W425" s="19"/>
      <c r="X425" s="19"/>
    </row>
    <row r="426" spans="19:24" x14ac:dyDescent="0.3">
      <c r="S426" s="19"/>
      <c r="W426" s="19"/>
      <c r="X426" s="19"/>
    </row>
    <row r="427" spans="19:24" x14ac:dyDescent="0.3">
      <c r="S427" s="19"/>
      <c r="W427" s="19"/>
      <c r="X427" s="19"/>
    </row>
    <row r="428" spans="19:24" x14ac:dyDescent="0.3">
      <c r="S428" s="19"/>
      <c r="W428" s="19"/>
      <c r="X428" s="19"/>
    </row>
    <row r="429" spans="19:24" x14ac:dyDescent="0.3">
      <c r="S429" s="19"/>
      <c r="W429" s="19"/>
      <c r="X429" s="19"/>
    </row>
    <row r="430" spans="19:24" x14ac:dyDescent="0.3">
      <c r="S430" s="19"/>
      <c r="W430" s="19"/>
      <c r="X430" s="19"/>
    </row>
    <row r="431" spans="19:24" x14ac:dyDescent="0.3">
      <c r="S431" s="19"/>
      <c r="W431" s="19"/>
      <c r="X431" s="19"/>
    </row>
    <row r="432" spans="19:24" x14ac:dyDescent="0.3">
      <c r="S432" s="19"/>
      <c r="W432" s="19"/>
      <c r="X432" s="19"/>
    </row>
    <row r="433" spans="19:24" x14ac:dyDescent="0.3">
      <c r="S433" s="19"/>
      <c r="W433" s="19"/>
      <c r="X433" s="19"/>
    </row>
    <row r="434" spans="19:24" x14ac:dyDescent="0.3">
      <c r="S434" s="19"/>
      <c r="W434" s="19"/>
      <c r="X434" s="19"/>
    </row>
    <row r="435" spans="19:24" x14ac:dyDescent="0.3">
      <c r="S435" s="19"/>
      <c r="W435" s="19"/>
      <c r="X435" s="19"/>
    </row>
    <row r="436" spans="19:24" x14ac:dyDescent="0.3">
      <c r="S436" s="19"/>
      <c r="W436" s="19"/>
      <c r="X436" s="19"/>
    </row>
    <row r="437" spans="19:24" x14ac:dyDescent="0.3">
      <c r="S437" s="19"/>
      <c r="W437" s="19"/>
      <c r="X437" s="19"/>
    </row>
    <row r="438" spans="19:24" x14ac:dyDescent="0.3">
      <c r="S438" s="19"/>
      <c r="W438" s="19"/>
      <c r="X438" s="19"/>
    </row>
    <row r="439" spans="19:24" x14ac:dyDescent="0.3">
      <c r="S439" s="19"/>
      <c r="W439" s="19"/>
      <c r="X439" s="19"/>
    </row>
    <row r="440" spans="19:24" x14ac:dyDescent="0.3">
      <c r="S440" s="19"/>
      <c r="W440" s="19"/>
      <c r="X440" s="19"/>
    </row>
    <row r="441" spans="19:24" x14ac:dyDescent="0.3">
      <c r="S441" s="19"/>
      <c r="W441" s="19"/>
      <c r="X441" s="19"/>
    </row>
    <row r="442" spans="19:24" x14ac:dyDescent="0.3">
      <c r="S442" s="19"/>
      <c r="W442" s="19"/>
      <c r="X442" s="19"/>
    </row>
    <row r="443" spans="19:24" x14ac:dyDescent="0.3">
      <c r="S443" s="19"/>
      <c r="W443" s="19"/>
      <c r="X443" s="19"/>
    </row>
    <row r="444" spans="19:24" x14ac:dyDescent="0.3">
      <c r="S444" s="19"/>
      <c r="W444" s="19"/>
      <c r="X444" s="19"/>
    </row>
    <row r="445" spans="19:24" x14ac:dyDescent="0.3">
      <c r="S445" s="19"/>
      <c r="W445" s="19"/>
      <c r="X445" s="19"/>
    </row>
    <row r="446" spans="19:24" x14ac:dyDescent="0.3">
      <c r="S446" s="19"/>
      <c r="W446" s="19"/>
      <c r="X446" s="19"/>
    </row>
    <row r="447" spans="19:24" x14ac:dyDescent="0.3">
      <c r="S447" s="19"/>
      <c r="W447" s="19"/>
      <c r="X447" s="19"/>
    </row>
    <row r="448" spans="19:24" x14ac:dyDescent="0.3">
      <c r="S448" s="19"/>
      <c r="W448" s="19"/>
      <c r="X448" s="19"/>
    </row>
    <row r="449" spans="19:24" x14ac:dyDescent="0.3">
      <c r="S449" s="19"/>
      <c r="W449" s="19"/>
      <c r="X449" s="19"/>
    </row>
    <row r="450" spans="19:24" x14ac:dyDescent="0.3">
      <c r="S450" s="19"/>
      <c r="W450" s="19"/>
      <c r="X450" s="19"/>
    </row>
    <row r="451" spans="19:24" x14ac:dyDescent="0.3">
      <c r="S451" s="19"/>
      <c r="W451" s="19"/>
      <c r="X451" s="19"/>
    </row>
    <row r="452" spans="19:24" x14ac:dyDescent="0.3">
      <c r="S452" s="19"/>
      <c r="W452" s="19"/>
      <c r="X452" s="19"/>
    </row>
    <row r="453" spans="19:24" x14ac:dyDescent="0.3">
      <c r="S453" s="19"/>
      <c r="W453" s="19"/>
      <c r="X453" s="19"/>
    </row>
    <row r="454" spans="19:24" x14ac:dyDescent="0.3">
      <c r="S454" s="19"/>
      <c r="W454" s="19"/>
      <c r="X454" s="19"/>
    </row>
    <row r="455" spans="19:24" x14ac:dyDescent="0.3">
      <c r="S455" s="19"/>
      <c r="W455" s="19"/>
      <c r="X455" s="19"/>
    </row>
  </sheetData>
  <hyperlinks>
    <hyperlink ref="C2" r:id="rId1" tooltip="Persistent link using digital object identifier" xr:uid="{14E99947-A8A2-4DB8-9911-E388009C3D3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B387"/>
  <sheetViews>
    <sheetView workbookViewId="0">
      <selection activeCell="C2" sqref="C2"/>
    </sheetView>
  </sheetViews>
  <sheetFormatPr defaultColWidth="9.109375" defaultRowHeight="14.4" x14ac:dyDescent="0.3"/>
  <cols>
    <col min="1" max="1" width="7" style="3" customWidth="1"/>
    <col min="2" max="3" width="16.5546875" style="3" customWidth="1"/>
    <col min="4" max="4" width="31.44140625" style="3" customWidth="1"/>
    <col min="5" max="6" width="25" style="3" customWidth="1"/>
    <col min="7" max="7" width="9.109375" style="3"/>
    <col min="8" max="8" width="16.33203125" style="3" customWidth="1"/>
    <col min="9" max="9" width="27.6640625" style="3" customWidth="1"/>
    <col min="10" max="10" width="16" style="3" customWidth="1"/>
    <col min="11" max="11" width="12.5546875" style="3" customWidth="1"/>
    <col min="12" max="13" width="22.44140625" style="3" customWidth="1"/>
    <col min="14" max="14" width="23" style="3" customWidth="1"/>
    <col min="15" max="15" width="13.33203125" style="3" customWidth="1"/>
    <col min="16" max="16" width="13.5546875" style="3" customWidth="1"/>
    <col min="17" max="17" width="12.109375" style="3" customWidth="1"/>
    <col min="18" max="18" width="13.33203125" style="3" customWidth="1"/>
    <col min="19" max="19" width="12.5546875" style="10" customWidth="1"/>
    <col min="20" max="20" width="9.109375" style="3"/>
    <col min="21" max="21" width="11.33203125" style="3" customWidth="1"/>
    <col min="22" max="22" width="9.109375" style="3"/>
    <col min="23" max="23" width="11.44140625" style="10" customWidth="1"/>
    <col min="24" max="24" width="10.109375" style="10" customWidth="1"/>
    <col min="25" max="25" width="11.5546875" style="3" bestFit="1" customWidth="1"/>
    <col min="26" max="26" width="9.109375" style="3"/>
    <col min="27" max="27" width="28.6640625" style="3" customWidth="1"/>
    <col min="28" max="28" width="14" style="3" customWidth="1"/>
    <col min="29" max="16384" width="9.109375" style="3"/>
  </cols>
  <sheetData>
    <row r="1" spans="1:28" ht="44.25" customHeight="1" x14ac:dyDescent="0.3">
      <c r="A1" s="1" t="s">
        <v>25</v>
      </c>
      <c r="B1" s="1" t="s">
        <v>24</v>
      </c>
      <c r="C1" s="1" t="s">
        <v>245</v>
      </c>
      <c r="D1" s="1" t="s">
        <v>23</v>
      </c>
      <c r="E1" s="1" t="s">
        <v>22</v>
      </c>
      <c r="F1" s="1" t="s">
        <v>34</v>
      </c>
      <c r="G1" s="11" t="s">
        <v>21</v>
      </c>
      <c r="H1" s="1" t="s">
        <v>20</v>
      </c>
      <c r="I1" s="1" t="s">
        <v>19</v>
      </c>
      <c r="J1" s="1" t="s">
        <v>26</v>
      </c>
      <c r="K1" s="1" t="s">
        <v>18</v>
      </c>
      <c r="L1" s="1" t="s">
        <v>17</v>
      </c>
      <c r="M1" s="1" t="s">
        <v>16</v>
      </c>
      <c r="N1" s="1" t="s">
        <v>15</v>
      </c>
      <c r="O1" s="14" t="s">
        <v>14</v>
      </c>
      <c r="P1" s="1" t="s">
        <v>13</v>
      </c>
      <c r="Q1" s="1" t="s">
        <v>32</v>
      </c>
      <c r="R1" s="11" t="s">
        <v>33</v>
      </c>
      <c r="S1" s="9" t="s">
        <v>12</v>
      </c>
      <c r="T1" s="1" t="s">
        <v>36</v>
      </c>
      <c r="U1" s="1" t="s">
        <v>61</v>
      </c>
      <c r="V1" s="1" t="s">
        <v>11</v>
      </c>
      <c r="W1" s="9" t="s">
        <v>30</v>
      </c>
      <c r="X1" s="9" t="s">
        <v>35</v>
      </c>
      <c r="Y1" s="1" t="s">
        <v>27</v>
      </c>
      <c r="Z1" s="14" t="s">
        <v>10</v>
      </c>
      <c r="AA1" s="1" t="s">
        <v>9</v>
      </c>
      <c r="AB1" s="1" t="s">
        <v>9</v>
      </c>
    </row>
    <row r="2" spans="1:28" ht="30" customHeight="1" x14ac:dyDescent="0.3">
      <c r="A2" s="3">
        <v>2</v>
      </c>
      <c r="B2" s="3" t="s">
        <v>43</v>
      </c>
      <c r="C2" s="52" t="s">
        <v>251</v>
      </c>
      <c r="D2" s="2" t="s">
        <v>40</v>
      </c>
      <c r="E2" s="3" t="s">
        <v>42</v>
      </c>
      <c r="G2" s="22" t="s">
        <v>3</v>
      </c>
      <c r="I2" s="3" t="s">
        <v>6</v>
      </c>
      <c r="J2" s="3" t="s">
        <v>41</v>
      </c>
      <c r="M2" s="3">
        <v>7</v>
      </c>
      <c r="Q2" s="3">
        <v>897</v>
      </c>
      <c r="R2" s="26"/>
      <c r="S2" s="17" t="s">
        <v>7</v>
      </c>
      <c r="U2" s="3">
        <f>492376.5</f>
        <v>492376.5</v>
      </c>
      <c r="V2" s="3" t="s">
        <v>28</v>
      </c>
      <c r="W2" s="13">
        <f>U2/Q2</f>
        <v>548.91471571906357</v>
      </c>
      <c r="X2" s="17">
        <v>3</v>
      </c>
      <c r="Y2" s="8"/>
      <c r="Z2" s="3" t="s">
        <v>8</v>
      </c>
      <c r="AA2" s="3" t="s">
        <v>150</v>
      </c>
    </row>
    <row r="3" spans="1:28" ht="30" customHeight="1" x14ac:dyDescent="0.3">
      <c r="A3" s="3">
        <v>2</v>
      </c>
      <c r="G3" s="22" t="s">
        <v>3</v>
      </c>
      <c r="I3" s="3" t="s">
        <v>6</v>
      </c>
      <c r="M3" s="3">
        <v>7</v>
      </c>
      <c r="Q3" s="3">
        <v>897</v>
      </c>
      <c r="R3" s="26"/>
      <c r="S3" s="17" t="s">
        <v>4</v>
      </c>
      <c r="T3" s="3">
        <v>2400</v>
      </c>
      <c r="U3" s="3">
        <f>576.54*T3</f>
        <v>1383696</v>
      </c>
      <c r="V3" s="3" t="s">
        <v>28</v>
      </c>
      <c r="W3" s="13">
        <f>U3/Q3</f>
        <v>1542.5819397993312</v>
      </c>
      <c r="X3" s="17">
        <v>3</v>
      </c>
      <c r="Y3" s="8"/>
      <c r="AA3" s="3" t="s">
        <v>148</v>
      </c>
    </row>
    <row r="4" spans="1:28" ht="30" customHeight="1" x14ac:dyDescent="0.3">
      <c r="A4" s="3">
        <v>2</v>
      </c>
      <c r="G4" s="22" t="s">
        <v>3</v>
      </c>
      <c r="I4" s="3" t="s">
        <v>6</v>
      </c>
      <c r="M4" s="3">
        <v>7</v>
      </c>
      <c r="Q4" s="3">
        <v>897</v>
      </c>
      <c r="R4" s="26"/>
      <c r="S4" s="17" t="s">
        <v>2</v>
      </c>
      <c r="U4" s="38">
        <f>114760+3636</f>
        <v>118396</v>
      </c>
      <c r="V4" s="3" t="s">
        <v>28</v>
      </c>
      <c r="W4" s="13">
        <f>U4/Q4</f>
        <v>131.99108138238574</v>
      </c>
      <c r="X4" s="17">
        <v>3</v>
      </c>
      <c r="Y4" s="8"/>
    </row>
    <row r="5" spans="1:28" ht="30" customHeight="1" x14ac:dyDescent="0.3">
      <c r="A5" s="3">
        <v>2</v>
      </c>
      <c r="G5" s="22" t="s">
        <v>3</v>
      </c>
      <c r="I5" s="3" t="s">
        <v>6</v>
      </c>
      <c r="M5" s="3">
        <v>7</v>
      </c>
      <c r="Q5" s="3">
        <v>897</v>
      </c>
      <c r="R5" s="26"/>
      <c r="S5" s="17" t="s">
        <v>29</v>
      </c>
      <c r="U5" s="3">
        <v>4469.95</v>
      </c>
      <c r="V5" s="3" t="s">
        <v>28</v>
      </c>
      <c r="W5" s="13">
        <f>U5/Q5</f>
        <v>4.9832218506131545</v>
      </c>
      <c r="X5" s="17">
        <v>3</v>
      </c>
      <c r="Y5" s="8"/>
    </row>
    <row r="6" spans="1:28" x14ac:dyDescent="0.3">
      <c r="G6" s="22"/>
      <c r="Q6" s="3">
        <v>897</v>
      </c>
      <c r="R6" s="22"/>
      <c r="S6" s="17" t="s">
        <v>37</v>
      </c>
      <c r="U6" s="3">
        <v>6805.24</v>
      </c>
      <c r="V6" s="3" t="s">
        <v>28</v>
      </c>
      <c r="W6" s="13">
        <f t="shared" ref="W6:W7" si="0">U6/Q6</f>
        <v>7.586666666666666</v>
      </c>
      <c r="X6" s="17">
        <v>3</v>
      </c>
    </row>
    <row r="7" spans="1:28" x14ac:dyDescent="0.3">
      <c r="G7" s="22"/>
      <c r="Q7" s="3">
        <v>897</v>
      </c>
      <c r="R7" s="22"/>
      <c r="S7" s="17" t="s">
        <v>149</v>
      </c>
      <c r="U7" s="3">
        <f>855439</f>
        <v>855439</v>
      </c>
      <c r="V7" s="3" t="s">
        <v>28</v>
      </c>
      <c r="W7" s="21">
        <f t="shared" si="0"/>
        <v>953.66666666666663</v>
      </c>
      <c r="X7" s="17">
        <v>3</v>
      </c>
    </row>
    <row r="8" spans="1:28" x14ac:dyDescent="0.3">
      <c r="G8" s="22"/>
      <c r="R8" s="22"/>
      <c r="S8" s="17"/>
      <c r="W8" s="13"/>
      <c r="X8" s="13"/>
    </row>
    <row r="9" spans="1:28" x14ac:dyDescent="0.3">
      <c r="G9" s="22"/>
      <c r="R9" s="22"/>
      <c r="S9" s="17"/>
      <c r="W9" s="13"/>
      <c r="X9" s="13"/>
    </row>
    <row r="10" spans="1:28" x14ac:dyDescent="0.3">
      <c r="G10" s="22"/>
      <c r="R10" s="22"/>
      <c r="S10" s="17"/>
      <c r="W10" s="13"/>
      <c r="X10" s="13"/>
    </row>
    <row r="11" spans="1:28" x14ac:dyDescent="0.3">
      <c r="G11" s="22"/>
      <c r="R11" s="22"/>
      <c r="S11" s="17"/>
      <c r="W11" s="13"/>
      <c r="X11" s="13"/>
    </row>
    <row r="12" spans="1:28" x14ac:dyDescent="0.3">
      <c r="G12" s="22"/>
      <c r="R12" s="22"/>
      <c r="S12" s="17"/>
      <c r="W12" s="13"/>
      <c r="X12" s="13"/>
    </row>
    <row r="13" spans="1:28" x14ac:dyDescent="0.3">
      <c r="G13" s="22"/>
      <c r="R13" s="22"/>
      <c r="S13" s="17"/>
      <c r="W13" s="13"/>
      <c r="X13" s="13"/>
    </row>
    <row r="14" spans="1:28" x14ac:dyDescent="0.3">
      <c r="G14" s="22"/>
      <c r="R14" s="22"/>
      <c r="S14" s="17"/>
      <c r="W14" s="13"/>
      <c r="X14" s="13"/>
    </row>
    <row r="15" spans="1:28" x14ac:dyDescent="0.3">
      <c r="G15" s="22"/>
      <c r="R15" s="22"/>
      <c r="S15" s="17"/>
      <c r="W15" s="13"/>
      <c r="X15" s="13"/>
    </row>
    <row r="16" spans="1:28" x14ac:dyDescent="0.3">
      <c r="G16" s="22"/>
      <c r="R16" s="22"/>
      <c r="S16" s="17"/>
      <c r="W16" s="13"/>
      <c r="X16" s="13"/>
    </row>
    <row r="17" spans="7:24" x14ac:dyDescent="0.3">
      <c r="G17" s="22"/>
      <c r="R17" s="22"/>
      <c r="S17" s="17"/>
      <c r="W17" s="13"/>
      <c r="X17" s="13"/>
    </row>
    <row r="18" spans="7:24" x14ac:dyDescent="0.3">
      <c r="G18" s="22"/>
      <c r="R18" s="22"/>
      <c r="S18" s="17"/>
      <c r="W18" s="13"/>
      <c r="X18" s="13"/>
    </row>
    <row r="19" spans="7:24" x14ac:dyDescent="0.3">
      <c r="G19" s="22"/>
      <c r="R19" s="22"/>
      <c r="S19" s="17"/>
      <c r="W19" s="13"/>
      <c r="X19" s="13"/>
    </row>
    <row r="20" spans="7:24" x14ac:dyDescent="0.3">
      <c r="G20" s="22"/>
      <c r="R20" s="22"/>
      <c r="S20" s="17"/>
      <c r="W20" s="13"/>
      <c r="X20" s="13"/>
    </row>
    <row r="21" spans="7:24" x14ac:dyDescent="0.3">
      <c r="G21" s="22"/>
      <c r="R21" s="22"/>
      <c r="S21" s="17"/>
      <c r="W21" s="13"/>
      <c r="X21" s="13"/>
    </row>
    <row r="22" spans="7:24" x14ac:dyDescent="0.3">
      <c r="G22" s="22"/>
      <c r="R22" s="22"/>
      <c r="S22" s="17"/>
      <c r="W22" s="13"/>
      <c r="X22" s="13"/>
    </row>
    <row r="23" spans="7:24" x14ac:dyDescent="0.3">
      <c r="G23" s="22"/>
      <c r="R23" s="22"/>
      <c r="S23" s="17"/>
      <c r="W23" s="13"/>
      <c r="X23" s="13"/>
    </row>
    <row r="24" spans="7:24" x14ac:dyDescent="0.3">
      <c r="G24" s="22"/>
      <c r="R24" s="22"/>
      <c r="S24" s="17"/>
      <c r="W24" s="13"/>
      <c r="X24" s="13"/>
    </row>
    <row r="25" spans="7:24" x14ac:dyDescent="0.3">
      <c r="G25" s="22"/>
      <c r="R25" s="22"/>
      <c r="S25" s="17"/>
      <c r="W25" s="13"/>
      <c r="X25" s="13"/>
    </row>
    <row r="26" spans="7:24" x14ac:dyDescent="0.3">
      <c r="G26" s="22"/>
      <c r="R26" s="22"/>
      <c r="S26" s="17"/>
      <c r="W26" s="13"/>
      <c r="X26" s="13"/>
    </row>
    <row r="27" spans="7:24" x14ac:dyDescent="0.3">
      <c r="G27" s="22"/>
      <c r="R27" s="22"/>
      <c r="S27" s="17"/>
      <c r="W27" s="13"/>
      <c r="X27" s="13"/>
    </row>
    <row r="28" spans="7:24" x14ac:dyDescent="0.3">
      <c r="G28" s="22"/>
      <c r="R28" s="22"/>
      <c r="S28" s="17"/>
      <c r="W28" s="13"/>
      <c r="X28" s="13"/>
    </row>
    <row r="29" spans="7:24" x14ac:dyDescent="0.3">
      <c r="G29" s="22"/>
      <c r="R29" s="22"/>
      <c r="S29" s="17"/>
      <c r="W29" s="13"/>
      <c r="X29" s="13"/>
    </row>
    <row r="30" spans="7:24" x14ac:dyDescent="0.3">
      <c r="G30" s="22"/>
      <c r="R30" s="22"/>
      <c r="S30" s="17"/>
      <c r="W30" s="13"/>
      <c r="X30" s="13"/>
    </row>
    <row r="31" spans="7:24" x14ac:dyDescent="0.3">
      <c r="G31" s="22"/>
      <c r="R31" s="22"/>
      <c r="S31" s="17"/>
      <c r="W31" s="13"/>
      <c r="X31" s="13"/>
    </row>
    <row r="32" spans="7:24" x14ac:dyDescent="0.3">
      <c r="G32" s="22"/>
      <c r="R32" s="22"/>
      <c r="S32" s="17"/>
      <c r="W32" s="13"/>
      <c r="X32" s="13"/>
    </row>
    <row r="33" spans="7:24" x14ac:dyDescent="0.3">
      <c r="G33" s="22"/>
      <c r="R33" s="22"/>
      <c r="S33" s="17"/>
      <c r="W33" s="13"/>
      <c r="X33" s="13"/>
    </row>
    <row r="34" spans="7:24" x14ac:dyDescent="0.3">
      <c r="G34" s="22"/>
      <c r="R34" s="22"/>
      <c r="S34" s="17"/>
      <c r="W34" s="13"/>
      <c r="X34" s="13"/>
    </row>
    <row r="35" spans="7:24" x14ac:dyDescent="0.3">
      <c r="G35" s="22"/>
      <c r="R35" s="22"/>
      <c r="S35" s="17"/>
      <c r="W35" s="13"/>
      <c r="X35" s="13"/>
    </row>
    <row r="36" spans="7:24" x14ac:dyDescent="0.3">
      <c r="G36" s="22"/>
      <c r="R36" s="22"/>
      <c r="S36" s="17"/>
      <c r="W36" s="13"/>
      <c r="X36" s="13"/>
    </row>
    <row r="37" spans="7:24" x14ac:dyDescent="0.3">
      <c r="G37" s="22"/>
      <c r="R37" s="22"/>
      <c r="S37" s="17"/>
      <c r="W37" s="13"/>
      <c r="X37" s="13"/>
    </row>
    <row r="38" spans="7:24" x14ac:dyDescent="0.3">
      <c r="G38" s="22"/>
      <c r="R38" s="22"/>
      <c r="S38" s="17"/>
      <c r="W38" s="13"/>
      <c r="X38" s="13"/>
    </row>
    <row r="39" spans="7:24" x14ac:dyDescent="0.3">
      <c r="G39" s="22"/>
      <c r="R39" s="22"/>
      <c r="S39" s="17"/>
      <c r="W39" s="13"/>
      <c r="X39" s="13"/>
    </row>
    <row r="40" spans="7:24" x14ac:dyDescent="0.3">
      <c r="G40" s="22"/>
      <c r="R40" s="22"/>
      <c r="S40" s="17"/>
      <c r="W40" s="13"/>
      <c r="X40" s="13"/>
    </row>
    <row r="41" spans="7:24" x14ac:dyDescent="0.3">
      <c r="G41" s="22"/>
      <c r="R41" s="22"/>
      <c r="S41" s="17"/>
      <c r="W41" s="13"/>
      <c r="X41" s="13"/>
    </row>
    <row r="42" spans="7:24" x14ac:dyDescent="0.3">
      <c r="G42" s="22"/>
      <c r="R42" s="22"/>
      <c r="S42" s="17"/>
      <c r="W42" s="13"/>
      <c r="X42" s="13"/>
    </row>
    <row r="43" spans="7:24" x14ac:dyDescent="0.3">
      <c r="G43" s="22"/>
      <c r="R43" s="22"/>
      <c r="S43" s="17"/>
      <c r="W43" s="13"/>
      <c r="X43" s="13"/>
    </row>
    <row r="44" spans="7:24" x14ac:dyDescent="0.3">
      <c r="G44" s="22"/>
      <c r="R44" s="22"/>
      <c r="S44" s="17"/>
      <c r="W44" s="13"/>
      <c r="X44" s="13"/>
    </row>
    <row r="45" spans="7:24" x14ac:dyDescent="0.3">
      <c r="G45" s="22"/>
      <c r="R45" s="22"/>
      <c r="S45" s="17"/>
      <c r="W45" s="13"/>
      <c r="X45" s="13"/>
    </row>
    <row r="46" spans="7:24" x14ac:dyDescent="0.3">
      <c r="G46" s="22"/>
      <c r="R46" s="22"/>
      <c r="S46" s="17"/>
      <c r="W46" s="13"/>
      <c r="X46" s="13"/>
    </row>
    <row r="47" spans="7:24" x14ac:dyDescent="0.3">
      <c r="G47" s="22"/>
      <c r="R47" s="22"/>
      <c r="S47" s="17"/>
      <c r="W47" s="13"/>
      <c r="X47" s="13"/>
    </row>
    <row r="48" spans="7:24" x14ac:dyDescent="0.3">
      <c r="G48" s="22"/>
      <c r="R48" s="22"/>
      <c r="S48" s="17"/>
      <c r="W48" s="13"/>
      <c r="X48" s="13"/>
    </row>
    <row r="49" spans="7:24" x14ac:dyDescent="0.3">
      <c r="G49" s="22"/>
      <c r="R49" s="22"/>
      <c r="S49" s="17"/>
      <c r="W49" s="13"/>
      <c r="X49" s="13"/>
    </row>
    <row r="50" spans="7:24" x14ac:dyDescent="0.3">
      <c r="G50" s="22"/>
      <c r="R50" s="22"/>
      <c r="S50" s="17"/>
      <c r="W50" s="13"/>
      <c r="X50" s="13"/>
    </row>
    <row r="51" spans="7:24" x14ac:dyDescent="0.3">
      <c r="G51" s="22"/>
      <c r="R51" s="22"/>
      <c r="S51" s="17"/>
      <c r="W51" s="13"/>
      <c r="X51" s="13"/>
    </row>
    <row r="52" spans="7:24" x14ac:dyDescent="0.3">
      <c r="G52" s="22"/>
      <c r="R52" s="22"/>
      <c r="S52" s="17"/>
      <c r="W52" s="13"/>
      <c r="X52" s="13"/>
    </row>
    <row r="53" spans="7:24" x14ac:dyDescent="0.3">
      <c r="G53" s="22"/>
      <c r="R53" s="22"/>
      <c r="S53" s="17"/>
      <c r="W53" s="13"/>
      <c r="X53" s="13"/>
    </row>
    <row r="54" spans="7:24" x14ac:dyDescent="0.3">
      <c r="G54" s="22"/>
      <c r="R54" s="22"/>
      <c r="S54" s="17"/>
      <c r="W54" s="13"/>
      <c r="X54" s="13"/>
    </row>
    <row r="55" spans="7:24" x14ac:dyDescent="0.3">
      <c r="G55" s="22"/>
      <c r="R55" s="22"/>
      <c r="S55" s="17"/>
      <c r="W55" s="13"/>
      <c r="X55" s="13"/>
    </row>
    <row r="56" spans="7:24" x14ac:dyDescent="0.3">
      <c r="G56" s="22"/>
      <c r="R56" s="22"/>
      <c r="S56" s="17"/>
      <c r="W56" s="13"/>
      <c r="X56" s="13"/>
    </row>
    <row r="57" spans="7:24" x14ac:dyDescent="0.3">
      <c r="G57" s="22"/>
      <c r="R57" s="22"/>
      <c r="S57" s="17"/>
      <c r="W57" s="13"/>
      <c r="X57" s="13"/>
    </row>
    <row r="58" spans="7:24" x14ac:dyDescent="0.3">
      <c r="G58" s="22"/>
      <c r="R58" s="22"/>
      <c r="S58" s="17"/>
      <c r="W58" s="13"/>
      <c r="X58" s="13"/>
    </row>
    <row r="59" spans="7:24" x14ac:dyDescent="0.3">
      <c r="G59" s="22"/>
      <c r="R59" s="22"/>
      <c r="S59" s="17"/>
      <c r="W59" s="13"/>
      <c r="X59" s="13"/>
    </row>
    <row r="60" spans="7:24" x14ac:dyDescent="0.3">
      <c r="G60" s="22"/>
      <c r="R60" s="22"/>
      <c r="S60" s="17"/>
      <c r="W60" s="13"/>
      <c r="X60" s="13"/>
    </row>
    <row r="61" spans="7:24" x14ac:dyDescent="0.3">
      <c r="G61" s="22"/>
      <c r="R61" s="22"/>
      <c r="S61" s="17"/>
      <c r="W61" s="13"/>
      <c r="X61" s="13"/>
    </row>
    <row r="62" spans="7:24" x14ac:dyDescent="0.3">
      <c r="G62" s="22"/>
      <c r="R62" s="22"/>
      <c r="S62" s="17"/>
      <c r="W62" s="13"/>
      <c r="X62" s="13"/>
    </row>
    <row r="63" spans="7:24" x14ac:dyDescent="0.3">
      <c r="G63" s="22"/>
      <c r="R63" s="22"/>
      <c r="S63" s="17"/>
      <c r="W63" s="13"/>
      <c r="X63" s="13"/>
    </row>
    <row r="64" spans="7:24" x14ac:dyDescent="0.3">
      <c r="G64" s="22"/>
      <c r="R64" s="22"/>
      <c r="S64" s="17"/>
      <c r="W64" s="13"/>
      <c r="X64" s="13"/>
    </row>
    <row r="65" spans="7:24" x14ac:dyDescent="0.3">
      <c r="G65" s="22"/>
      <c r="R65" s="22"/>
      <c r="S65" s="17"/>
      <c r="W65" s="13"/>
      <c r="X65" s="13"/>
    </row>
    <row r="66" spans="7:24" x14ac:dyDescent="0.3">
      <c r="G66" s="22"/>
      <c r="R66" s="22"/>
      <c r="S66" s="17"/>
      <c r="W66" s="13"/>
      <c r="X66" s="13"/>
    </row>
    <row r="67" spans="7:24" x14ac:dyDescent="0.3">
      <c r="G67" s="22"/>
      <c r="R67" s="22"/>
      <c r="S67" s="17"/>
      <c r="W67" s="13"/>
      <c r="X67" s="13"/>
    </row>
    <row r="68" spans="7:24" x14ac:dyDescent="0.3">
      <c r="G68" s="22"/>
      <c r="R68" s="22"/>
      <c r="S68" s="17"/>
      <c r="W68" s="13"/>
      <c r="X68" s="13"/>
    </row>
    <row r="69" spans="7:24" x14ac:dyDescent="0.3">
      <c r="G69" s="22"/>
      <c r="R69" s="22"/>
      <c r="S69" s="17"/>
      <c r="W69" s="13"/>
      <c r="X69" s="13"/>
    </row>
    <row r="70" spans="7:24" x14ac:dyDescent="0.3">
      <c r="G70" s="22"/>
      <c r="R70" s="22"/>
      <c r="S70" s="17"/>
      <c r="W70" s="13"/>
      <c r="X70" s="13"/>
    </row>
    <row r="71" spans="7:24" x14ac:dyDescent="0.3">
      <c r="G71" s="22"/>
      <c r="R71" s="22"/>
      <c r="S71" s="17"/>
      <c r="W71" s="13"/>
      <c r="X71" s="13"/>
    </row>
    <row r="72" spans="7:24" x14ac:dyDescent="0.3">
      <c r="G72" s="22"/>
      <c r="R72" s="22"/>
      <c r="S72" s="17"/>
      <c r="W72" s="13"/>
      <c r="X72" s="13"/>
    </row>
    <row r="73" spans="7:24" x14ac:dyDescent="0.3">
      <c r="G73" s="22"/>
      <c r="R73" s="22"/>
      <c r="S73" s="17"/>
      <c r="W73" s="13"/>
      <c r="X73" s="13"/>
    </row>
    <row r="74" spans="7:24" x14ac:dyDescent="0.3">
      <c r="G74" s="22"/>
      <c r="R74" s="22"/>
      <c r="S74" s="17"/>
      <c r="W74" s="13"/>
      <c r="X74" s="13"/>
    </row>
    <row r="75" spans="7:24" x14ac:dyDescent="0.3">
      <c r="G75" s="22"/>
      <c r="R75" s="22"/>
      <c r="S75" s="17"/>
      <c r="W75" s="13"/>
      <c r="X75" s="13"/>
    </row>
    <row r="76" spans="7:24" x14ac:dyDescent="0.3">
      <c r="G76" s="22"/>
      <c r="R76" s="22"/>
      <c r="S76" s="17"/>
      <c r="W76" s="13"/>
      <c r="X76" s="13"/>
    </row>
    <row r="77" spans="7:24" x14ac:dyDescent="0.3">
      <c r="G77" s="22"/>
      <c r="R77" s="22"/>
      <c r="S77" s="17"/>
      <c r="W77" s="13"/>
      <c r="X77" s="13"/>
    </row>
    <row r="78" spans="7:24" x14ac:dyDescent="0.3">
      <c r="G78" s="22"/>
      <c r="R78" s="22"/>
      <c r="S78" s="17"/>
      <c r="W78" s="13"/>
      <c r="X78" s="13"/>
    </row>
    <row r="79" spans="7:24" x14ac:dyDescent="0.3">
      <c r="G79" s="22"/>
      <c r="R79" s="22"/>
      <c r="S79" s="17"/>
      <c r="W79" s="13"/>
      <c r="X79" s="13"/>
    </row>
    <row r="80" spans="7:24" x14ac:dyDescent="0.3">
      <c r="G80" s="22"/>
      <c r="R80" s="22"/>
      <c r="S80" s="17"/>
      <c r="W80" s="13"/>
      <c r="X80" s="13"/>
    </row>
    <row r="81" spans="7:24" x14ac:dyDescent="0.3">
      <c r="G81" s="22"/>
      <c r="R81" s="22"/>
      <c r="S81" s="17"/>
      <c r="W81" s="13"/>
      <c r="X81" s="13"/>
    </row>
    <row r="82" spans="7:24" x14ac:dyDescent="0.3">
      <c r="G82" s="22"/>
      <c r="R82" s="22"/>
      <c r="S82" s="17"/>
      <c r="W82" s="13"/>
      <c r="X82" s="13"/>
    </row>
    <row r="83" spans="7:24" x14ac:dyDescent="0.3">
      <c r="G83" s="22"/>
      <c r="R83" s="22"/>
      <c r="S83" s="17"/>
      <c r="W83" s="13"/>
      <c r="X83" s="13"/>
    </row>
    <row r="84" spans="7:24" x14ac:dyDescent="0.3">
      <c r="G84" s="22"/>
      <c r="R84" s="22"/>
      <c r="S84" s="17"/>
      <c r="W84" s="13"/>
      <c r="X84" s="13"/>
    </row>
    <row r="85" spans="7:24" x14ac:dyDescent="0.3">
      <c r="G85" s="22"/>
      <c r="R85" s="22"/>
      <c r="S85" s="17"/>
      <c r="W85" s="13"/>
      <c r="X85" s="13"/>
    </row>
    <row r="86" spans="7:24" x14ac:dyDescent="0.3">
      <c r="G86" s="22"/>
      <c r="R86" s="22"/>
      <c r="S86" s="17"/>
      <c r="W86" s="13"/>
      <c r="X86" s="13"/>
    </row>
    <row r="87" spans="7:24" x14ac:dyDescent="0.3">
      <c r="G87" s="22"/>
      <c r="R87" s="22"/>
      <c r="S87" s="17"/>
      <c r="W87" s="13"/>
      <c r="X87" s="13"/>
    </row>
    <row r="88" spans="7:24" x14ac:dyDescent="0.3">
      <c r="G88" s="22"/>
      <c r="R88" s="22"/>
      <c r="S88" s="17"/>
      <c r="W88" s="13"/>
      <c r="X88" s="13"/>
    </row>
    <row r="89" spans="7:24" x14ac:dyDescent="0.3">
      <c r="G89" s="22"/>
      <c r="R89" s="22"/>
      <c r="S89" s="17"/>
      <c r="W89" s="13"/>
      <c r="X89" s="13"/>
    </row>
    <row r="90" spans="7:24" x14ac:dyDescent="0.3">
      <c r="G90" s="22"/>
      <c r="R90" s="22"/>
      <c r="S90" s="17"/>
      <c r="W90" s="13"/>
      <c r="X90" s="13"/>
    </row>
    <row r="91" spans="7:24" x14ac:dyDescent="0.3">
      <c r="G91" s="22"/>
      <c r="R91" s="22"/>
      <c r="S91" s="17"/>
      <c r="W91" s="13"/>
      <c r="X91" s="13"/>
    </row>
    <row r="92" spans="7:24" x14ac:dyDescent="0.3">
      <c r="G92" s="22"/>
      <c r="R92" s="22"/>
      <c r="S92" s="17"/>
      <c r="W92" s="13"/>
      <c r="X92" s="13"/>
    </row>
    <row r="93" spans="7:24" x14ac:dyDescent="0.3">
      <c r="G93" s="22"/>
      <c r="R93" s="22"/>
      <c r="S93" s="17"/>
      <c r="W93" s="13"/>
      <c r="X93" s="13"/>
    </row>
    <row r="94" spans="7:24" x14ac:dyDescent="0.3">
      <c r="G94" s="22"/>
      <c r="R94" s="22"/>
      <c r="S94" s="17"/>
      <c r="W94" s="13"/>
      <c r="X94" s="13"/>
    </row>
    <row r="95" spans="7:24" x14ac:dyDescent="0.3">
      <c r="G95" s="22"/>
      <c r="R95" s="22"/>
      <c r="S95" s="17"/>
      <c r="W95" s="13"/>
      <c r="X95" s="13"/>
    </row>
    <row r="96" spans="7:24" x14ac:dyDescent="0.3">
      <c r="G96" s="22"/>
      <c r="R96" s="22"/>
      <c r="S96" s="17"/>
      <c r="W96" s="13"/>
      <c r="X96" s="13"/>
    </row>
    <row r="97" spans="7:24" x14ac:dyDescent="0.3">
      <c r="G97" s="22"/>
      <c r="R97" s="22"/>
      <c r="S97" s="17"/>
      <c r="W97" s="13"/>
      <c r="X97" s="13"/>
    </row>
    <row r="98" spans="7:24" x14ac:dyDescent="0.3">
      <c r="G98" s="22"/>
      <c r="R98" s="22"/>
      <c r="S98" s="17"/>
      <c r="W98" s="13"/>
      <c r="X98" s="13"/>
    </row>
    <row r="99" spans="7:24" x14ac:dyDescent="0.3">
      <c r="G99" s="22"/>
      <c r="R99" s="22"/>
      <c r="S99" s="17"/>
      <c r="W99" s="13"/>
      <c r="X99" s="13"/>
    </row>
    <row r="100" spans="7:24" x14ac:dyDescent="0.3">
      <c r="G100" s="22"/>
      <c r="R100" s="22"/>
      <c r="S100" s="17"/>
      <c r="W100" s="13"/>
      <c r="X100" s="13"/>
    </row>
    <row r="101" spans="7:24" x14ac:dyDescent="0.3">
      <c r="G101" s="22"/>
      <c r="R101" s="22"/>
      <c r="S101" s="17"/>
      <c r="W101" s="13"/>
      <c r="X101" s="13"/>
    </row>
    <row r="102" spans="7:24" x14ac:dyDescent="0.3">
      <c r="G102" s="22"/>
      <c r="R102" s="22"/>
      <c r="S102" s="17"/>
      <c r="W102" s="13"/>
      <c r="X102" s="13"/>
    </row>
    <row r="103" spans="7:24" x14ac:dyDescent="0.3">
      <c r="G103" s="22"/>
      <c r="R103" s="22"/>
      <c r="S103" s="17"/>
      <c r="W103" s="13"/>
      <c r="X103" s="13"/>
    </row>
    <row r="104" spans="7:24" x14ac:dyDescent="0.3">
      <c r="G104" s="22"/>
      <c r="R104" s="22"/>
      <c r="S104" s="17"/>
      <c r="W104" s="13"/>
      <c r="X104" s="13"/>
    </row>
    <row r="105" spans="7:24" x14ac:dyDescent="0.3">
      <c r="G105" s="22"/>
      <c r="R105" s="22"/>
      <c r="S105" s="17"/>
      <c r="W105" s="13"/>
      <c r="X105" s="13"/>
    </row>
    <row r="106" spans="7:24" x14ac:dyDescent="0.3">
      <c r="G106" s="22"/>
      <c r="R106" s="22"/>
      <c r="S106" s="17"/>
      <c r="W106" s="13"/>
      <c r="X106" s="13"/>
    </row>
    <row r="107" spans="7:24" x14ac:dyDescent="0.3">
      <c r="G107" s="22"/>
      <c r="R107" s="22"/>
      <c r="S107" s="17"/>
      <c r="W107" s="13"/>
      <c r="X107" s="13"/>
    </row>
    <row r="108" spans="7:24" x14ac:dyDescent="0.3">
      <c r="G108" s="22"/>
      <c r="R108" s="22"/>
      <c r="S108" s="17"/>
      <c r="W108" s="13"/>
      <c r="X108" s="13"/>
    </row>
    <row r="109" spans="7:24" x14ac:dyDescent="0.3">
      <c r="G109" s="22"/>
      <c r="R109" s="22"/>
      <c r="S109" s="17"/>
      <c r="W109" s="13"/>
      <c r="X109" s="13"/>
    </row>
    <row r="110" spans="7:24" x14ac:dyDescent="0.3">
      <c r="G110" s="22"/>
      <c r="R110" s="22"/>
      <c r="S110" s="17"/>
      <c r="W110" s="13"/>
      <c r="X110" s="13"/>
    </row>
    <row r="111" spans="7:24" x14ac:dyDescent="0.3">
      <c r="G111" s="22"/>
      <c r="R111" s="22"/>
      <c r="S111" s="17"/>
      <c r="W111" s="13"/>
      <c r="X111" s="13"/>
    </row>
    <row r="112" spans="7:24" x14ac:dyDescent="0.3">
      <c r="G112" s="22"/>
      <c r="R112" s="22"/>
      <c r="S112" s="17"/>
      <c r="W112" s="13"/>
      <c r="X112" s="13"/>
    </row>
    <row r="113" spans="7:24" x14ac:dyDescent="0.3">
      <c r="G113" s="22"/>
      <c r="R113" s="22"/>
      <c r="S113" s="17"/>
      <c r="W113" s="13"/>
      <c r="X113" s="13"/>
    </row>
    <row r="114" spans="7:24" x14ac:dyDescent="0.3">
      <c r="G114" s="22"/>
      <c r="R114" s="22"/>
      <c r="S114" s="17"/>
      <c r="W114" s="13"/>
      <c r="X114" s="13"/>
    </row>
    <row r="115" spans="7:24" x14ac:dyDescent="0.3">
      <c r="G115" s="22"/>
      <c r="R115" s="22"/>
      <c r="S115" s="17"/>
      <c r="W115" s="13"/>
      <c r="X115" s="13"/>
    </row>
    <row r="116" spans="7:24" x14ac:dyDescent="0.3">
      <c r="G116" s="22"/>
      <c r="R116" s="22"/>
      <c r="S116" s="17"/>
      <c r="W116" s="13"/>
      <c r="X116" s="13"/>
    </row>
    <row r="117" spans="7:24" x14ac:dyDescent="0.3">
      <c r="G117" s="22"/>
      <c r="R117" s="22"/>
      <c r="S117" s="17"/>
      <c r="W117" s="13"/>
      <c r="X117" s="13"/>
    </row>
    <row r="118" spans="7:24" x14ac:dyDescent="0.3">
      <c r="G118" s="22"/>
      <c r="R118" s="22"/>
      <c r="S118" s="17"/>
      <c r="W118" s="13"/>
      <c r="X118" s="13"/>
    </row>
    <row r="119" spans="7:24" x14ac:dyDescent="0.3">
      <c r="G119" s="22"/>
      <c r="R119" s="22"/>
      <c r="S119" s="17"/>
      <c r="W119" s="13"/>
      <c r="X119" s="13"/>
    </row>
    <row r="120" spans="7:24" x14ac:dyDescent="0.3">
      <c r="G120" s="22"/>
      <c r="R120" s="22"/>
      <c r="S120" s="17"/>
      <c r="W120" s="13"/>
      <c r="X120" s="13"/>
    </row>
    <row r="121" spans="7:24" x14ac:dyDescent="0.3">
      <c r="G121" s="22"/>
      <c r="R121" s="22"/>
      <c r="S121" s="17"/>
      <c r="W121" s="13"/>
      <c r="X121" s="13"/>
    </row>
    <row r="122" spans="7:24" x14ac:dyDescent="0.3">
      <c r="G122" s="22"/>
      <c r="R122" s="22"/>
      <c r="S122" s="17"/>
      <c r="W122" s="13"/>
      <c r="X122" s="13"/>
    </row>
    <row r="123" spans="7:24" x14ac:dyDescent="0.3">
      <c r="G123" s="22"/>
      <c r="R123" s="22"/>
      <c r="S123" s="17"/>
      <c r="W123" s="13"/>
      <c r="X123" s="13"/>
    </row>
    <row r="124" spans="7:24" x14ac:dyDescent="0.3">
      <c r="G124" s="22"/>
      <c r="R124" s="22"/>
      <c r="S124" s="17"/>
      <c r="W124" s="13"/>
      <c r="X124" s="13"/>
    </row>
    <row r="125" spans="7:24" x14ac:dyDescent="0.3">
      <c r="G125" s="22"/>
      <c r="R125" s="22"/>
      <c r="S125" s="17"/>
      <c r="W125" s="13"/>
      <c r="X125" s="13"/>
    </row>
    <row r="126" spans="7:24" x14ac:dyDescent="0.3">
      <c r="G126" s="22"/>
      <c r="R126" s="22"/>
      <c r="S126" s="17"/>
      <c r="W126" s="13"/>
      <c r="X126" s="13"/>
    </row>
    <row r="127" spans="7:24" x14ac:dyDescent="0.3">
      <c r="G127" s="22"/>
      <c r="R127" s="22"/>
      <c r="S127" s="17"/>
      <c r="W127" s="13"/>
      <c r="X127" s="13"/>
    </row>
    <row r="128" spans="7:24" x14ac:dyDescent="0.3">
      <c r="G128" s="22"/>
      <c r="R128" s="22"/>
      <c r="S128" s="17"/>
      <c r="W128" s="13"/>
      <c r="X128" s="13"/>
    </row>
    <row r="129" spans="7:24" x14ac:dyDescent="0.3">
      <c r="G129" s="22"/>
      <c r="R129" s="22"/>
      <c r="S129" s="17"/>
      <c r="W129" s="13"/>
      <c r="X129" s="13"/>
    </row>
    <row r="130" spans="7:24" x14ac:dyDescent="0.3">
      <c r="G130" s="22"/>
      <c r="R130" s="22"/>
      <c r="S130" s="17"/>
      <c r="W130" s="13"/>
      <c r="X130" s="13"/>
    </row>
    <row r="131" spans="7:24" x14ac:dyDescent="0.3">
      <c r="G131" s="22"/>
      <c r="R131" s="22"/>
      <c r="S131" s="17"/>
      <c r="W131" s="13"/>
      <c r="X131" s="13"/>
    </row>
    <row r="132" spans="7:24" x14ac:dyDescent="0.3">
      <c r="G132" s="22"/>
      <c r="R132" s="22"/>
      <c r="S132" s="17"/>
      <c r="W132" s="13"/>
      <c r="X132" s="13"/>
    </row>
    <row r="133" spans="7:24" x14ac:dyDescent="0.3">
      <c r="G133" s="22"/>
      <c r="R133" s="22"/>
      <c r="S133" s="17"/>
      <c r="W133" s="13"/>
      <c r="X133" s="13"/>
    </row>
    <row r="134" spans="7:24" x14ac:dyDescent="0.3">
      <c r="G134" s="22"/>
      <c r="R134" s="22"/>
      <c r="S134" s="17"/>
      <c r="W134" s="13"/>
      <c r="X134" s="13"/>
    </row>
    <row r="135" spans="7:24" x14ac:dyDescent="0.3">
      <c r="G135" s="22"/>
      <c r="R135" s="22"/>
      <c r="S135" s="17"/>
      <c r="W135" s="13"/>
      <c r="X135" s="13"/>
    </row>
    <row r="136" spans="7:24" x14ac:dyDescent="0.3">
      <c r="G136" s="22"/>
      <c r="R136" s="22"/>
      <c r="S136" s="17"/>
      <c r="W136" s="13"/>
      <c r="X136" s="13"/>
    </row>
    <row r="137" spans="7:24" x14ac:dyDescent="0.3">
      <c r="G137" s="22"/>
      <c r="R137" s="22"/>
      <c r="S137" s="17"/>
      <c r="W137" s="13"/>
      <c r="X137" s="13"/>
    </row>
    <row r="138" spans="7:24" x14ac:dyDescent="0.3">
      <c r="G138" s="22"/>
      <c r="R138" s="22"/>
      <c r="S138" s="17"/>
      <c r="W138" s="13"/>
      <c r="X138" s="13"/>
    </row>
    <row r="139" spans="7:24" x14ac:dyDescent="0.3">
      <c r="G139" s="22"/>
      <c r="R139" s="22"/>
      <c r="S139" s="17"/>
      <c r="W139" s="13"/>
      <c r="X139" s="13"/>
    </row>
    <row r="140" spans="7:24" x14ac:dyDescent="0.3">
      <c r="G140" s="22"/>
      <c r="R140" s="22"/>
      <c r="S140" s="17"/>
      <c r="W140" s="13"/>
      <c r="X140" s="13"/>
    </row>
    <row r="141" spans="7:24" x14ac:dyDescent="0.3">
      <c r="G141" s="22"/>
      <c r="R141" s="22"/>
      <c r="S141" s="17"/>
      <c r="W141" s="13"/>
      <c r="X141" s="13"/>
    </row>
    <row r="142" spans="7:24" x14ac:dyDescent="0.3">
      <c r="G142" s="22"/>
      <c r="R142" s="22"/>
      <c r="S142" s="17"/>
      <c r="W142" s="13"/>
      <c r="X142" s="13"/>
    </row>
    <row r="143" spans="7:24" x14ac:dyDescent="0.3">
      <c r="G143" s="22"/>
      <c r="R143" s="22"/>
      <c r="S143" s="17"/>
      <c r="W143" s="13"/>
      <c r="X143" s="13"/>
    </row>
    <row r="144" spans="7:24" x14ac:dyDescent="0.3">
      <c r="G144" s="22"/>
      <c r="R144" s="22"/>
      <c r="S144" s="17"/>
      <c r="W144" s="13"/>
      <c r="X144" s="13"/>
    </row>
    <row r="145" spans="7:24" x14ac:dyDescent="0.3">
      <c r="G145" s="22"/>
      <c r="R145" s="22"/>
      <c r="S145" s="17"/>
      <c r="W145" s="13"/>
      <c r="X145" s="13"/>
    </row>
    <row r="146" spans="7:24" x14ac:dyDescent="0.3">
      <c r="G146" s="22"/>
      <c r="R146" s="22"/>
      <c r="S146" s="17"/>
      <c r="W146" s="13"/>
      <c r="X146" s="13"/>
    </row>
    <row r="147" spans="7:24" x14ac:dyDescent="0.3">
      <c r="G147" s="22"/>
      <c r="R147" s="22"/>
      <c r="S147" s="17"/>
      <c r="W147" s="13"/>
      <c r="X147" s="13"/>
    </row>
    <row r="148" spans="7:24" x14ac:dyDescent="0.3">
      <c r="G148" s="22"/>
      <c r="R148" s="22"/>
      <c r="S148" s="17"/>
      <c r="W148" s="13"/>
      <c r="X148" s="13"/>
    </row>
    <row r="149" spans="7:24" x14ac:dyDescent="0.3">
      <c r="G149" s="22"/>
      <c r="R149" s="22"/>
      <c r="S149" s="17"/>
      <c r="W149" s="13"/>
      <c r="X149" s="13"/>
    </row>
    <row r="150" spans="7:24" x14ac:dyDescent="0.3">
      <c r="G150" s="22"/>
      <c r="R150" s="22"/>
      <c r="S150" s="17"/>
      <c r="W150" s="13"/>
      <c r="X150" s="13"/>
    </row>
    <row r="151" spans="7:24" x14ac:dyDescent="0.3">
      <c r="G151" s="22"/>
      <c r="R151" s="22"/>
      <c r="S151" s="17"/>
      <c r="W151" s="13"/>
      <c r="X151" s="13"/>
    </row>
    <row r="152" spans="7:24" x14ac:dyDescent="0.3">
      <c r="G152" s="22"/>
      <c r="R152" s="22"/>
      <c r="S152" s="17"/>
      <c r="W152" s="13"/>
      <c r="X152" s="13"/>
    </row>
    <row r="153" spans="7:24" x14ac:dyDescent="0.3">
      <c r="G153" s="22"/>
      <c r="R153" s="22"/>
      <c r="S153" s="17"/>
      <c r="W153" s="13"/>
      <c r="X153" s="13"/>
    </row>
    <row r="154" spans="7:24" x14ac:dyDescent="0.3">
      <c r="G154" s="22"/>
      <c r="R154" s="22"/>
      <c r="S154" s="17"/>
      <c r="W154" s="13"/>
      <c r="X154" s="13"/>
    </row>
    <row r="155" spans="7:24" x14ac:dyDescent="0.3">
      <c r="G155" s="22"/>
      <c r="R155" s="22"/>
      <c r="S155" s="17"/>
      <c r="W155" s="13"/>
      <c r="X155" s="13"/>
    </row>
    <row r="156" spans="7:24" x14ac:dyDescent="0.3">
      <c r="G156" s="22"/>
      <c r="R156" s="22"/>
      <c r="S156" s="17"/>
      <c r="W156" s="13"/>
      <c r="X156" s="13"/>
    </row>
    <row r="157" spans="7:24" x14ac:dyDescent="0.3">
      <c r="G157" s="22"/>
      <c r="R157" s="22"/>
      <c r="S157" s="17"/>
      <c r="W157" s="13"/>
      <c r="X157" s="13"/>
    </row>
    <row r="158" spans="7:24" x14ac:dyDescent="0.3">
      <c r="G158" s="22"/>
      <c r="R158" s="22"/>
      <c r="S158" s="17"/>
      <c r="W158" s="13"/>
      <c r="X158" s="13"/>
    </row>
    <row r="159" spans="7:24" x14ac:dyDescent="0.3">
      <c r="G159" s="22"/>
      <c r="R159" s="22"/>
      <c r="S159" s="17"/>
      <c r="W159" s="13"/>
      <c r="X159" s="13"/>
    </row>
    <row r="160" spans="7:24" x14ac:dyDescent="0.3">
      <c r="G160" s="22"/>
      <c r="R160" s="22"/>
      <c r="S160" s="17"/>
      <c r="W160" s="13"/>
      <c r="X160" s="13"/>
    </row>
    <row r="161" spans="7:24" x14ac:dyDescent="0.3">
      <c r="G161" s="22"/>
      <c r="R161" s="22"/>
      <c r="S161" s="17"/>
      <c r="W161" s="13"/>
      <c r="X161" s="13"/>
    </row>
    <row r="162" spans="7:24" x14ac:dyDescent="0.3">
      <c r="G162" s="22"/>
      <c r="R162" s="22"/>
      <c r="S162" s="17"/>
      <c r="W162" s="13"/>
      <c r="X162" s="13"/>
    </row>
    <row r="163" spans="7:24" x14ac:dyDescent="0.3">
      <c r="G163" s="22"/>
      <c r="R163" s="22"/>
      <c r="S163" s="17"/>
      <c r="W163" s="13"/>
      <c r="X163" s="13"/>
    </row>
    <row r="164" spans="7:24" x14ac:dyDescent="0.3">
      <c r="G164" s="22"/>
      <c r="R164" s="22"/>
      <c r="S164" s="17"/>
      <c r="W164" s="13"/>
      <c r="X164" s="13"/>
    </row>
    <row r="165" spans="7:24" x14ac:dyDescent="0.3">
      <c r="G165" s="22"/>
      <c r="R165" s="22"/>
      <c r="S165" s="17"/>
      <c r="W165" s="13"/>
      <c r="X165" s="13"/>
    </row>
    <row r="166" spans="7:24" x14ac:dyDescent="0.3">
      <c r="G166" s="22"/>
      <c r="R166" s="22"/>
      <c r="S166" s="17"/>
      <c r="W166" s="13"/>
      <c r="X166" s="13"/>
    </row>
    <row r="167" spans="7:24" x14ac:dyDescent="0.3">
      <c r="G167" s="22"/>
      <c r="R167" s="22"/>
      <c r="S167" s="17"/>
      <c r="W167" s="13"/>
      <c r="X167" s="13"/>
    </row>
    <row r="168" spans="7:24" x14ac:dyDescent="0.3">
      <c r="G168" s="22"/>
      <c r="R168" s="22"/>
      <c r="S168" s="17"/>
      <c r="W168" s="13"/>
      <c r="X168" s="13"/>
    </row>
    <row r="169" spans="7:24" x14ac:dyDescent="0.3">
      <c r="G169" s="22"/>
      <c r="R169" s="22"/>
      <c r="S169" s="17"/>
      <c r="W169" s="13"/>
      <c r="X169" s="13"/>
    </row>
    <row r="170" spans="7:24" x14ac:dyDescent="0.3">
      <c r="G170" s="22"/>
      <c r="R170" s="22"/>
      <c r="S170" s="17"/>
      <c r="W170" s="13"/>
      <c r="X170" s="13"/>
    </row>
    <row r="171" spans="7:24" x14ac:dyDescent="0.3">
      <c r="G171" s="22"/>
      <c r="R171" s="22"/>
      <c r="S171" s="17"/>
      <c r="W171" s="13"/>
      <c r="X171" s="13"/>
    </row>
    <row r="172" spans="7:24" x14ac:dyDescent="0.3">
      <c r="G172" s="22"/>
      <c r="R172" s="22"/>
      <c r="S172" s="17"/>
      <c r="W172" s="13"/>
      <c r="X172" s="13"/>
    </row>
    <row r="173" spans="7:24" x14ac:dyDescent="0.3">
      <c r="G173" s="22"/>
      <c r="R173" s="22"/>
      <c r="S173" s="17"/>
      <c r="W173" s="13"/>
      <c r="X173" s="13"/>
    </row>
    <row r="174" spans="7:24" x14ac:dyDescent="0.3">
      <c r="G174" s="22"/>
      <c r="R174" s="22"/>
      <c r="S174" s="17"/>
      <c r="W174" s="13"/>
      <c r="X174" s="13"/>
    </row>
    <row r="175" spans="7:24" x14ac:dyDescent="0.3">
      <c r="G175" s="22"/>
      <c r="R175" s="22"/>
      <c r="S175" s="17"/>
      <c r="W175" s="13"/>
      <c r="X175" s="13"/>
    </row>
    <row r="176" spans="7:24" x14ac:dyDescent="0.3">
      <c r="G176" s="22"/>
      <c r="R176" s="22"/>
      <c r="S176" s="17"/>
      <c r="W176" s="13"/>
      <c r="X176" s="13"/>
    </row>
    <row r="177" spans="7:24" x14ac:dyDescent="0.3">
      <c r="G177" s="22"/>
      <c r="R177" s="22"/>
      <c r="S177" s="17"/>
      <c r="W177" s="13"/>
      <c r="X177" s="13"/>
    </row>
    <row r="178" spans="7:24" x14ac:dyDescent="0.3">
      <c r="G178" s="22"/>
      <c r="R178" s="22"/>
      <c r="S178" s="17"/>
      <c r="W178" s="13"/>
      <c r="X178" s="13"/>
    </row>
    <row r="179" spans="7:24" x14ac:dyDescent="0.3">
      <c r="G179" s="22"/>
      <c r="R179" s="22"/>
      <c r="S179" s="17"/>
      <c r="W179" s="13"/>
      <c r="X179" s="13"/>
    </row>
    <row r="180" spans="7:24" x14ac:dyDescent="0.3">
      <c r="G180" s="22"/>
      <c r="R180" s="22"/>
      <c r="S180" s="17"/>
      <c r="W180" s="13"/>
      <c r="X180" s="13"/>
    </row>
    <row r="181" spans="7:24" x14ac:dyDescent="0.3">
      <c r="G181" s="22"/>
      <c r="R181" s="22"/>
      <c r="S181" s="17"/>
      <c r="W181" s="13"/>
      <c r="X181" s="13"/>
    </row>
    <row r="182" spans="7:24" x14ac:dyDescent="0.3">
      <c r="G182" s="22"/>
      <c r="R182" s="22"/>
      <c r="S182" s="17"/>
      <c r="W182" s="13"/>
      <c r="X182" s="13"/>
    </row>
    <row r="183" spans="7:24" x14ac:dyDescent="0.3">
      <c r="G183" s="22"/>
      <c r="R183" s="22"/>
      <c r="S183" s="17"/>
      <c r="W183" s="13"/>
      <c r="X183" s="13"/>
    </row>
    <row r="184" spans="7:24" x14ac:dyDescent="0.3">
      <c r="G184" s="22"/>
      <c r="R184" s="22"/>
      <c r="S184" s="17"/>
      <c r="W184" s="13"/>
      <c r="X184" s="13"/>
    </row>
    <row r="185" spans="7:24" x14ac:dyDescent="0.3">
      <c r="G185" s="22"/>
      <c r="R185" s="22"/>
      <c r="S185" s="17"/>
      <c r="W185" s="13"/>
      <c r="X185" s="13"/>
    </row>
    <row r="186" spans="7:24" x14ac:dyDescent="0.3">
      <c r="G186" s="22"/>
      <c r="R186" s="22"/>
      <c r="S186" s="17"/>
      <c r="W186" s="13"/>
      <c r="X186" s="13"/>
    </row>
    <row r="187" spans="7:24" x14ac:dyDescent="0.3">
      <c r="G187" s="22"/>
      <c r="R187" s="22"/>
      <c r="S187" s="17"/>
      <c r="W187" s="13"/>
      <c r="X187" s="13"/>
    </row>
    <row r="188" spans="7:24" x14ac:dyDescent="0.3">
      <c r="G188" s="22"/>
      <c r="R188" s="22"/>
      <c r="S188" s="17"/>
      <c r="W188" s="13"/>
      <c r="X188" s="13"/>
    </row>
    <row r="189" spans="7:24" x14ac:dyDescent="0.3">
      <c r="G189" s="22"/>
      <c r="R189" s="22"/>
      <c r="S189" s="17"/>
      <c r="W189" s="13"/>
      <c r="X189" s="13"/>
    </row>
    <row r="190" spans="7:24" x14ac:dyDescent="0.3">
      <c r="G190" s="22"/>
      <c r="R190" s="22"/>
      <c r="S190" s="17"/>
      <c r="W190" s="13"/>
      <c r="X190" s="13"/>
    </row>
    <row r="191" spans="7:24" x14ac:dyDescent="0.3">
      <c r="G191" s="22"/>
      <c r="R191" s="22"/>
      <c r="S191" s="17"/>
      <c r="W191" s="13"/>
      <c r="X191" s="13"/>
    </row>
    <row r="192" spans="7:24" x14ac:dyDescent="0.3">
      <c r="G192" s="22"/>
      <c r="R192" s="22"/>
      <c r="S192" s="17"/>
      <c r="W192" s="13"/>
      <c r="X192" s="13"/>
    </row>
    <row r="193" spans="7:24" x14ac:dyDescent="0.3">
      <c r="G193" s="22"/>
      <c r="R193" s="22"/>
      <c r="S193" s="17"/>
      <c r="W193" s="13"/>
      <c r="X193" s="13"/>
    </row>
    <row r="194" spans="7:24" x14ac:dyDescent="0.3">
      <c r="G194" s="22"/>
      <c r="R194" s="22"/>
      <c r="S194" s="17"/>
      <c r="W194" s="13"/>
      <c r="X194" s="13"/>
    </row>
    <row r="195" spans="7:24" x14ac:dyDescent="0.3">
      <c r="G195" s="22"/>
      <c r="R195" s="22"/>
      <c r="S195" s="17"/>
      <c r="W195" s="13"/>
      <c r="X195" s="13"/>
    </row>
    <row r="196" spans="7:24" x14ac:dyDescent="0.3">
      <c r="G196" s="22"/>
      <c r="R196" s="22"/>
      <c r="S196" s="17"/>
      <c r="W196" s="13"/>
      <c r="X196" s="13"/>
    </row>
    <row r="197" spans="7:24" x14ac:dyDescent="0.3">
      <c r="G197" s="22"/>
      <c r="R197" s="22"/>
      <c r="S197" s="17"/>
      <c r="W197" s="13"/>
      <c r="X197" s="13"/>
    </row>
    <row r="198" spans="7:24" x14ac:dyDescent="0.3">
      <c r="G198" s="22"/>
      <c r="R198" s="22"/>
      <c r="S198" s="17"/>
      <c r="W198" s="13"/>
      <c r="X198" s="13"/>
    </row>
    <row r="199" spans="7:24" x14ac:dyDescent="0.3">
      <c r="G199" s="22"/>
      <c r="R199" s="22"/>
      <c r="S199" s="17"/>
      <c r="W199" s="13"/>
      <c r="X199" s="13"/>
    </row>
    <row r="200" spans="7:24" x14ac:dyDescent="0.3">
      <c r="G200" s="22"/>
      <c r="R200" s="22"/>
      <c r="S200" s="17"/>
      <c r="W200" s="13"/>
      <c r="X200" s="13"/>
    </row>
    <row r="201" spans="7:24" x14ac:dyDescent="0.3">
      <c r="G201" s="22"/>
      <c r="R201" s="22"/>
      <c r="S201" s="17"/>
      <c r="W201" s="13"/>
      <c r="X201" s="13"/>
    </row>
    <row r="202" spans="7:24" x14ac:dyDescent="0.3">
      <c r="G202" s="22"/>
      <c r="R202" s="22"/>
      <c r="S202" s="17"/>
      <c r="W202" s="13"/>
      <c r="X202" s="13"/>
    </row>
    <row r="203" spans="7:24" x14ac:dyDescent="0.3">
      <c r="G203" s="22"/>
      <c r="R203" s="22"/>
      <c r="S203" s="17"/>
      <c r="W203" s="13"/>
      <c r="X203" s="13"/>
    </row>
    <row r="204" spans="7:24" x14ac:dyDescent="0.3">
      <c r="G204" s="22"/>
      <c r="R204" s="22"/>
      <c r="S204" s="17"/>
      <c r="W204" s="13"/>
      <c r="X204" s="13"/>
    </row>
    <row r="205" spans="7:24" x14ac:dyDescent="0.3">
      <c r="G205" s="22"/>
      <c r="R205" s="22"/>
      <c r="S205" s="17"/>
      <c r="W205" s="13"/>
      <c r="X205" s="13"/>
    </row>
    <row r="206" spans="7:24" x14ac:dyDescent="0.3">
      <c r="G206" s="22"/>
      <c r="R206" s="22"/>
      <c r="S206" s="17"/>
      <c r="W206" s="13"/>
      <c r="X206" s="13"/>
    </row>
    <row r="207" spans="7:24" x14ac:dyDescent="0.3">
      <c r="G207" s="22"/>
      <c r="R207" s="22"/>
      <c r="S207" s="17"/>
      <c r="W207" s="13"/>
      <c r="X207" s="13"/>
    </row>
    <row r="208" spans="7:24" x14ac:dyDescent="0.3">
      <c r="G208" s="22"/>
      <c r="R208" s="22"/>
      <c r="S208" s="17"/>
      <c r="W208" s="13"/>
      <c r="X208" s="13"/>
    </row>
    <row r="209" spans="7:24" x14ac:dyDescent="0.3">
      <c r="G209" s="22"/>
      <c r="R209" s="22"/>
      <c r="S209" s="17"/>
      <c r="W209" s="13"/>
      <c r="X209" s="13"/>
    </row>
    <row r="210" spans="7:24" x14ac:dyDescent="0.3">
      <c r="G210" s="22"/>
      <c r="R210" s="22"/>
      <c r="S210" s="17"/>
      <c r="W210" s="13"/>
      <c r="X210" s="13"/>
    </row>
    <row r="211" spans="7:24" x14ac:dyDescent="0.3">
      <c r="G211" s="22"/>
      <c r="R211" s="22"/>
      <c r="S211" s="17"/>
      <c r="W211" s="13"/>
      <c r="X211" s="13"/>
    </row>
    <row r="212" spans="7:24" x14ac:dyDescent="0.3">
      <c r="G212" s="22"/>
      <c r="R212" s="22"/>
      <c r="S212" s="17"/>
      <c r="W212" s="13"/>
      <c r="X212" s="13"/>
    </row>
    <row r="213" spans="7:24" x14ac:dyDescent="0.3">
      <c r="G213" s="22"/>
      <c r="R213" s="22"/>
      <c r="S213" s="17"/>
      <c r="W213" s="13"/>
      <c r="X213" s="13"/>
    </row>
    <row r="214" spans="7:24" x14ac:dyDescent="0.3">
      <c r="G214" s="22"/>
      <c r="R214" s="22"/>
      <c r="S214" s="17"/>
      <c r="W214" s="13"/>
      <c r="X214" s="13"/>
    </row>
    <row r="215" spans="7:24" x14ac:dyDescent="0.3">
      <c r="G215" s="22"/>
      <c r="R215" s="22"/>
      <c r="S215" s="17"/>
      <c r="W215" s="13"/>
      <c r="X215" s="13"/>
    </row>
    <row r="216" spans="7:24" x14ac:dyDescent="0.3">
      <c r="G216" s="22"/>
      <c r="R216" s="22"/>
      <c r="S216" s="17"/>
      <c r="W216" s="13"/>
      <c r="X216" s="13"/>
    </row>
    <row r="217" spans="7:24" x14ac:dyDescent="0.3">
      <c r="G217" s="22"/>
      <c r="R217" s="22"/>
      <c r="S217" s="17"/>
      <c r="W217" s="13"/>
      <c r="X217" s="13"/>
    </row>
    <row r="218" spans="7:24" x14ac:dyDescent="0.3">
      <c r="G218" s="22"/>
      <c r="R218" s="22"/>
      <c r="S218" s="17"/>
      <c r="W218" s="13"/>
      <c r="X218" s="13"/>
    </row>
    <row r="219" spans="7:24" x14ac:dyDescent="0.3">
      <c r="R219" s="22"/>
      <c r="S219" s="17"/>
      <c r="W219" s="13"/>
      <c r="X219" s="13"/>
    </row>
    <row r="220" spans="7:24" x14ac:dyDescent="0.3">
      <c r="R220" s="22"/>
      <c r="S220" s="17"/>
      <c r="W220" s="13"/>
      <c r="X220" s="13"/>
    </row>
    <row r="221" spans="7:24" x14ac:dyDescent="0.3">
      <c r="R221" s="22"/>
      <c r="S221" s="17"/>
      <c r="W221" s="13"/>
      <c r="X221" s="13"/>
    </row>
    <row r="222" spans="7:24" x14ac:dyDescent="0.3">
      <c r="R222" s="22"/>
      <c r="S222" s="17"/>
      <c r="W222" s="13"/>
      <c r="X222" s="13"/>
    </row>
    <row r="223" spans="7:24" x14ac:dyDescent="0.3">
      <c r="R223" s="22"/>
      <c r="S223" s="17"/>
      <c r="W223" s="13"/>
      <c r="X223" s="13"/>
    </row>
    <row r="224" spans="7:24" x14ac:dyDescent="0.3">
      <c r="R224" s="22"/>
      <c r="S224" s="17"/>
      <c r="W224" s="13"/>
      <c r="X224" s="13"/>
    </row>
    <row r="225" spans="18:24" x14ac:dyDescent="0.3">
      <c r="R225" s="22"/>
      <c r="S225" s="17"/>
      <c r="W225" s="13"/>
      <c r="X225" s="13"/>
    </row>
    <row r="226" spans="18:24" x14ac:dyDescent="0.3">
      <c r="R226" s="22"/>
      <c r="S226" s="17"/>
      <c r="W226" s="13"/>
      <c r="X226" s="13"/>
    </row>
    <row r="227" spans="18:24" x14ac:dyDescent="0.3">
      <c r="R227" s="22"/>
      <c r="S227" s="17"/>
      <c r="W227" s="13"/>
      <c r="X227" s="13"/>
    </row>
    <row r="228" spans="18:24" x14ac:dyDescent="0.3">
      <c r="R228" s="22"/>
      <c r="S228" s="17"/>
      <c r="W228" s="13"/>
      <c r="X228" s="13"/>
    </row>
    <row r="229" spans="18:24" x14ac:dyDescent="0.3">
      <c r="R229" s="22"/>
      <c r="S229" s="17"/>
      <c r="W229" s="13"/>
      <c r="X229" s="13"/>
    </row>
    <row r="230" spans="18:24" x14ac:dyDescent="0.3">
      <c r="R230" s="22"/>
      <c r="S230" s="17"/>
      <c r="W230" s="13"/>
      <c r="X230" s="13"/>
    </row>
    <row r="231" spans="18:24" x14ac:dyDescent="0.3">
      <c r="R231" s="22"/>
      <c r="S231" s="17"/>
      <c r="W231" s="13"/>
      <c r="X231" s="13"/>
    </row>
    <row r="232" spans="18:24" x14ac:dyDescent="0.3">
      <c r="R232" s="22"/>
      <c r="S232" s="17"/>
      <c r="W232" s="13"/>
      <c r="X232" s="13"/>
    </row>
    <row r="233" spans="18:24" x14ac:dyDescent="0.3">
      <c r="R233" s="22"/>
      <c r="S233" s="17"/>
      <c r="W233" s="13"/>
      <c r="X233" s="13"/>
    </row>
    <row r="234" spans="18:24" x14ac:dyDescent="0.3">
      <c r="R234" s="22"/>
      <c r="S234" s="17"/>
      <c r="W234" s="13"/>
      <c r="X234" s="13"/>
    </row>
    <row r="235" spans="18:24" x14ac:dyDescent="0.3">
      <c r="R235" s="22"/>
      <c r="S235" s="17"/>
      <c r="W235" s="13"/>
      <c r="X235" s="13"/>
    </row>
    <row r="236" spans="18:24" x14ac:dyDescent="0.3">
      <c r="R236" s="22"/>
      <c r="S236" s="17"/>
      <c r="W236" s="13"/>
      <c r="X236" s="13"/>
    </row>
    <row r="237" spans="18:24" x14ac:dyDescent="0.3">
      <c r="R237" s="22"/>
      <c r="S237" s="17"/>
      <c r="W237" s="13"/>
      <c r="X237" s="13"/>
    </row>
    <row r="238" spans="18:24" x14ac:dyDescent="0.3">
      <c r="R238" s="22"/>
      <c r="S238" s="17"/>
      <c r="W238" s="13"/>
      <c r="X238" s="13"/>
    </row>
    <row r="239" spans="18:24" x14ac:dyDescent="0.3">
      <c r="R239" s="22"/>
      <c r="S239" s="17"/>
      <c r="W239" s="13"/>
      <c r="X239" s="13"/>
    </row>
    <row r="240" spans="18:24" x14ac:dyDescent="0.3">
      <c r="R240" s="22"/>
      <c r="S240" s="17"/>
      <c r="W240" s="13"/>
      <c r="X240" s="13"/>
    </row>
    <row r="241" spans="18:24" x14ac:dyDescent="0.3">
      <c r="R241" s="22"/>
      <c r="S241" s="17"/>
      <c r="W241" s="13"/>
      <c r="X241" s="13"/>
    </row>
    <row r="242" spans="18:24" x14ac:dyDescent="0.3">
      <c r="R242" s="22"/>
      <c r="S242" s="17"/>
      <c r="W242" s="13"/>
      <c r="X242" s="13"/>
    </row>
    <row r="243" spans="18:24" x14ac:dyDescent="0.3">
      <c r="R243" s="22"/>
      <c r="S243" s="17"/>
      <c r="W243" s="13"/>
      <c r="X243" s="13"/>
    </row>
    <row r="244" spans="18:24" x14ac:dyDescent="0.3">
      <c r="R244" s="22"/>
      <c r="S244" s="17"/>
      <c r="W244" s="13"/>
      <c r="X244" s="13"/>
    </row>
    <row r="245" spans="18:24" x14ac:dyDescent="0.3">
      <c r="R245" s="22"/>
      <c r="S245" s="17"/>
      <c r="W245" s="13"/>
      <c r="X245" s="13"/>
    </row>
    <row r="246" spans="18:24" x14ac:dyDescent="0.3">
      <c r="R246" s="22"/>
      <c r="S246" s="17"/>
      <c r="W246" s="13"/>
      <c r="X246" s="13"/>
    </row>
    <row r="247" spans="18:24" x14ac:dyDescent="0.3">
      <c r="R247" s="22"/>
      <c r="S247" s="17"/>
      <c r="W247" s="13"/>
      <c r="X247" s="13"/>
    </row>
    <row r="248" spans="18:24" x14ac:dyDescent="0.3">
      <c r="R248" s="22"/>
      <c r="S248" s="17"/>
      <c r="W248" s="13"/>
      <c r="X248" s="13"/>
    </row>
    <row r="249" spans="18:24" x14ac:dyDescent="0.3">
      <c r="R249" s="22"/>
      <c r="S249" s="17"/>
      <c r="W249" s="13"/>
      <c r="X249" s="13"/>
    </row>
    <row r="250" spans="18:24" x14ac:dyDescent="0.3">
      <c r="R250" s="22"/>
      <c r="S250" s="17"/>
      <c r="W250" s="13"/>
      <c r="X250" s="13"/>
    </row>
    <row r="251" spans="18:24" x14ac:dyDescent="0.3">
      <c r="R251" s="22"/>
      <c r="S251" s="17"/>
      <c r="W251" s="13"/>
      <c r="X251" s="13"/>
    </row>
    <row r="252" spans="18:24" x14ac:dyDescent="0.3">
      <c r="R252" s="22"/>
      <c r="S252" s="17"/>
      <c r="W252" s="13"/>
      <c r="X252" s="13"/>
    </row>
    <row r="253" spans="18:24" x14ac:dyDescent="0.3">
      <c r="R253" s="22"/>
      <c r="S253" s="17"/>
      <c r="W253" s="13"/>
      <c r="X253" s="13"/>
    </row>
    <row r="254" spans="18:24" x14ac:dyDescent="0.3">
      <c r="R254" s="22"/>
      <c r="S254" s="17"/>
      <c r="W254" s="13"/>
      <c r="X254" s="13"/>
    </row>
    <row r="255" spans="18:24" x14ac:dyDescent="0.3">
      <c r="R255" s="22"/>
      <c r="S255" s="17"/>
      <c r="W255" s="13"/>
      <c r="X255" s="13"/>
    </row>
    <row r="256" spans="18:24" x14ac:dyDescent="0.3">
      <c r="R256" s="22"/>
      <c r="S256" s="17"/>
      <c r="W256" s="13"/>
      <c r="X256" s="13"/>
    </row>
    <row r="257" spans="18:24" x14ac:dyDescent="0.3">
      <c r="R257" s="22"/>
      <c r="S257" s="17"/>
      <c r="W257" s="13"/>
      <c r="X257" s="13"/>
    </row>
    <row r="258" spans="18:24" x14ac:dyDescent="0.3">
      <c r="R258" s="22"/>
      <c r="S258" s="17"/>
      <c r="W258" s="13"/>
      <c r="X258" s="13"/>
    </row>
    <row r="259" spans="18:24" x14ac:dyDescent="0.3">
      <c r="R259" s="22"/>
      <c r="S259" s="17"/>
      <c r="W259" s="13"/>
      <c r="X259" s="13"/>
    </row>
    <row r="260" spans="18:24" x14ac:dyDescent="0.3">
      <c r="R260" s="22"/>
      <c r="S260" s="17"/>
      <c r="W260" s="13"/>
      <c r="X260" s="13"/>
    </row>
    <row r="261" spans="18:24" x14ac:dyDescent="0.3">
      <c r="R261" s="22"/>
      <c r="S261" s="17"/>
      <c r="W261" s="13"/>
      <c r="X261" s="13"/>
    </row>
    <row r="262" spans="18:24" x14ac:dyDescent="0.3">
      <c r="R262" s="22"/>
      <c r="S262" s="17"/>
      <c r="W262" s="13"/>
      <c r="X262" s="13"/>
    </row>
    <row r="263" spans="18:24" x14ac:dyDescent="0.3">
      <c r="R263" s="22"/>
      <c r="S263" s="17"/>
      <c r="W263" s="13"/>
      <c r="X263" s="13"/>
    </row>
    <row r="264" spans="18:24" x14ac:dyDescent="0.3">
      <c r="R264" s="22"/>
      <c r="S264" s="17"/>
      <c r="W264" s="13"/>
      <c r="X264" s="13"/>
    </row>
    <row r="265" spans="18:24" x14ac:dyDescent="0.3">
      <c r="R265" s="22"/>
      <c r="S265" s="17"/>
      <c r="W265" s="13"/>
      <c r="X265" s="13"/>
    </row>
    <row r="266" spans="18:24" x14ac:dyDescent="0.3">
      <c r="R266" s="22"/>
      <c r="S266" s="17"/>
      <c r="W266" s="13"/>
      <c r="X266" s="13"/>
    </row>
    <row r="267" spans="18:24" x14ac:dyDescent="0.3">
      <c r="R267" s="22"/>
      <c r="S267" s="17"/>
      <c r="W267" s="13"/>
      <c r="X267" s="13"/>
    </row>
    <row r="268" spans="18:24" x14ac:dyDescent="0.3">
      <c r="R268" s="22"/>
      <c r="S268" s="17"/>
      <c r="W268" s="13"/>
      <c r="X268" s="13"/>
    </row>
    <row r="269" spans="18:24" x14ac:dyDescent="0.3">
      <c r="R269" s="22"/>
      <c r="S269" s="17"/>
      <c r="W269" s="13"/>
      <c r="X269" s="13"/>
    </row>
    <row r="270" spans="18:24" x14ac:dyDescent="0.3">
      <c r="R270" s="22"/>
      <c r="S270" s="17"/>
      <c r="W270" s="13"/>
      <c r="X270" s="13"/>
    </row>
    <row r="271" spans="18:24" x14ac:dyDescent="0.3">
      <c r="R271" s="22"/>
      <c r="S271" s="17"/>
      <c r="W271" s="13"/>
      <c r="X271" s="13"/>
    </row>
    <row r="272" spans="18:24" x14ac:dyDescent="0.3">
      <c r="R272" s="22"/>
      <c r="S272" s="17"/>
      <c r="W272" s="13"/>
      <c r="X272" s="13"/>
    </row>
    <row r="273" spans="18:24" x14ac:dyDescent="0.3">
      <c r="R273" s="22"/>
      <c r="S273" s="17"/>
      <c r="W273" s="13"/>
      <c r="X273" s="13"/>
    </row>
    <row r="274" spans="18:24" x14ac:dyDescent="0.3">
      <c r="R274" s="22"/>
      <c r="S274" s="17"/>
      <c r="W274" s="13"/>
      <c r="X274" s="13"/>
    </row>
    <row r="275" spans="18:24" x14ac:dyDescent="0.3">
      <c r="R275" s="22"/>
      <c r="S275" s="17"/>
      <c r="W275" s="13"/>
      <c r="X275" s="13"/>
    </row>
    <row r="276" spans="18:24" x14ac:dyDescent="0.3">
      <c r="R276" s="22"/>
      <c r="S276" s="17"/>
      <c r="W276" s="13"/>
      <c r="X276" s="13"/>
    </row>
    <row r="277" spans="18:24" x14ac:dyDescent="0.3">
      <c r="R277" s="22"/>
      <c r="S277" s="17"/>
      <c r="W277" s="13"/>
      <c r="X277" s="13"/>
    </row>
    <row r="278" spans="18:24" x14ac:dyDescent="0.3">
      <c r="R278" s="22"/>
      <c r="S278" s="17"/>
      <c r="W278" s="13"/>
      <c r="X278" s="13"/>
    </row>
    <row r="279" spans="18:24" x14ac:dyDescent="0.3">
      <c r="R279" s="22"/>
      <c r="S279" s="17"/>
      <c r="W279" s="13"/>
      <c r="X279" s="13"/>
    </row>
    <row r="280" spans="18:24" x14ac:dyDescent="0.3">
      <c r="R280" s="22"/>
      <c r="S280" s="17"/>
      <c r="W280" s="13"/>
      <c r="X280" s="13"/>
    </row>
    <row r="281" spans="18:24" x14ac:dyDescent="0.3">
      <c r="R281" s="22"/>
      <c r="S281" s="17"/>
      <c r="W281" s="13"/>
      <c r="X281" s="13"/>
    </row>
    <row r="282" spans="18:24" x14ac:dyDescent="0.3">
      <c r="R282" s="22"/>
      <c r="S282" s="17"/>
      <c r="W282" s="13"/>
      <c r="X282" s="13"/>
    </row>
    <row r="283" spans="18:24" x14ac:dyDescent="0.3">
      <c r="R283" s="22"/>
      <c r="S283" s="17"/>
      <c r="W283" s="13"/>
      <c r="X283" s="13"/>
    </row>
    <row r="284" spans="18:24" x14ac:dyDescent="0.3">
      <c r="R284" s="22"/>
      <c r="S284" s="17"/>
      <c r="W284" s="13"/>
      <c r="X284" s="13"/>
    </row>
    <row r="285" spans="18:24" x14ac:dyDescent="0.3">
      <c r="R285" s="22"/>
      <c r="S285" s="17"/>
      <c r="W285" s="13"/>
      <c r="X285" s="13"/>
    </row>
    <row r="286" spans="18:24" x14ac:dyDescent="0.3">
      <c r="R286" s="22"/>
      <c r="S286" s="17"/>
      <c r="W286" s="13"/>
      <c r="X286" s="13"/>
    </row>
    <row r="287" spans="18:24" x14ac:dyDescent="0.3">
      <c r="R287" s="22"/>
      <c r="S287" s="17"/>
      <c r="W287" s="13"/>
      <c r="X287" s="13"/>
    </row>
    <row r="288" spans="18:24" x14ac:dyDescent="0.3">
      <c r="R288" s="22"/>
      <c r="S288" s="17"/>
      <c r="W288" s="13"/>
      <c r="X288" s="13"/>
    </row>
    <row r="289" spans="18:24" x14ac:dyDescent="0.3">
      <c r="R289" s="22"/>
      <c r="S289" s="17"/>
      <c r="W289" s="13"/>
      <c r="X289" s="13"/>
    </row>
    <row r="290" spans="18:24" x14ac:dyDescent="0.3">
      <c r="R290" s="22"/>
      <c r="S290" s="17"/>
      <c r="W290" s="13"/>
      <c r="X290" s="13"/>
    </row>
    <row r="291" spans="18:24" x14ac:dyDescent="0.3">
      <c r="R291" s="22"/>
      <c r="S291" s="17"/>
      <c r="W291" s="13"/>
      <c r="X291" s="13"/>
    </row>
    <row r="292" spans="18:24" x14ac:dyDescent="0.3">
      <c r="R292" s="22"/>
      <c r="S292" s="17"/>
      <c r="W292" s="13"/>
      <c r="X292" s="13"/>
    </row>
    <row r="293" spans="18:24" x14ac:dyDescent="0.3">
      <c r="R293" s="22"/>
      <c r="S293" s="17"/>
      <c r="W293" s="13"/>
      <c r="X293" s="13"/>
    </row>
    <row r="294" spans="18:24" x14ac:dyDescent="0.3">
      <c r="R294" s="22"/>
      <c r="S294" s="17"/>
      <c r="W294" s="13"/>
      <c r="X294" s="13"/>
    </row>
    <row r="295" spans="18:24" x14ac:dyDescent="0.3">
      <c r="R295" s="22"/>
      <c r="S295" s="17"/>
      <c r="W295" s="13"/>
      <c r="X295" s="13"/>
    </row>
    <row r="296" spans="18:24" x14ac:dyDescent="0.3">
      <c r="R296" s="22"/>
      <c r="S296" s="17"/>
      <c r="W296" s="13"/>
      <c r="X296" s="13"/>
    </row>
    <row r="297" spans="18:24" x14ac:dyDescent="0.3">
      <c r="R297" s="22"/>
      <c r="S297" s="17"/>
      <c r="W297" s="13"/>
      <c r="X297" s="13"/>
    </row>
    <row r="298" spans="18:24" x14ac:dyDescent="0.3">
      <c r="R298" s="22"/>
      <c r="S298" s="17"/>
      <c r="W298" s="13"/>
      <c r="X298" s="13"/>
    </row>
    <row r="299" spans="18:24" x14ac:dyDescent="0.3">
      <c r="R299" s="22"/>
      <c r="S299" s="17"/>
      <c r="W299" s="13"/>
      <c r="X299" s="13"/>
    </row>
    <row r="300" spans="18:24" x14ac:dyDescent="0.3">
      <c r="R300" s="22"/>
      <c r="S300" s="17"/>
      <c r="W300" s="13"/>
      <c r="X300" s="13"/>
    </row>
    <row r="301" spans="18:24" x14ac:dyDescent="0.3">
      <c r="R301" s="22"/>
      <c r="S301" s="17"/>
      <c r="W301" s="13"/>
      <c r="X301" s="13"/>
    </row>
    <row r="302" spans="18:24" x14ac:dyDescent="0.3">
      <c r="R302" s="22"/>
      <c r="S302" s="17"/>
      <c r="W302" s="13"/>
      <c r="X302" s="13"/>
    </row>
    <row r="303" spans="18:24" x14ac:dyDescent="0.3">
      <c r="R303" s="22"/>
      <c r="S303" s="17"/>
      <c r="W303" s="13"/>
      <c r="X303" s="13"/>
    </row>
    <row r="304" spans="18:24" x14ac:dyDescent="0.3">
      <c r="R304" s="22"/>
      <c r="S304" s="17"/>
      <c r="W304" s="13"/>
      <c r="X304" s="13"/>
    </row>
    <row r="305" spans="18:24" x14ac:dyDescent="0.3">
      <c r="R305" s="22"/>
      <c r="S305" s="17"/>
      <c r="W305" s="13"/>
      <c r="X305" s="13"/>
    </row>
    <row r="306" spans="18:24" x14ac:dyDescent="0.3">
      <c r="R306" s="22"/>
      <c r="S306" s="17"/>
      <c r="W306" s="13"/>
      <c r="X306" s="13"/>
    </row>
    <row r="307" spans="18:24" x14ac:dyDescent="0.3">
      <c r="R307" s="22"/>
      <c r="S307" s="17"/>
      <c r="W307" s="13"/>
      <c r="X307" s="13"/>
    </row>
    <row r="308" spans="18:24" x14ac:dyDescent="0.3">
      <c r="R308" s="22"/>
      <c r="S308" s="17"/>
      <c r="W308" s="13"/>
      <c r="X308" s="13"/>
    </row>
    <row r="309" spans="18:24" x14ac:dyDescent="0.3">
      <c r="R309" s="22"/>
      <c r="S309" s="17"/>
      <c r="W309" s="13"/>
      <c r="X309" s="13"/>
    </row>
    <row r="310" spans="18:24" x14ac:dyDescent="0.3">
      <c r="R310" s="22"/>
      <c r="S310" s="17"/>
      <c r="W310" s="13"/>
      <c r="X310" s="13"/>
    </row>
    <row r="311" spans="18:24" x14ac:dyDescent="0.3">
      <c r="R311" s="22"/>
      <c r="S311" s="17"/>
      <c r="W311" s="13"/>
      <c r="X311" s="13"/>
    </row>
    <row r="312" spans="18:24" x14ac:dyDescent="0.3">
      <c r="R312" s="22"/>
      <c r="S312" s="17"/>
      <c r="W312" s="13"/>
      <c r="X312" s="13"/>
    </row>
    <row r="313" spans="18:24" x14ac:dyDescent="0.3">
      <c r="R313" s="22"/>
      <c r="S313" s="17"/>
      <c r="W313" s="13"/>
      <c r="X313" s="13"/>
    </row>
    <row r="314" spans="18:24" x14ac:dyDescent="0.3">
      <c r="R314" s="22"/>
      <c r="S314" s="17"/>
      <c r="W314" s="13"/>
      <c r="X314" s="13"/>
    </row>
    <row r="315" spans="18:24" x14ac:dyDescent="0.3">
      <c r="R315" s="22"/>
      <c r="S315" s="17"/>
      <c r="W315" s="13"/>
      <c r="X315" s="13"/>
    </row>
    <row r="316" spans="18:24" x14ac:dyDescent="0.3">
      <c r="R316" s="22"/>
      <c r="S316" s="17"/>
      <c r="W316" s="13"/>
      <c r="X316" s="13"/>
    </row>
    <row r="317" spans="18:24" x14ac:dyDescent="0.3">
      <c r="R317" s="22"/>
      <c r="S317" s="17"/>
      <c r="W317" s="13"/>
      <c r="X317" s="13"/>
    </row>
    <row r="318" spans="18:24" x14ac:dyDescent="0.3">
      <c r="R318" s="22"/>
      <c r="S318" s="17"/>
      <c r="W318" s="13"/>
      <c r="X318" s="13"/>
    </row>
    <row r="319" spans="18:24" x14ac:dyDescent="0.3">
      <c r="R319" s="22"/>
      <c r="S319" s="17"/>
      <c r="W319" s="13"/>
      <c r="X319" s="13"/>
    </row>
    <row r="320" spans="18:24" x14ac:dyDescent="0.3">
      <c r="R320" s="22"/>
      <c r="S320" s="17"/>
      <c r="W320" s="13"/>
      <c r="X320" s="13"/>
    </row>
    <row r="321" spans="18:24" x14ac:dyDescent="0.3">
      <c r="R321" s="22"/>
      <c r="S321" s="17"/>
      <c r="W321" s="13"/>
      <c r="X321" s="13"/>
    </row>
    <row r="322" spans="18:24" x14ac:dyDescent="0.3">
      <c r="R322" s="22"/>
      <c r="S322" s="17"/>
      <c r="W322" s="13"/>
      <c r="X322" s="13"/>
    </row>
    <row r="323" spans="18:24" x14ac:dyDescent="0.3">
      <c r="R323" s="22"/>
      <c r="S323" s="17"/>
      <c r="W323" s="13"/>
      <c r="X323" s="13"/>
    </row>
    <row r="324" spans="18:24" x14ac:dyDescent="0.3">
      <c r="R324" s="22"/>
      <c r="S324" s="17"/>
      <c r="W324" s="13"/>
      <c r="X324" s="13"/>
    </row>
    <row r="325" spans="18:24" x14ac:dyDescent="0.3">
      <c r="R325" s="22"/>
      <c r="S325" s="17"/>
      <c r="W325" s="13"/>
      <c r="X325" s="13"/>
    </row>
    <row r="326" spans="18:24" x14ac:dyDescent="0.3">
      <c r="R326" s="22"/>
      <c r="S326" s="17"/>
      <c r="W326" s="13"/>
      <c r="X326" s="13"/>
    </row>
    <row r="327" spans="18:24" x14ac:dyDescent="0.3">
      <c r="R327" s="22"/>
      <c r="S327" s="17"/>
      <c r="W327" s="13"/>
      <c r="X327" s="13"/>
    </row>
    <row r="328" spans="18:24" x14ac:dyDescent="0.3">
      <c r="R328" s="22"/>
      <c r="S328" s="17"/>
      <c r="W328" s="13"/>
      <c r="X328" s="13"/>
    </row>
    <row r="329" spans="18:24" x14ac:dyDescent="0.3">
      <c r="R329" s="22"/>
      <c r="S329" s="17"/>
      <c r="W329" s="13"/>
      <c r="X329" s="13"/>
    </row>
    <row r="330" spans="18:24" x14ac:dyDescent="0.3">
      <c r="R330" s="22"/>
      <c r="S330" s="17"/>
      <c r="W330" s="13"/>
      <c r="X330" s="13"/>
    </row>
    <row r="331" spans="18:24" x14ac:dyDescent="0.3">
      <c r="R331" s="22"/>
      <c r="S331" s="17"/>
      <c r="W331" s="13"/>
      <c r="X331" s="13"/>
    </row>
    <row r="332" spans="18:24" x14ac:dyDescent="0.3">
      <c r="R332" s="22"/>
      <c r="S332" s="17"/>
      <c r="W332" s="13"/>
      <c r="X332" s="13"/>
    </row>
    <row r="333" spans="18:24" x14ac:dyDescent="0.3">
      <c r="R333" s="22"/>
      <c r="S333" s="17"/>
      <c r="W333" s="13"/>
      <c r="X333" s="13"/>
    </row>
    <row r="334" spans="18:24" x14ac:dyDescent="0.3">
      <c r="R334" s="22"/>
      <c r="S334" s="17"/>
      <c r="W334" s="13"/>
      <c r="X334" s="13"/>
    </row>
    <row r="335" spans="18:24" x14ac:dyDescent="0.3">
      <c r="R335" s="22"/>
      <c r="S335" s="17"/>
      <c r="W335" s="13"/>
      <c r="X335" s="13"/>
    </row>
    <row r="336" spans="18:24" x14ac:dyDescent="0.3">
      <c r="R336" s="22"/>
      <c r="S336" s="17"/>
      <c r="W336" s="13"/>
      <c r="X336" s="13"/>
    </row>
    <row r="337" spans="18:24" x14ac:dyDescent="0.3">
      <c r="R337" s="22"/>
      <c r="S337" s="17"/>
      <c r="W337" s="13"/>
      <c r="X337" s="13"/>
    </row>
    <row r="338" spans="18:24" x14ac:dyDescent="0.3">
      <c r="R338" s="22"/>
      <c r="S338" s="17"/>
      <c r="W338" s="13"/>
      <c r="X338" s="13"/>
    </row>
    <row r="339" spans="18:24" x14ac:dyDescent="0.3">
      <c r="R339" s="22"/>
      <c r="S339" s="17"/>
      <c r="W339" s="13"/>
      <c r="X339" s="13"/>
    </row>
    <row r="340" spans="18:24" x14ac:dyDescent="0.3">
      <c r="R340" s="22"/>
      <c r="S340" s="17"/>
      <c r="W340" s="13"/>
      <c r="X340" s="13"/>
    </row>
    <row r="341" spans="18:24" x14ac:dyDescent="0.3">
      <c r="R341" s="22"/>
      <c r="S341" s="17"/>
      <c r="W341" s="13"/>
      <c r="X341" s="13"/>
    </row>
    <row r="342" spans="18:24" x14ac:dyDescent="0.3">
      <c r="R342" s="22"/>
      <c r="S342" s="17"/>
      <c r="W342" s="13"/>
      <c r="X342" s="13"/>
    </row>
    <row r="343" spans="18:24" x14ac:dyDescent="0.3">
      <c r="R343" s="22"/>
      <c r="S343" s="17"/>
      <c r="W343" s="13"/>
      <c r="X343" s="13"/>
    </row>
    <row r="344" spans="18:24" x14ac:dyDescent="0.3">
      <c r="R344" s="22"/>
      <c r="S344" s="17"/>
      <c r="W344" s="13"/>
      <c r="X344" s="13"/>
    </row>
    <row r="345" spans="18:24" x14ac:dyDescent="0.3">
      <c r="R345" s="22"/>
      <c r="S345" s="17"/>
      <c r="W345" s="13"/>
      <c r="X345" s="13"/>
    </row>
    <row r="346" spans="18:24" x14ac:dyDescent="0.3">
      <c r="R346" s="22"/>
      <c r="S346" s="17"/>
      <c r="W346" s="13"/>
      <c r="X346" s="13"/>
    </row>
    <row r="347" spans="18:24" x14ac:dyDescent="0.3">
      <c r="R347" s="22"/>
      <c r="S347" s="17"/>
      <c r="W347" s="13"/>
      <c r="X347" s="13"/>
    </row>
    <row r="348" spans="18:24" x14ac:dyDescent="0.3">
      <c r="R348" s="22"/>
      <c r="S348" s="17"/>
      <c r="W348" s="13"/>
      <c r="X348" s="13"/>
    </row>
    <row r="349" spans="18:24" x14ac:dyDescent="0.3">
      <c r="R349" s="22"/>
      <c r="S349" s="17"/>
      <c r="W349" s="13"/>
      <c r="X349" s="13"/>
    </row>
    <row r="350" spans="18:24" x14ac:dyDescent="0.3">
      <c r="R350" s="22"/>
      <c r="S350" s="17"/>
      <c r="W350" s="13"/>
      <c r="X350" s="13"/>
    </row>
    <row r="351" spans="18:24" x14ac:dyDescent="0.3">
      <c r="R351" s="22"/>
      <c r="S351" s="17"/>
      <c r="W351" s="13"/>
      <c r="X351" s="13"/>
    </row>
    <row r="352" spans="18:24" x14ac:dyDescent="0.3">
      <c r="R352" s="22"/>
      <c r="S352" s="17"/>
      <c r="W352" s="13"/>
      <c r="X352" s="13"/>
    </row>
    <row r="353" spans="18:24" x14ac:dyDescent="0.3">
      <c r="R353" s="22"/>
      <c r="S353" s="17"/>
      <c r="W353" s="13"/>
      <c r="X353" s="13"/>
    </row>
    <row r="354" spans="18:24" x14ac:dyDescent="0.3">
      <c r="R354" s="22"/>
      <c r="S354" s="17"/>
      <c r="W354" s="13"/>
      <c r="X354" s="13"/>
    </row>
    <row r="355" spans="18:24" x14ac:dyDescent="0.3">
      <c r="R355" s="22"/>
      <c r="S355" s="17"/>
      <c r="W355" s="13"/>
      <c r="X355" s="13"/>
    </row>
    <row r="356" spans="18:24" x14ac:dyDescent="0.3">
      <c r="R356" s="22"/>
      <c r="S356" s="17"/>
      <c r="W356" s="13"/>
      <c r="X356" s="13"/>
    </row>
    <row r="357" spans="18:24" x14ac:dyDescent="0.3">
      <c r="R357" s="22"/>
      <c r="S357" s="17"/>
      <c r="W357" s="13"/>
      <c r="X357" s="13"/>
    </row>
    <row r="358" spans="18:24" x14ac:dyDescent="0.3">
      <c r="R358" s="22"/>
      <c r="S358" s="17"/>
      <c r="W358" s="13"/>
      <c r="X358" s="13"/>
    </row>
    <row r="359" spans="18:24" x14ac:dyDescent="0.3">
      <c r="R359" s="22"/>
      <c r="S359" s="17"/>
      <c r="W359" s="13"/>
      <c r="X359" s="13"/>
    </row>
    <row r="360" spans="18:24" x14ac:dyDescent="0.3">
      <c r="R360" s="22"/>
      <c r="S360" s="17"/>
      <c r="W360" s="13"/>
      <c r="X360" s="13"/>
    </row>
    <row r="361" spans="18:24" x14ac:dyDescent="0.3">
      <c r="R361" s="22"/>
      <c r="S361" s="17"/>
      <c r="W361" s="13"/>
      <c r="X361" s="13"/>
    </row>
    <row r="362" spans="18:24" x14ac:dyDescent="0.3">
      <c r="R362" s="22"/>
      <c r="S362" s="17"/>
      <c r="W362" s="13"/>
      <c r="X362" s="13"/>
    </row>
    <row r="363" spans="18:24" x14ac:dyDescent="0.3">
      <c r="R363" s="22"/>
      <c r="S363" s="17"/>
      <c r="W363" s="13"/>
      <c r="X363" s="13"/>
    </row>
    <row r="364" spans="18:24" x14ac:dyDescent="0.3">
      <c r="R364" s="22"/>
      <c r="S364" s="17"/>
      <c r="W364" s="13"/>
      <c r="X364" s="13"/>
    </row>
    <row r="365" spans="18:24" x14ac:dyDescent="0.3">
      <c r="R365" s="22"/>
      <c r="S365" s="17"/>
      <c r="W365" s="13"/>
      <c r="X365" s="13"/>
    </row>
    <row r="366" spans="18:24" x14ac:dyDescent="0.3">
      <c r="R366" s="22"/>
      <c r="S366" s="17"/>
      <c r="W366" s="13"/>
      <c r="X366" s="13"/>
    </row>
    <row r="367" spans="18:24" x14ac:dyDescent="0.3">
      <c r="R367" s="22"/>
      <c r="S367" s="17"/>
      <c r="W367" s="13"/>
      <c r="X367" s="13"/>
    </row>
    <row r="368" spans="18:24" x14ac:dyDescent="0.3">
      <c r="R368" s="22"/>
      <c r="S368" s="17"/>
      <c r="W368" s="13"/>
      <c r="X368" s="13"/>
    </row>
    <row r="369" spans="18:24" x14ac:dyDescent="0.3">
      <c r="R369" s="22"/>
      <c r="S369" s="17"/>
      <c r="W369" s="13"/>
      <c r="X369" s="13"/>
    </row>
    <row r="370" spans="18:24" x14ac:dyDescent="0.3">
      <c r="R370" s="22"/>
      <c r="S370" s="17"/>
      <c r="W370" s="13"/>
      <c r="X370" s="13"/>
    </row>
    <row r="371" spans="18:24" x14ac:dyDescent="0.3">
      <c r="R371" s="22"/>
      <c r="S371" s="17"/>
      <c r="W371" s="13"/>
      <c r="X371" s="13"/>
    </row>
    <row r="372" spans="18:24" x14ac:dyDescent="0.3">
      <c r="R372" s="22"/>
      <c r="S372" s="17"/>
      <c r="W372" s="13"/>
      <c r="X372" s="13"/>
    </row>
    <row r="373" spans="18:24" x14ac:dyDescent="0.3">
      <c r="R373" s="22"/>
      <c r="S373" s="17"/>
      <c r="W373" s="13"/>
      <c r="X373" s="13"/>
    </row>
    <row r="374" spans="18:24" x14ac:dyDescent="0.3">
      <c r="R374" s="22"/>
      <c r="S374" s="17"/>
      <c r="W374" s="13"/>
      <c r="X374" s="13"/>
    </row>
    <row r="375" spans="18:24" x14ac:dyDescent="0.3">
      <c r="R375" s="22"/>
      <c r="S375" s="17"/>
      <c r="W375" s="13"/>
      <c r="X375" s="13"/>
    </row>
    <row r="376" spans="18:24" x14ac:dyDescent="0.3">
      <c r="R376" s="22"/>
      <c r="S376" s="17"/>
      <c r="W376" s="13"/>
      <c r="X376" s="13"/>
    </row>
    <row r="377" spans="18:24" x14ac:dyDescent="0.3">
      <c r="R377" s="22"/>
      <c r="S377" s="17"/>
      <c r="W377" s="13"/>
      <c r="X377" s="13"/>
    </row>
    <row r="378" spans="18:24" x14ac:dyDescent="0.3">
      <c r="R378" s="22"/>
      <c r="S378" s="17"/>
      <c r="W378" s="13"/>
      <c r="X378" s="13"/>
    </row>
    <row r="379" spans="18:24" x14ac:dyDescent="0.3">
      <c r="R379" s="22"/>
      <c r="S379" s="17"/>
      <c r="W379" s="13"/>
      <c r="X379" s="13"/>
    </row>
    <row r="380" spans="18:24" x14ac:dyDescent="0.3">
      <c r="R380" s="22"/>
      <c r="S380" s="17"/>
      <c r="W380" s="13"/>
      <c r="X380" s="13"/>
    </row>
    <row r="381" spans="18:24" x14ac:dyDescent="0.3">
      <c r="R381" s="22"/>
      <c r="S381" s="17"/>
      <c r="W381" s="13"/>
      <c r="X381" s="13"/>
    </row>
    <row r="382" spans="18:24" x14ac:dyDescent="0.3">
      <c r="R382" s="22"/>
      <c r="S382" s="17"/>
      <c r="W382" s="13"/>
      <c r="X382" s="13"/>
    </row>
    <row r="383" spans="18:24" x14ac:dyDescent="0.3">
      <c r="R383" s="22"/>
      <c r="S383" s="17"/>
      <c r="W383" s="13"/>
      <c r="X383" s="13"/>
    </row>
    <row r="384" spans="18:24" x14ac:dyDescent="0.3">
      <c r="R384" s="22"/>
      <c r="S384" s="17"/>
      <c r="W384" s="13"/>
      <c r="X384" s="13"/>
    </row>
    <row r="385" spans="18:24" x14ac:dyDescent="0.3">
      <c r="R385" s="22"/>
      <c r="S385" s="17"/>
      <c r="W385" s="13"/>
      <c r="X385" s="13"/>
    </row>
    <row r="386" spans="18:24" x14ac:dyDescent="0.3">
      <c r="W386" s="13"/>
      <c r="X386" s="13"/>
    </row>
    <row r="387" spans="18:24" x14ac:dyDescent="0.3">
      <c r="W387" s="13"/>
      <c r="X387" s="13"/>
    </row>
  </sheetData>
  <hyperlinks>
    <hyperlink ref="C2" r:id="rId1" tooltip="Persistent link using digital object identifier" xr:uid="{AFC93C70-1092-4A6E-8DC6-C798A8D853F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AB396"/>
  <sheetViews>
    <sheetView topLeftCell="M37" zoomScale="85" zoomScaleNormal="85" workbookViewId="0">
      <selection activeCell="D6" sqref="D6"/>
    </sheetView>
  </sheetViews>
  <sheetFormatPr defaultColWidth="9.109375" defaultRowHeight="14.4" x14ac:dyDescent="0.3"/>
  <cols>
    <col min="1" max="1" width="7" style="3" customWidth="1"/>
    <col min="2" max="3" width="16.5546875" style="3" customWidth="1"/>
    <col min="4" max="4" width="31.44140625" style="3" customWidth="1"/>
    <col min="5" max="6" width="25" style="3" customWidth="1"/>
    <col min="7" max="7" width="9.109375" style="3"/>
    <col min="8" max="8" width="16.33203125" style="3" customWidth="1"/>
    <col min="9" max="9" width="27.6640625" style="3" customWidth="1"/>
    <col min="10" max="10" width="16" style="3" customWidth="1"/>
    <col min="11" max="11" width="12.5546875" style="3" customWidth="1"/>
    <col min="12" max="13" width="22.44140625" style="3" customWidth="1"/>
    <col min="14" max="14" width="23" style="3" customWidth="1"/>
    <col min="15" max="15" width="13.33203125" style="3" customWidth="1"/>
    <col min="16" max="16" width="13.5546875" style="3" customWidth="1"/>
    <col min="17" max="17" width="12.109375" style="3" customWidth="1"/>
    <col min="18" max="18" width="13.33203125" style="3" customWidth="1"/>
    <col min="19" max="19" width="12.5546875" style="10" customWidth="1"/>
    <col min="20" max="20" width="9.109375" style="3"/>
    <col min="21" max="21" width="11.33203125" style="3" customWidth="1"/>
    <col min="22" max="22" width="9.109375" style="3"/>
    <col min="23" max="23" width="11.44140625" style="10" customWidth="1"/>
    <col min="24" max="24" width="10.109375" style="10" customWidth="1"/>
    <col min="25" max="25" width="11.5546875" style="3" bestFit="1" customWidth="1"/>
    <col min="26" max="26" width="9.109375" style="3"/>
    <col min="27" max="27" width="28.6640625" style="3" customWidth="1"/>
    <col min="28" max="28" width="14" style="3" customWidth="1"/>
    <col min="29" max="16384" width="9.109375" style="3"/>
  </cols>
  <sheetData>
    <row r="1" spans="1:28" ht="44.25" customHeight="1" x14ac:dyDescent="0.3">
      <c r="A1" s="1" t="s">
        <v>25</v>
      </c>
      <c r="B1" s="1" t="s">
        <v>24</v>
      </c>
      <c r="C1" s="1"/>
      <c r="D1" s="1" t="s">
        <v>23</v>
      </c>
      <c r="E1" s="1" t="s">
        <v>22</v>
      </c>
      <c r="F1" s="1" t="s">
        <v>34</v>
      </c>
      <c r="G1" s="11" t="s">
        <v>21</v>
      </c>
      <c r="H1" s="1" t="s">
        <v>20</v>
      </c>
      <c r="I1" s="1" t="s">
        <v>19</v>
      </c>
      <c r="J1" s="1" t="s">
        <v>26</v>
      </c>
      <c r="K1" s="1" t="s">
        <v>18</v>
      </c>
      <c r="L1" s="1" t="s">
        <v>17</v>
      </c>
      <c r="M1" s="1" t="s">
        <v>16</v>
      </c>
      <c r="N1" s="1" t="s">
        <v>15</v>
      </c>
      <c r="O1" s="14" t="s">
        <v>14</v>
      </c>
      <c r="P1" s="1" t="s">
        <v>13</v>
      </c>
      <c r="Q1" s="1" t="s">
        <v>32</v>
      </c>
      <c r="R1" s="11" t="s">
        <v>33</v>
      </c>
      <c r="S1" s="9" t="s">
        <v>12</v>
      </c>
      <c r="T1" s="1" t="s">
        <v>36</v>
      </c>
      <c r="U1" s="1" t="s">
        <v>61</v>
      </c>
      <c r="V1" s="1" t="s">
        <v>11</v>
      </c>
      <c r="W1" s="9" t="s">
        <v>30</v>
      </c>
      <c r="X1" s="9" t="s">
        <v>35</v>
      </c>
      <c r="Y1" s="1" t="s">
        <v>27</v>
      </c>
      <c r="Z1" s="14" t="s">
        <v>10</v>
      </c>
      <c r="AA1" s="1" t="s">
        <v>9</v>
      </c>
      <c r="AB1" s="1" t="s">
        <v>9</v>
      </c>
    </row>
    <row r="2" spans="1:28" ht="30" customHeight="1" x14ac:dyDescent="0.3">
      <c r="A2" s="3">
        <v>2</v>
      </c>
      <c r="B2" s="3" t="s">
        <v>64</v>
      </c>
      <c r="C2" s="52" t="s">
        <v>252</v>
      </c>
      <c r="D2" s="2" t="s">
        <v>65</v>
      </c>
      <c r="E2" s="3" t="s">
        <v>66</v>
      </c>
      <c r="G2" s="22" t="s">
        <v>3</v>
      </c>
      <c r="J2" s="3" t="s">
        <v>69</v>
      </c>
      <c r="M2" s="3">
        <v>6</v>
      </c>
      <c r="Q2" s="15">
        <f>135000*Conversion_factors!$C$2</f>
        <v>12541.910400000001</v>
      </c>
      <c r="R2" s="26"/>
      <c r="S2" s="17" t="s">
        <v>4</v>
      </c>
      <c r="T2" s="3">
        <v>2320</v>
      </c>
      <c r="U2" s="15">
        <f>(423.08/Conversion_factors!C1)*T2+(33917.37*Conversion_factors!$C$7)</f>
        <v>1165802.9519288691</v>
      </c>
      <c r="V2" s="3" t="s">
        <v>28</v>
      </c>
      <c r="W2" s="13">
        <f>U2/Q2</f>
        <v>92.952581763689608</v>
      </c>
      <c r="X2" s="19">
        <v>3</v>
      </c>
      <c r="Y2" s="8"/>
    </row>
    <row r="3" spans="1:28" ht="30" customHeight="1" x14ac:dyDescent="0.3">
      <c r="A3" s="3">
        <v>2</v>
      </c>
      <c r="G3" s="22" t="s">
        <v>3</v>
      </c>
      <c r="J3" s="3" t="s">
        <v>69</v>
      </c>
      <c r="M3" s="3">
        <v>6</v>
      </c>
      <c r="Q3" s="15">
        <f>135000*Conversion_factors!$C$2</f>
        <v>12541.910400000001</v>
      </c>
      <c r="R3" s="26"/>
      <c r="S3" s="17" t="s">
        <v>2</v>
      </c>
      <c r="U3" s="3">
        <f>(0.59+22.81+138.34+195.29+2.08+734.71+10.47+5.92)*1000</f>
        <v>1110210</v>
      </c>
      <c r="V3" s="3" t="s">
        <v>28</v>
      </c>
      <c r="W3" s="13">
        <f>U3/Q3</f>
        <v>88.520007286928148</v>
      </c>
      <c r="X3" s="19">
        <v>3</v>
      </c>
      <c r="Y3" s="8"/>
    </row>
    <row r="4" spans="1:28" ht="30" customHeight="1" x14ac:dyDescent="0.3">
      <c r="A4" s="3">
        <v>2</v>
      </c>
      <c r="G4" s="22" t="s">
        <v>3</v>
      </c>
      <c r="J4" s="3" t="s">
        <v>69</v>
      </c>
      <c r="M4" s="3">
        <v>6</v>
      </c>
      <c r="Q4" s="15">
        <f>135000*Conversion_factors!$C$2</f>
        <v>12541.910400000001</v>
      </c>
      <c r="R4" s="26"/>
      <c r="S4" s="17" t="s">
        <v>29</v>
      </c>
      <c r="U4" s="3">
        <v>65600</v>
      </c>
      <c r="V4" s="3" t="s">
        <v>28</v>
      </c>
      <c r="W4" s="13">
        <f>U4/Q4</f>
        <v>5.2304631358233911</v>
      </c>
      <c r="X4" s="19">
        <v>3</v>
      </c>
      <c r="Y4" s="8"/>
    </row>
    <row r="5" spans="1:28" ht="30" customHeight="1" x14ac:dyDescent="0.3">
      <c r="A5" s="3">
        <v>2</v>
      </c>
      <c r="G5" s="22" t="s">
        <v>3</v>
      </c>
      <c r="J5" s="3" t="s">
        <v>69</v>
      </c>
      <c r="M5" s="3">
        <v>6</v>
      </c>
      <c r="Q5" s="15">
        <f>135000*Conversion_factors!$C$2</f>
        <v>12541.910400000001</v>
      </c>
      <c r="R5" s="26"/>
      <c r="S5" s="17" t="s">
        <v>70</v>
      </c>
      <c r="T5" s="3">
        <v>2162</v>
      </c>
      <c r="U5" s="15">
        <f>(949.01/Conversion_factors!C1)*T5</f>
        <v>1568623.5626911314</v>
      </c>
      <c r="V5" s="3" t="s">
        <v>28</v>
      </c>
      <c r="W5" s="13">
        <f>U5/Q5</f>
        <v>125.0705444914621</v>
      </c>
      <c r="X5" s="19">
        <v>3</v>
      </c>
      <c r="Y5" s="8"/>
      <c r="AA5" s="27" t="s">
        <v>73</v>
      </c>
    </row>
    <row r="6" spans="1:28" ht="30.75" customHeight="1" x14ac:dyDescent="0.3">
      <c r="A6" s="3">
        <v>2</v>
      </c>
      <c r="G6" s="22" t="s">
        <v>3</v>
      </c>
      <c r="J6" s="3" t="s">
        <v>69</v>
      </c>
      <c r="M6" s="3">
        <v>6</v>
      </c>
      <c r="Q6" s="15">
        <f>135000*Conversion_factors!$C$2</f>
        <v>12541.910400000001</v>
      </c>
      <c r="R6" s="26"/>
      <c r="S6" s="17" t="s">
        <v>71</v>
      </c>
      <c r="U6" s="15">
        <f>30122.4*Conversion_factors!C3</f>
        <v>402725.49650944385</v>
      </c>
      <c r="V6" s="3" t="s">
        <v>28</v>
      </c>
      <c r="W6" s="13">
        <f t="shared" ref="W6:W11" si="0">U6/Q6</f>
        <v>32.110379014463682</v>
      </c>
      <c r="X6" s="19">
        <v>3</v>
      </c>
      <c r="Y6" s="8"/>
    </row>
    <row r="7" spans="1:28" ht="30.75" customHeight="1" x14ac:dyDescent="0.3">
      <c r="A7" s="3">
        <v>2</v>
      </c>
      <c r="G7" s="22" t="s">
        <v>3</v>
      </c>
      <c r="J7" s="3" t="s">
        <v>69</v>
      </c>
      <c r="M7" s="3">
        <v>1</v>
      </c>
      <c r="Q7" s="15">
        <f>135000*Conversion_factors!$C$2</f>
        <v>12541.910400000001</v>
      </c>
      <c r="R7" s="26"/>
      <c r="S7" s="17" t="s">
        <v>37</v>
      </c>
      <c r="U7" s="15">
        <f>36360*Conversion_factors!$C$2*Conversion_factors!$C$5</f>
        <v>33779.545344000006</v>
      </c>
      <c r="V7" s="3" t="s">
        <v>28</v>
      </c>
      <c r="W7" s="13">
        <f t="shared" si="0"/>
        <v>2.6933333333333338</v>
      </c>
      <c r="X7" s="19">
        <v>3</v>
      </c>
      <c r="Y7" s="8"/>
    </row>
    <row r="8" spans="1:28" ht="30.75" customHeight="1" x14ac:dyDescent="0.3">
      <c r="A8" s="3">
        <v>2</v>
      </c>
      <c r="D8" s="2" t="s">
        <v>105</v>
      </c>
      <c r="G8" s="22" t="s">
        <v>3</v>
      </c>
      <c r="J8" s="3" t="s">
        <v>106</v>
      </c>
      <c r="M8" s="3">
        <v>1</v>
      </c>
      <c r="Q8" s="15">
        <f>30000*Conversion_factors!$C$2</f>
        <v>2787.0912000000003</v>
      </c>
      <c r="R8" s="26"/>
      <c r="S8" s="17" t="s">
        <v>4</v>
      </c>
      <c r="T8" s="3">
        <v>2320</v>
      </c>
      <c r="U8" s="15">
        <f>((884.69+382.76)/Conversion_factors!C1)*Reyna!T8+(23765.49*Conversion_factors!$C$7)</f>
        <v>2539132.2657987936</v>
      </c>
      <c r="V8" s="3" t="s">
        <v>28</v>
      </c>
      <c r="W8" s="13">
        <f t="shared" si="0"/>
        <v>911.03307484117965</v>
      </c>
      <c r="X8" s="19">
        <v>2</v>
      </c>
      <c r="Y8" s="8"/>
    </row>
    <row r="9" spans="1:28" ht="30.75" customHeight="1" x14ac:dyDescent="0.3">
      <c r="A9" s="3">
        <v>2</v>
      </c>
      <c r="G9" s="22" t="s">
        <v>3</v>
      </c>
      <c r="J9" s="3" t="s">
        <v>106</v>
      </c>
      <c r="M9" s="3">
        <v>1</v>
      </c>
      <c r="Q9" s="15">
        <f>30000*Conversion_factors!$C$2</f>
        <v>2787.0912000000003</v>
      </c>
      <c r="R9" s="26"/>
      <c r="S9" s="17" t="s">
        <v>2</v>
      </c>
      <c r="U9" s="15">
        <f>(44000*Conversion_factors!$C$2*Conversion_factors!C6)+(60.83+4.75+1.62+55.39+196.12+0.03+2.78)*1000</f>
        <v>362397.33759999997</v>
      </c>
      <c r="V9" s="3" t="s">
        <v>28</v>
      </c>
      <c r="W9" s="13">
        <f t="shared" si="0"/>
        <v>130.02708257268364</v>
      </c>
      <c r="X9" s="19">
        <v>2</v>
      </c>
      <c r="Y9" s="8"/>
    </row>
    <row r="10" spans="1:28" ht="30.75" customHeight="1" x14ac:dyDescent="0.3">
      <c r="A10" s="3">
        <v>2</v>
      </c>
      <c r="G10" s="22" t="s">
        <v>3</v>
      </c>
      <c r="J10" s="3" t="s">
        <v>106</v>
      </c>
      <c r="M10" s="3">
        <v>1</v>
      </c>
      <c r="Q10" s="15">
        <f>30000*Conversion_factors!$C$2</f>
        <v>2787.0912000000003</v>
      </c>
      <c r="R10" s="26"/>
      <c r="S10" s="17" t="s">
        <v>70</v>
      </c>
      <c r="T10" s="3">
        <v>2162</v>
      </c>
      <c r="U10" s="15">
        <f>(592.97/Conversion_factors!$C$1)*T10</f>
        <v>980123.19571865443</v>
      </c>
      <c r="V10" s="3" t="s">
        <v>28</v>
      </c>
      <c r="W10" s="13">
        <f t="shared" si="0"/>
        <v>351.66527586849486</v>
      </c>
      <c r="X10" s="19">
        <v>2</v>
      </c>
      <c r="Y10" s="8"/>
    </row>
    <row r="11" spans="1:28" x14ac:dyDescent="0.3">
      <c r="A11" s="3">
        <v>2</v>
      </c>
      <c r="D11" s="2" t="s">
        <v>67</v>
      </c>
      <c r="G11" s="22" t="s">
        <v>3</v>
      </c>
      <c r="J11" s="3" t="s">
        <v>68</v>
      </c>
      <c r="M11" s="3">
        <v>1</v>
      </c>
      <c r="Q11" s="15">
        <f>95000*Conversion_factors!$C$2</f>
        <v>8825.7888000000003</v>
      </c>
      <c r="R11" s="22"/>
      <c r="S11" s="17" t="s">
        <v>70</v>
      </c>
      <c r="T11" s="3">
        <v>2162</v>
      </c>
      <c r="U11" s="15">
        <f>(559.46/Conversion_factors!C1)*T11</f>
        <v>924734.34250764525</v>
      </c>
      <c r="V11" s="3" t="s">
        <v>28</v>
      </c>
      <c r="W11" s="13">
        <f t="shared" si="0"/>
        <v>104.77639602112903</v>
      </c>
      <c r="X11" s="19">
        <v>2</v>
      </c>
      <c r="AA11" s="27" t="s">
        <v>73</v>
      </c>
    </row>
    <row r="12" spans="1:28" x14ac:dyDescent="0.3">
      <c r="A12" s="3">
        <v>2</v>
      </c>
      <c r="G12" s="22" t="s">
        <v>3</v>
      </c>
      <c r="J12" s="3" t="s">
        <v>68</v>
      </c>
      <c r="M12" s="3">
        <v>1</v>
      </c>
      <c r="Q12" s="15">
        <f>95000*Conversion_factors!$C$2</f>
        <v>8825.7888000000003</v>
      </c>
      <c r="R12" s="22"/>
      <c r="S12" s="17" t="s">
        <v>4</v>
      </c>
      <c r="T12" s="3">
        <v>2320</v>
      </c>
      <c r="U12" s="15">
        <f>((1525.22+606.04)/Conversion_factors!C1)*T12</f>
        <v>3780216.5137614678</v>
      </c>
      <c r="V12" s="3" t="s">
        <v>28</v>
      </c>
      <c r="W12" s="13">
        <f t="shared" ref="W12:W26" si="1">U12/Q12</f>
        <v>428.31486220942287</v>
      </c>
      <c r="X12" s="19">
        <v>2</v>
      </c>
    </row>
    <row r="13" spans="1:28" x14ac:dyDescent="0.3">
      <c r="A13" s="3">
        <v>2</v>
      </c>
      <c r="G13" s="22" t="s">
        <v>3</v>
      </c>
      <c r="J13" s="3" t="s">
        <v>68</v>
      </c>
      <c r="M13" s="3">
        <v>1</v>
      </c>
      <c r="Q13" s="15">
        <f>95000*Conversion_factors!$C$2</f>
        <v>8825.7888000000003</v>
      </c>
      <c r="R13" s="22"/>
      <c r="S13" s="17" t="s">
        <v>2</v>
      </c>
      <c r="U13" s="3">
        <f>(0.35+25.94+6.36+6+127.3+0.27+21.3)*1000</f>
        <v>187520</v>
      </c>
      <c r="V13" s="3" t="s">
        <v>28</v>
      </c>
      <c r="W13" s="13">
        <f t="shared" si="1"/>
        <v>21.246826119383233</v>
      </c>
      <c r="X13" s="19">
        <v>2</v>
      </c>
    </row>
    <row r="14" spans="1:28" x14ac:dyDescent="0.3">
      <c r="A14" s="3">
        <v>2</v>
      </c>
      <c r="G14" s="22" t="s">
        <v>3</v>
      </c>
      <c r="J14" s="3" t="s">
        <v>68</v>
      </c>
      <c r="M14" s="3">
        <v>1</v>
      </c>
      <c r="Q14" s="15">
        <f>95000*Conversion_factors!$C$2</f>
        <v>8825.7888000000003</v>
      </c>
      <c r="R14" s="22"/>
      <c r="S14" s="17" t="s">
        <v>29</v>
      </c>
      <c r="U14" s="3">
        <f>11.06*1000</f>
        <v>11060</v>
      </c>
      <c r="V14" s="3" t="s">
        <v>28</v>
      </c>
      <c r="W14" s="13">
        <f t="shared" si="1"/>
        <v>1.2531457811453635</v>
      </c>
      <c r="X14" s="19">
        <v>2</v>
      </c>
    </row>
    <row r="15" spans="1:28" x14ac:dyDescent="0.3">
      <c r="A15" s="3">
        <v>2</v>
      </c>
      <c r="G15" s="22" t="s">
        <v>3</v>
      </c>
      <c r="J15" s="3" t="s">
        <v>68</v>
      </c>
      <c r="M15" s="3">
        <v>1</v>
      </c>
      <c r="Q15" s="15">
        <f>95000*Conversion_factors!$C$2</f>
        <v>8825.7888000000003</v>
      </c>
      <c r="R15" s="22"/>
      <c r="S15" s="17" t="s">
        <v>71</v>
      </c>
      <c r="U15" s="15">
        <f>17762.5*Conversion_factors!C3</f>
        <v>237478.14356588441</v>
      </c>
      <c r="V15" s="3" t="s">
        <v>28</v>
      </c>
      <c r="W15" s="13">
        <f t="shared" si="1"/>
        <v>26.907299613365367</v>
      </c>
      <c r="X15" s="19">
        <v>2</v>
      </c>
    </row>
    <row r="16" spans="1:28" x14ac:dyDescent="0.3">
      <c r="A16" s="3">
        <v>2</v>
      </c>
      <c r="G16" s="22" t="s">
        <v>3</v>
      </c>
      <c r="J16" s="3" t="s">
        <v>68</v>
      </c>
      <c r="M16" s="3">
        <v>1</v>
      </c>
      <c r="Q16" s="15">
        <f>95000*Conversion_factors!$C$2</f>
        <v>8825.7888000000003</v>
      </c>
      <c r="R16" s="22"/>
      <c r="S16" s="17" t="s">
        <v>37</v>
      </c>
      <c r="U16" s="15">
        <f>9544.5*Conversion_factors!$C$2*Conversion_factors!$C$5</f>
        <v>8867.1306528000005</v>
      </c>
      <c r="V16" s="3" t="s">
        <v>28</v>
      </c>
      <c r="W16" s="13">
        <f t="shared" si="1"/>
        <v>1.0046842105263158</v>
      </c>
      <c r="X16" s="19">
        <v>2</v>
      </c>
    </row>
    <row r="17" spans="1:24" x14ac:dyDescent="0.3">
      <c r="A17" s="3">
        <v>2</v>
      </c>
      <c r="D17" s="2" t="s">
        <v>83</v>
      </c>
      <c r="G17" s="22" t="s">
        <v>3</v>
      </c>
      <c r="J17" s="3" t="s">
        <v>82</v>
      </c>
      <c r="M17" s="3">
        <v>1</v>
      </c>
      <c r="Q17" s="15">
        <f>4100*Conversion_factors!$C$2</f>
        <v>380.90246400000001</v>
      </c>
      <c r="R17" s="22"/>
      <c r="S17" s="17" t="s">
        <v>2</v>
      </c>
      <c r="U17" s="15">
        <f>(6013.33*Conversion_factors!$C$2*Conversion_factors!$C$6)+(4.16+1.15+0.29+0.34+3.79+21.05+0.02+0.38)*1000</f>
        <v>36766.566375232003</v>
      </c>
      <c r="V17" s="3" t="s">
        <v>28</v>
      </c>
      <c r="W17" s="13">
        <f t="shared" si="1"/>
        <v>96.524884583660779</v>
      </c>
      <c r="X17" s="19">
        <v>2</v>
      </c>
    </row>
    <row r="18" spans="1:24" x14ac:dyDescent="0.3">
      <c r="A18" s="3">
        <v>2</v>
      </c>
      <c r="G18" s="22" t="s">
        <v>3</v>
      </c>
      <c r="J18" s="3" t="s">
        <v>82</v>
      </c>
      <c r="M18" s="3">
        <v>1</v>
      </c>
      <c r="Q18" s="15">
        <f>4100*Conversion_factors!$C$2</f>
        <v>380.90246400000001</v>
      </c>
      <c r="R18" s="22"/>
      <c r="S18" s="17" t="s">
        <v>4</v>
      </c>
      <c r="T18" s="3">
        <v>2320</v>
      </c>
      <c r="U18" s="15">
        <f>(3932.28*Conversion_factors!C7)+(109.36/Conversion_factors!$C$1)*T18</f>
        <v>242130.47497042228</v>
      </c>
      <c r="V18" s="3" t="s">
        <v>28</v>
      </c>
      <c r="W18" s="13">
        <f t="shared" si="1"/>
        <v>635.67579066756116</v>
      </c>
      <c r="X18" s="19">
        <v>2</v>
      </c>
    </row>
    <row r="19" spans="1:24" x14ac:dyDescent="0.3">
      <c r="A19" s="3">
        <v>2</v>
      </c>
      <c r="G19" s="22" t="s">
        <v>3</v>
      </c>
      <c r="J19" s="3" t="s">
        <v>82</v>
      </c>
      <c r="M19" s="3">
        <v>1</v>
      </c>
      <c r="Q19" s="15">
        <f>4100*Conversion_factors!$C$2</f>
        <v>380.90246400000001</v>
      </c>
      <c r="R19" s="22"/>
      <c r="S19" s="17" t="s">
        <v>29</v>
      </c>
      <c r="U19" s="3">
        <v>1920</v>
      </c>
      <c r="V19" s="3" t="s">
        <v>28</v>
      </c>
      <c r="W19" s="13">
        <f t="shared" si="1"/>
        <v>5.0406604878250407</v>
      </c>
      <c r="X19" s="19">
        <v>2</v>
      </c>
    </row>
    <row r="20" spans="1:24" x14ac:dyDescent="0.3">
      <c r="A20" s="3">
        <v>2</v>
      </c>
      <c r="G20" s="22" t="s">
        <v>3</v>
      </c>
      <c r="J20" s="3" t="s">
        <v>82</v>
      </c>
      <c r="M20" s="3">
        <v>1</v>
      </c>
      <c r="Q20" s="15">
        <f>4100*Conversion_factors!$C$2</f>
        <v>380.90246400000001</v>
      </c>
      <c r="R20" s="22"/>
      <c r="S20" s="17" t="s">
        <v>70</v>
      </c>
      <c r="T20" s="3">
        <v>2162</v>
      </c>
      <c r="U20" s="15">
        <f>(98.49/Conversion_factors!C1)*T20</f>
        <v>162794.63302752291</v>
      </c>
      <c r="V20" s="3" t="s">
        <v>28</v>
      </c>
      <c r="W20" s="13">
        <f t="shared" si="1"/>
        <v>427.3919137144855</v>
      </c>
      <c r="X20" s="19">
        <v>2</v>
      </c>
    </row>
    <row r="21" spans="1:24" x14ac:dyDescent="0.3">
      <c r="A21" s="3">
        <v>2</v>
      </c>
      <c r="G21" s="22" t="s">
        <v>3</v>
      </c>
      <c r="J21" s="3" t="s">
        <v>82</v>
      </c>
      <c r="M21" s="3">
        <v>1</v>
      </c>
      <c r="Q21" s="15">
        <f>4100*Conversion_factors!$C$2</f>
        <v>380.90246400000001</v>
      </c>
      <c r="R21" s="22"/>
      <c r="S21" s="17" t="s">
        <v>37</v>
      </c>
      <c r="U21" s="3">
        <f>1868.5*Conversion_factors!$C$2*Conversion_factors!$C$5</f>
        <v>1735.8933024</v>
      </c>
      <c r="V21" s="3" t="s">
        <v>28</v>
      </c>
      <c r="W21" s="13">
        <f t="shared" si="1"/>
        <v>4.557317073170732</v>
      </c>
      <c r="X21" s="19">
        <v>2</v>
      </c>
    </row>
    <row r="22" spans="1:24" x14ac:dyDescent="0.3">
      <c r="A22" s="3">
        <v>2</v>
      </c>
      <c r="D22" s="2" t="s">
        <v>88</v>
      </c>
      <c r="G22" s="22" t="s">
        <v>3</v>
      </c>
      <c r="J22" s="3" t="s">
        <v>87</v>
      </c>
      <c r="M22" s="3">
        <v>1</v>
      </c>
      <c r="Q22" s="15">
        <f>7000*Conversion_factors!$C$2</f>
        <v>650.32128</v>
      </c>
      <c r="R22" s="22"/>
      <c r="S22" s="17" t="s">
        <v>2</v>
      </c>
      <c r="U22" s="15">
        <f>(6600*Conversion_factors!$C$2*Conversion_factors!$C$6)+(0.07+3+8.38+0.95+18.42+0.21+0.65)*1000+(1320*Conversion_factors!$C$2*Conversion_factors!$C$8)</f>
        <v>38260.679070873601</v>
      </c>
      <c r="V22" s="3" t="s">
        <v>28</v>
      </c>
      <c r="W22" s="13">
        <f t="shared" si="1"/>
        <v>58.833503143051999</v>
      </c>
      <c r="X22" s="19">
        <v>1</v>
      </c>
    </row>
    <row r="23" spans="1:24" x14ac:dyDescent="0.3">
      <c r="A23" s="3">
        <v>2</v>
      </c>
      <c r="G23" s="22" t="s">
        <v>3</v>
      </c>
      <c r="J23" s="3" t="s">
        <v>87</v>
      </c>
      <c r="M23" s="3">
        <v>1</v>
      </c>
      <c r="Q23" s="15">
        <f>7000*Conversion_factors!$C$2</f>
        <v>650.32128</v>
      </c>
      <c r="R23" s="22"/>
      <c r="S23" s="17" t="s">
        <v>4</v>
      </c>
      <c r="T23" s="3">
        <v>2320</v>
      </c>
      <c r="U23" s="15">
        <f>(3865.28*Conversion_factors!C7)+(166.84/Conversion_factors!$C$1)*T23</f>
        <v>343262.21995107393</v>
      </c>
      <c r="V23" s="3" t="s">
        <v>28</v>
      </c>
      <c r="W23" s="13">
        <f t="shared" si="1"/>
        <v>527.83482642775266</v>
      </c>
      <c r="X23" s="19">
        <v>1</v>
      </c>
    </row>
    <row r="24" spans="1:24" x14ac:dyDescent="0.3">
      <c r="A24" s="3">
        <v>2</v>
      </c>
      <c r="G24" s="22" t="s">
        <v>3</v>
      </c>
      <c r="J24" s="3" t="s">
        <v>87</v>
      </c>
      <c r="M24" s="3">
        <v>1</v>
      </c>
      <c r="Q24" s="15">
        <f>7000*Conversion_factors!$C$2</f>
        <v>650.32128</v>
      </c>
      <c r="R24" s="22"/>
      <c r="S24" s="17" t="s">
        <v>29</v>
      </c>
      <c r="U24" s="3">
        <v>10160</v>
      </c>
      <c r="V24" s="3" t="s">
        <v>28</v>
      </c>
      <c r="W24" s="13">
        <f t="shared" si="1"/>
        <v>15.623047119110112</v>
      </c>
      <c r="X24" s="19">
        <v>1</v>
      </c>
    </row>
    <row r="25" spans="1:24" x14ac:dyDescent="0.3">
      <c r="A25" s="3">
        <v>2</v>
      </c>
      <c r="G25" s="22" t="s">
        <v>3</v>
      </c>
      <c r="J25" s="3" t="s">
        <v>87</v>
      </c>
      <c r="M25" s="3">
        <v>1</v>
      </c>
      <c r="Q25" s="15">
        <f>7000*Conversion_factors!$C$2</f>
        <v>650.32128</v>
      </c>
      <c r="R25" s="22"/>
      <c r="S25" s="17" t="s">
        <v>70</v>
      </c>
      <c r="T25" s="3">
        <v>2162</v>
      </c>
      <c r="U25" s="15">
        <f>(108.71/Conversion_factors!C1)*T25</f>
        <v>179687.3241590214</v>
      </c>
      <c r="V25" s="3" t="s">
        <v>28</v>
      </c>
      <c r="W25" s="13">
        <f t="shared" si="1"/>
        <v>276.30546575228385</v>
      </c>
      <c r="X25" s="19">
        <v>1</v>
      </c>
    </row>
    <row r="26" spans="1:24" x14ac:dyDescent="0.3">
      <c r="A26" s="3">
        <v>2</v>
      </c>
      <c r="G26" s="22" t="s">
        <v>3</v>
      </c>
      <c r="J26" s="3" t="s">
        <v>87</v>
      </c>
      <c r="M26" s="3">
        <v>1</v>
      </c>
      <c r="Q26" s="15">
        <f>7000*Conversion_factors!$C$2</f>
        <v>650.32128</v>
      </c>
      <c r="R26" s="22"/>
      <c r="S26" s="17" t="s">
        <v>71</v>
      </c>
      <c r="U26" s="15">
        <f>3432.8*Conversion_factors!C3</f>
        <v>45895.283391018609</v>
      </c>
      <c r="V26" s="3" t="s">
        <v>28</v>
      </c>
      <c r="W26" s="13">
        <f t="shared" si="1"/>
        <v>70.573245567204268</v>
      </c>
      <c r="X26" s="19">
        <v>1</v>
      </c>
    </row>
    <row r="27" spans="1:24" x14ac:dyDescent="0.3">
      <c r="A27" s="3">
        <v>2</v>
      </c>
      <c r="G27" s="22" t="s">
        <v>3</v>
      </c>
      <c r="J27" s="3" t="s">
        <v>87</v>
      </c>
      <c r="M27" s="3">
        <v>1</v>
      </c>
      <c r="Q27" s="15">
        <f>7000*Conversion_factors!$C$2</f>
        <v>650.32128</v>
      </c>
      <c r="R27" s="22"/>
      <c r="S27" s="17" t="s">
        <v>37</v>
      </c>
      <c r="U27" s="15">
        <f>4363.2*Conversion_factors!$C$2*Conversion_factors!$C$5</f>
        <v>4053.54544128</v>
      </c>
      <c r="V27" s="3" t="s">
        <v>28</v>
      </c>
      <c r="W27" s="13">
        <f t="shared" ref="W27:W42" si="2">U27/Q27</f>
        <v>6.2331428571428571</v>
      </c>
      <c r="X27" s="19">
        <v>1</v>
      </c>
    </row>
    <row r="28" spans="1:24" x14ac:dyDescent="0.3">
      <c r="A28" s="3">
        <v>2</v>
      </c>
      <c r="G28" s="22" t="s">
        <v>3</v>
      </c>
      <c r="J28" s="3" t="s">
        <v>87</v>
      </c>
      <c r="M28" s="3">
        <v>1</v>
      </c>
      <c r="Q28" s="15">
        <f>7000*Conversion_factors!$C$2</f>
        <v>650.32128</v>
      </c>
      <c r="R28" s="22"/>
      <c r="S28" s="17" t="s">
        <v>5</v>
      </c>
      <c r="T28" s="3">
        <v>400</v>
      </c>
      <c r="U28" s="15">
        <f>((7.85*Conversion_factors!$C$9)+(0.18*Conversion_factors!C10)*T28)</f>
        <v>117.86934606933941</v>
      </c>
      <c r="V28" s="3" t="s">
        <v>28</v>
      </c>
      <c r="W28" s="13">
        <f t="shared" si="2"/>
        <v>0.1812478688523608</v>
      </c>
      <c r="X28" s="19">
        <v>1</v>
      </c>
    </row>
    <row r="29" spans="1:24" x14ac:dyDescent="0.3">
      <c r="A29" s="3">
        <v>2</v>
      </c>
      <c r="D29" s="2" t="s">
        <v>92</v>
      </c>
      <c r="G29" s="22" t="s">
        <v>3</v>
      </c>
      <c r="J29" s="3" t="s">
        <v>93</v>
      </c>
      <c r="M29" s="3">
        <v>6</v>
      </c>
      <c r="Q29" s="15">
        <f>156000*Conversion_factors!$C$2</f>
        <v>14492.874240000001</v>
      </c>
      <c r="R29" s="22"/>
      <c r="S29" s="17" t="s">
        <v>2</v>
      </c>
      <c r="U29" s="15">
        <f>(38133.33*Conversion_factors!$C$2*Conversion_factors!$C$6)+(26.36+40.57+18.41+5.36+43.68+182.94+0.93+2.41)*1000</f>
        <v>356087.02282323199</v>
      </c>
      <c r="V29" s="3" t="s">
        <v>28</v>
      </c>
      <c r="W29" s="13">
        <f t="shared" si="2"/>
        <v>24.569800091167558</v>
      </c>
      <c r="X29" s="19">
        <v>1</v>
      </c>
    </row>
    <row r="30" spans="1:24" x14ac:dyDescent="0.3">
      <c r="A30" s="3">
        <v>2</v>
      </c>
      <c r="G30" s="22" t="s">
        <v>3</v>
      </c>
      <c r="J30" s="3" t="s">
        <v>93</v>
      </c>
      <c r="M30" s="3">
        <v>6</v>
      </c>
      <c r="Q30" s="15">
        <f>156000*Conversion_factors!$C$2</f>
        <v>14492.874240000001</v>
      </c>
      <c r="R30" s="22"/>
      <c r="S30" s="17" t="s">
        <v>4</v>
      </c>
      <c r="T30" s="3">
        <v>2320</v>
      </c>
      <c r="U30" s="15">
        <f>(4403.48/Conversion_factors!$C$1)*T30</f>
        <v>7810453.8226299677</v>
      </c>
      <c r="V30" s="3" t="s">
        <v>28</v>
      </c>
      <c r="W30" s="13">
        <f t="shared" si="2"/>
        <v>538.91682859382672</v>
      </c>
      <c r="X30" s="19">
        <v>1</v>
      </c>
    </row>
    <row r="31" spans="1:24" x14ac:dyDescent="0.3">
      <c r="A31" s="3">
        <v>2</v>
      </c>
      <c r="G31" s="22" t="s">
        <v>3</v>
      </c>
      <c r="J31" s="3" t="s">
        <v>93</v>
      </c>
      <c r="M31" s="3">
        <v>6</v>
      </c>
      <c r="Q31" s="15">
        <f>156000*Conversion_factors!$C$2</f>
        <v>14492.874240000001</v>
      </c>
      <c r="R31" s="22"/>
      <c r="S31" s="17" t="s">
        <v>29</v>
      </c>
      <c r="U31" s="3">
        <v>53840</v>
      </c>
      <c r="V31" s="3" t="s">
        <v>28</v>
      </c>
      <c r="W31" s="13">
        <f t="shared" si="2"/>
        <v>3.7149290822798169</v>
      </c>
      <c r="X31" s="19">
        <v>1</v>
      </c>
    </row>
    <row r="32" spans="1:24" x14ac:dyDescent="0.3">
      <c r="A32" s="3">
        <v>2</v>
      </c>
      <c r="G32" s="22" t="s">
        <v>3</v>
      </c>
      <c r="J32" s="3" t="s">
        <v>93</v>
      </c>
      <c r="M32" s="3">
        <v>6</v>
      </c>
      <c r="Q32" s="15">
        <f>156000*Conversion_factors!$C$2</f>
        <v>14492.874240000001</v>
      </c>
      <c r="R32" s="22"/>
      <c r="S32" s="17" t="s">
        <v>37</v>
      </c>
      <c r="U32" s="15">
        <f>46904.4*Conversion_factors!$C$2*Conversion_factors!$C$5</f>
        <v>43575.61349376</v>
      </c>
      <c r="V32" s="3" t="s">
        <v>28</v>
      </c>
      <c r="W32" s="13">
        <f t="shared" si="2"/>
        <v>3.0066923076923073</v>
      </c>
      <c r="X32" s="19">
        <v>1</v>
      </c>
    </row>
    <row r="33" spans="1:28" x14ac:dyDescent="0.3">
      <c r="A33" s="3">
        <v>2</v>
      </c>
      <c r="D33" s="2" t="s">
        <v>96</v>
      </c>
      <c r="G33" s="22" t="s">
        <v>3</v>
      </c>
      <c r="J33" s="3" t="s">
        <v>97</v>
      </c>
      <c r="M33" s="3">
        <v>3</v>
      </c>
      <c r="Q33" s="15">
        <f>55080*Conversion_factors!$C$2</f>
        <v>5117.0994432000007</v>
      </c>
      <c r="R33" s="22"/>
      <c r="S33" s="17" t="s">
        <v>2</v>
      </c>
      <c r="U33" s="3">
        <f>(0.34+56.69+21.67+3.51+649.03+1.06+1.7)*1000</f>
        <v>734000</v>
      </c>
      <c r="V33" s="3" t="s">
        <v>28</v>
      </c>
      <c r="W33" s="13">
        <f t="shared" si="2"/>
        <v>143.44063627205765</v>
      </c>
      <c r="X33" s="19">
        <v>4</v>
      </c>
    </row>
    <row r="34" spans="1:28" x14ac:dyDescent="0.3">
      <c r="A34" s="3">
        <v>2</v>
      </c>
      <c r="G34" s="22" t="s">
        <v>3</v>
      </c>
      <c r="J34" s="3" t="s">
        <v>97</v>
      </c>
      <c r="M34" s="3">
        <v>3</v>
      </c>
      <c r="Q34" s="15">
        <f>55080*Conversion_factors!$C$2</f>
        <v>5117.0994432000007</v>
      </c>
      <c r="R34" s="22"/>
      <c r="S34" s="17" t="s">
        <v>4</v>
      </c>
      <c r="T34" s="3">
        <v>2320</v>
      </c>
      <c r="U34" s="15">
        <f>(17117.1*Conversion_factors!$C$11)+(92594.13*Conversion_factors!$C$7)+(2234.69/Conversion_factors!$C$1)*Reyna!T34</f>
        <v>5406982.683165499</v>
      </c>
      <c r="V34" s="3" t="s">
        <v>28</v>
      </c>
      <c r="W34" s="13">
        <f t="shared" si="2"/>
        <v>1056.6499133314123</v>
      </c>
      <c r="X34" s="19">
        <v>4</v>
      </c>
    </row>
    <row r="35" spans="1:28" x14ac:dyDescent="0.3">
      <c r="A35" s="3">
        <v>2</v>
      </c>
      <c r="G35" s="22" t="s">
        <v>3</v>
      </c>
      <c r="J35" s="3" t="s">
        <v>97</v>
      </c>
      <c r="M35" s="3">
        <v>3</v>
      </c>
      <c r="Q35" s="15">
        <f>55080*Conversion_factors!$C$2</f>
        <v>5117.0994432000007</v>
      </c>
      <c r="R35" s="22"/>
      <c r="S35" s="17" t="s">
        <v>29</v>
      </c>
      <c r="U35" s="3">
        <v>20150</v>
      </c>
      <c r="V35" s="3" t="s">
        <v>28</v>
      </c>
      <c r="W35" s="13">
        <f t="shared" si="2"/>
        <v>3.9377776851252881</v>
      </c>
      <c r="X35" s="19">
        <v>4</v>
      </c>
    </row>
    <row r="36" spans="1:28" x14ac:dyDescent="0.3">
      <c r="A36" s="3">
        <v>2</v>
      </c>
      <c r="G36" s="22" t="s">
        <v>3</v>
      </c>
      <c r="J36" s="3" t="s">
        <v>97</v>
      </c>
      <c r="M36" s="3">
        <v>3</v>
      </c>
      <c r="Q36" s="15">
        <f>55080*Conversion_factors!$C$2</f>
        <v>5117.0994432000007</v>
      </c>
      <c r="R36" s="22"/>
      <c r="S36" s="17" t="s">
        <v>37</v>
      </c>
      <c r="U36" s="15">
        <f>14796.5*Conversion_factors!$C$2*Conversion_factors!$C$5</f>
        <v>13746.398313600001</v>
      </c>
      <c r="V36" s="3" t="s">
        <v>28</v>
      </c>
      <c r="W36" s="13">
        <f t="shared" si="2"/>
        <v>2.6863652868554828</v>
      </c>
      <c r="X36" s="19">
        <v>4</v>
      </c>
    </row>
    <row r="37" spans="1:28" x14ac:dyDescent="0.3">
      <c r="A37" s="3">
        <v>2</v>
      </c>
      <c r="D37" s="2" t="s">
        <v>103</v>
      </c>
      <c r="G37" s="22" t="s">
        <v>3</v>
      </c>
      <c r="J37" s="3" t="s">
        <v>104</v>
      </c>
      <c r="M37" s="3">
        <v>1</v>
      </c>
      <c r="Q37" s="15">
        <f>11600*Conversion_factors!$C$2</f>
        <v>1077.675264</v>
      </c>
      <c r="R37" s="22"/>
      <c r="S37" s="17" t="s">
        <v>2</v>
      </c>
      <c r="U37" s="15">
        <f>(17013.33*Conversion_factors!$C$2*Conversion_factors!C6)+(0.09+11.76+3.51+1.41+10.71+84.5+0.01+1.07)*1000</f>
        <v>128865.900775232</v>
      </c>
      <c r="V37" s="3" t="s">
        <v>28</v>
      </c>
      <c r="W37" s="13">
        <f t="shared" si="2"/>
        <v>119.57767342355183</v>
      </c>
      <c r="X37" s="19">
        <v>4</v>
      </c>
    </row>
    <row r="38" spans="1:28" x14ac:dyDescent="0.3">
      <c r="A38" s="3">
        <v>2</v>
      </c>
      <c r="G38" s="22" t="s">
        <v>3</v>
      </c>
      <c r="J38" s="3" t="s">
        <v>104</v>
      </c>
      <c r="M38" s="3">
        <v>1</v>
      </c>
      <c r="Q38" s="15">
        <f>11600*Conversion_factors!$C$2</f>
        <v>1077.675264</v>
      </c>
      <c r="R38" s="22"/>
      <c r="S38" s="17" t="s">
        <v>4</v>
      </c>
      <c r="T38" s="3">
        <v>2320</v>
      </c>
      <c r="U38" s="15">
        <f>(15259.35*Conversion_factors!$C$7)+(267.69/Conversion_factors!C1)*T38</f>
        <v>661683.00260369189</v>
      </c>
      <c r="V38" s="3" t="s">
        <v>28</v>
      </c>
      <c r="W38" s="13">
        <f t="shared" si="2"/>
        <v>613.99108312807289</v>
      </c>
      <c r="X38" s="19">
        <v>4</v>
      </c>
    </row>
    <row r="39" spans="1:28" x14ac:dyDescent="0.3">
      <c r="A39" s="3">
        <v>2</v>
      </c>
      <c r="G39" s="22" t="s">
        <v>3</v>
      </c>
      <c r="J39" s="3" t="s">
        <v>104</v>
      </c>
      <c r="M39" s="3">
        <v>1</v>
      </c>
      <c r="Q39" s="15">
        <f>11600*Conversion_factors!$C$2</f>
        <v>1077.675264</v>
      </c>
      <c r="R39" s="22"/>
      <c r="S39" s="17" t="s">
        <v>29</v>
      </c>
      <c r="U39" s="3">
        <v>12700</v>
      </c>
      <c r="V39" s="3" t="s">
        <v>28</v>
      </c>
      <c r="W39" s="13">
        <f t="shared" si="2"/>
        <v>11.784626059673576</v>
      </c>
      <c r="X39" s="19">
        <v>4</v>
      </c>
    </row>
    <row r="40" spans="1:28" x14ac:dyDescent="0.3">
      <c r="A40" s="3">
        <v>2</v>
      </c>
      <c r="G40" s="22" t="s">
        <v>3</v>
      </c>
      <c r="J40" s="3" t="s">
        <v>104</v>
      </c>
      <c r="M40" s="3">
        <v>1</v>
      </c>
      <c r="Q40" s="15">
        <f>11600*Conversion_factors!$C$2</f>
        <v>1077.675264</v>
      </c>
      <c r="R40" s="22"/>
      <c r="S40" s="17" t="s">
        <v>71</v>
      </c>
      <c r="U40" s="15">
        <f>4750.2*Conversion_factors!$C$3</f>
        <v>63508.440679333653</v>
      </c>
      <c r="V40" s="3" t="s">
        <v>28</v>
      </c>
      <c r="W40" s="13">
        <f t="shared" si="2"/>
        <v>58.930962601488879</v>
      </c>
      <c r="X40" s="19">
        <v>4</v>
      </c>
    </row>
    <row r="41" spans="1:28" x14ac:dyDescent="0.3">
      <c r="A41" s="3">
        <v>2</v>
      </c>
      <c r="G41" s="22" t="s">
        <v>3</v>
      </c>
      <c r="J41" s="3" t="s">
        <v>104</v>
      </c>
      <c r="M41" s="3">
        <v>1</v>
      </c>
      <c r="Q41" s="15">
        <f>11600*Conversion_factors!$C$2</f>
        <v>1077.675264</v>
      </c>
      <c r="R41" s="22"/>
      <c r="S41" s="17" t="s">
        <v>70</v>
      </c>
      <c r="T41" s="3">
        <v>2162</v>
      </c>
      <c r="U41" s="15">
        <f>(397.89/Conversion_factors!C1)*T25</f>
        <v>657674.44954128435</v>
      </c>
      <c r="V41" s="3" t="s">
        <v>28</v>
      </c>
      <c r="W41" s="13">
        <f t="shared" si="2"/>
        <v>610.27145329493646</v>
      </c>
      <c r="X41" s="19">
        <v>4</v>
      </c>
    </row>
    <row r="42" spans="1:28" x14ac:dyDescent="0.3">
      <c r="G42" s="22"/>
      <c r="Q42" s="15">
        <f>11600*Conversion_factors!$C$2</f>
        <v>1077.675264</v>
      </c>
      <c r="R42" s="22"/>
      <c r="S42" s="17" t="s">
        <v>37</v>
      </c>
      <c r="U42" s="15">
        <f>8181*Conversion_factors!$C$2*Conversion_factors!$C$5</f>
        <v>7600.3977024000005</v>
      </c>
      <c r="V42" s="3" t="s">
        <v>28</v>
      </c>
      <c r="W42" s="13">
        <f t="shared" si="2"/>
        <v>7.0525862068965521</v>
      </c>
      <c r="X42" s="19">
        <v>4</v>
      </c>
    </row>
    <row r="43" spans="1:28" x14ac:dyDescent="0.3">
      <c r="G43" s="22"/>
      <c r="R43" s="22"/>
      <c r="S43" s="17" t="s">
        <v>2</v>
      </c>
      <c r="W43" s="13">
        <f>AVERAGE(W29,W22)</f>
        <v>41.701651617109775</v>
      </c>
      <c r="X43" s="17">
        <v>1</v>
      </c>
      <c r="AA43" s="3" t="s">
        <v>132</v>
      </c>
    </row>
    <row r="44" spans="1:28" x14ac:dyDescent="0.3">
      <c r="G44" s="22"/>
      <c r="R44" s="22"/>
      <c r="S44" s="17" t="s">
        <v>4</v>
      </c>
      <c r="W44" s="13">
        <f>AVERAGE(W23,W30)</f>
        <v>533.37582751078969</v>
      </c>
      <c r="X44" s="17">
        <v>1</v>
      </c>
      <c r="AA44" s="3" t="s">
        <v>132</v>
      </c>
    </row>
    <row r="45" spans="1:28" x14ac:dyDescent="0.3">
      <c r="G45" s="22"/>
      <c r="R45" s="22"/>
      <c r="S45" s="17" t="s">
        <v>29</v>
      </c>
      <c r="W45" s="13">
        <f>AVERAGE(W24,W31)</f>
        <v>9.6689881006949641</v>
      </c>
      <c r="X45" s="17">
        <v>1</v>
      </c>
      <c r="AA45" s="3" t="s">
        <v>132</v>
      </c>
    </row>
    <row r="46" spans="1:28" x14ac:dyDescent="0.3">
      <c r="G46" s="22"/>
      <c r="R46" s="22"/>
      <c r="S46" s="17" t="s">
        <v>37</v>
      </c>
      <c r="W46" s="13">
        <f>AVERAGE(W27,W32)</f>
        <v>4.6199175824175818</v>
      </c>
      <c r="X46" s="17">
        <v>1</v>
      </c>
      <c r="AA46" s="3" t="s">
        <v>132</v>
      </c>
    </row>
    <row r="47" spans="1:28" x14ac:dyDescent="0.3">
      <c r="G47" s="22"/>
      <c r="R47" s="22"/>
      <c r="S47" s="17" t="s">
        <v>71</v>
      </c>
      <c r="W47" s="13">
        <f>AVERAGE(W26,0)</f>
        <v>35.286622783602134</v>
      </c>
      <c r="X47" s="17">
        <v>1</v>
      </c>
      <c r="AA47" s="3" t="s">
        <v>132</v>
      </c>
    </row>
    <row r="48" spans="1:28" x14ac:dyDescent="0.3">
      <c r="G48" s="22"/>
      <c r="R48" s="22"/>
      <c r="S48" s="17" t="s">
        <v>7</v>
      </c>
      <c r="W48" s="13">
        <f>AVERAGE(W25,0)</f>
        <v>138.15273287614193</v>
      </c>
      <c r="X48" s="17">
        <v>1</v>
      </c>
      <c r="AA48" s="3" t="s">
        <v>132</v>
      </c>
      <c r="AB48" s="27" t="s">
        <v>147</v>
      </c>
    </row>
    <row r="49" spans="7:28" x14ac:dyDescent="0.3">
      <c r="G49" s="22"/>
      <c r="R49" s="22"/>
      <c r="S49" s="17" t="s">
        <v>5</v>
      </c>
      <c r="W49" s="13">
        <f>W28</f>
        <v>0.1812478688523608</v>
      </c>
      <c r="X49" s="17">
        <v>1</v>
      </c>
      <c r="AA49" s="3" t="s">
        <v>132</v>
      </c>
    </row>
    <row r="50" spans="7:28" x14ac:dyDescent="0.3">
      <c r="G50" s="22"/>
      <c r="R50" s="22"/>
      <c r="S50" s="17" t="s">
        <v>70</v>
      </c>
      <c r="W50" s="13">
        <f>AVERAGE(W10,W11,W20)</f>
        <v>294.61119520136981</v>
      </c>
      <c r="X50" s="17">
        <v>2</v>
      </c>
      <c r="AA50" s="3" t="s">
        <v>135</v>
      </c>
    </row>
    <row r="51" spans="7:28" x14ac:dyDescent="0.3">
      <c r="G51" s="22"/>
      <c r="R51" s="22"/>
      <c r="S51" s="17" t="s">
        <v>4</v>
      </c>
      <c r="W51" s="13">
        <f>AVERAGE(W8,W12,W18)</f>
        <v>658.34124257272117</v>
      </c>
      <c r="X51" s="17">
        <v>2</v>
      </c>
      <c r="AA51" s="3" t="s">
        <v>135</v>
      </c>
    </row>
    <row r="52" spans="7:28" x14ac:dyDescent="0.3">
      <c r="G52" s="22"/>
      <c r="R52" s="22"/>
      <c r="S52" s="17" t="s">
        <v>2</v>
      </c>
      <c r="W52" s="13">
        <f>AVERAGE(W13,W17,W9)</f>
        <v>82.599597758575882</v>
      </c>
      <c r="X52" s="17">
        <v>2</v>
      </c>
      <c r="AA52" s="3" t="s">
        <v>135</v>
      </c>
    </row>
    <row r="53" spans="7:28" x14ac:dyDescent="0.3">
      <c r="G53" s="22"/>
      <c r="R53" s="22"/>
      <c r="S53" s="17" t="s">
        <v>29</v>
      </c>
      <c r="W53" s="13">
        <f>AVERAGE(W14,W19,0)</f>
        <v>2.0979354229901346</v>
      </c>
      <c r="X53" s="17">
        <v>2</v>
      </c>
      <c r="AA53" s="3" t="s">
        <v>135</v>
      </c>
    </row>
    <row r="54" spans="7:28" x14ac:dyDescent="0.3">
      <c r="G54" s="22"/>
      <c r="R54" s="22"/>
      <c r="S54" s="17" t="s">
        <v>71</v>
      </c>
      <c r="W54" s="13">
        <f>AVERAGE(W15,0,0)</f>
        <v>8.9690998711217897</v>
      </c>
      <c r="X54" s="17">
        <v>2</v>
      </c>
      <c r="AA54" s="3" t="s">
        <v>135</v>
      </c>
    </row>
    <row r="55" spans="7:28" x14ac:dyDescent="0.3">
      <c r="G55" s="22"/>
      <c r="R55" s="22"/>
      <c r="S55" s="17" t="s">
        <v>7</v>
      </c>
      <c r="W55" s="13">
        <f>AVERAGE(W10,W11,W20)</f>
        <v>294.61119520136981</v>
      </c>
      <c r="X55" s="17">
        <v>2</v>
      </c>
      <c r="AA55" s="3" t="s">
        <v>135</v>
      </c>
      <c r="AB55" s="27" t="s">
        <v>147</v>
      </c>
    </row>
    <row r="56" spans="7:28" x14ac:dyDescent="0.3">
      <c r="G56" s="22"/>
      <c r="R56" s="22"/>
      <c r="S56" s="17" t="s">
        <v>37</v>
      </c>
      <c r="W56" s="13">
        <f>AVERAGE(W21,W16,0)</f>
        <v>1.8540004278990159</v>
      </c>
      <c r="X56" s="17">
        <v>2</v>
      </c>
      <c r="AA56" s="3" t="s">
        <v>135</v>
      </c>
    </row>
    <row r="57" spans="7:28" x14ac:dyDescent="0.3">
      <c r="G57" s="22"/>
      <c r="R57" s="22"/>
      <c r="S57" s="17" t="s">
        <v>2</v>
      </c>
      <c r="W57" s="13">
        <f>AVERAGE(W33,W37)</f>
        <v>131.50915484780472</v>
      </c>
      <c r="X57" s="17">
        <v>4</v>
      </c>
      <c r="AA57" s="3" t="s">
        <v>142</v>
      </c>
    </row>
    <row r="58" spans="7:28" x14ac:dyDescent="0.3">
      <c r="G58" s="22"/>
      <c r="R58" s="22"/>
      <c r="S58" s="17" t="s">
        <v>4</v>
      </c>
      <c r="W58" s="13">
        <f>AVERAGE(W34,W38)</f>
        <v>835.32049822974261</v>
      </c>
      <c r="X58" s="17">
        <v>4</v>
      </c>
      <c r="AA58" s="3" t="s">
        <v>142</v>
      </c>
    </row>
    <row r="59" spans="7:28" x14ac:dyDescent="0.3">
      <c r="G59" s="22"/>
      <c r="R59" s="22"/>
      <c r="S59" s="17" t="s">
        <v>71</v>
      </c>
      <c r="W59" s="13">
        <f>AVERAGE(W40,0)</f>
        <v>29.46548130074444</v>
      </c>
      <c r="X59" s="17">
        <v>4</v>
      </c>
      <c r="AA59" s="3" t="s">
        <v>142</v>
      </c>
    </row>
    <row r="60" spans="7:28" x14ac:dyDescent="0.3">
      <c r="G60" s="22"/>
      <c r="R60" s="22"/>
      <c r="S60" s="17" t="s">
        <v>7</v>
      </c>
      <c r="W60" s="13">
        <f>AVERAGE(W41,0)</f>
        <v>305.13572664746823</v>
      </c>
      <c r="X60" s="17">
        <v>4</v>
      </c>
      <c r="AA60" s="3" t="s">
        <v>142</v>
      </c>
      <c r="AB60" s="27" t="s">
        <v>147</v>
      </c>
    </row>
    <row r="61" spans="7:28" x14ac:dyDescent="0.3">
      <c r="G61" s="22"/>
      <c r="R61" s="22"/>
      <c r="S61" s="17" t="s">
        <v>29</v>
      </c>
      <c r="W61" s="13">
        <f>AVERAGE(W35,W39)</f>
        <v>7.8612018723994321</v>
      </c>
      <c r="X61" s="17">
        <v>4</v>
      </c>
      <c r="AA61" s="3" t="s">
        <v>142</v>
      </c>
    </row>
    <row r="62" spans="7:28" x14ac:dyDescent="0.3">
      <c r="G62" s="22"/>
      <c r="R62" s="22"/>
      <c r="S62" s="17" t="s">
        <v>37</v>
      </c>
      <c r="W62" s="13">
        <f>AVERAGE(W36,W42)</f>
        <v>4.8694757468760175</v>
      </c>
      <c r="X62" s="17">
        <v>4</v>
      </c>
      <c r="AA62" s="3" t="s">
        <v>142</v>
      </c>
    </row>
    <row r="63" spans="7:28" x14ac:dyDescent="0.3">
      <c r="G63" s="22"/>
      <c r="R63" s="22"/>
      <c r="S63" s="17"/>
      <c r="W63" s="13"/>
      <c r="X63" s="13"/>
    </row>
    <row r="64" spans="7:28" x14ac:dyDescent="0.3">
      <c r="G64" s="22"/>
      <c r="R64" s="22"/>
      <c r="S64" s="17"/>
      <c r="W64" s="13"/>
      <c r="X64" s="13"/>
    </row>
    <row r="65" spans="7:24" x14ac:dyDescent="0.3">
      <c r="G65" s="22"/>
      <c r="R65" s="22"/>
      <c r="S65" s="17"/>
      <c r="W65" s="13"/>
      <c r="X65" s="13"/>
    </row>
    <row r="66" spans="7:24" x14ac:dyDescent="0.3">
      <c r="G66" s="22"/>
      <c r="R66" s="22"/>
      <c r="S66" s="17"/>
      <c r="W66" s="13"/>
      <c r="X66" s="13"/>
    </row>
    <row r="67" spans="7:24" x14ac:dyDescent="0.3">
      <c r="G67" s="22"/>
      <c r="R67" s="22"/>
      <c r="S67" s="17"/>
      <c r="W67" s="13"/>
      <c r="X67" s="13"/>
    </row>
    <row r="68" spans="7:24" x14ac:dyDescent="0.3">
      <c r="G68" s="22"/>
      <c r="R68" s="22"/>
      <c r="S68" s="17"/>
      <c r="W68" s="13"/>
      <c r="X68" s="13"/>
    </row>
    <row r="69" spans="7:24" x14ac:dyDescent="0.3">
      <c r="G69" s="22"/>
      <c r="R69" s="22"/>
      <c r="S69" s="17"/>
      <c r="W69" s="13"/>
      <c r="X69" s="13"/>
    </row>
    <row r="70" spans="7:24" x14ac:dyDescent="0.3">
      <c r="G70" s="22"/>
      <c r="R70" s="22"/>
      <c r="S70" s="17"/>
      <c r="W70" s="13"/>
      <c r="X70" s="13"/>
    </row>
    <row r="71" spans="7:24" x14ac:dyDescent="0.3">
      <c r="G71" s="22"/>
      <c r="R71" s="22"/>
      <c r="S71" s="17"/>
      <c r="W71" s="13"/>
      <c r="X71" s="13"/>
    </row>
    <row r="72" spans="7:24" x14ac:dyDescent="0.3">
      <c r="G72" s="22"/>
      <c r="R72" s="22"/>
      <c r="S72" s="17"/>
      <c r="W72" s="13"/>
      <c r="X72" s="13"/>
    </row>
    <row r="73" spans="7:24" x14ac:dyDescent="0.3">
      <c r="G73" s="22"/>
      <c r="R73" s="22"/>
      <c r="S73" s="17"/>
      <c r="W73" s="13"/>
      <c r="X73" s="13"/>
    </row>
    <row r="74" spans="7:24" x14ac:dyDescent="0.3">
      <c r="G74" s="22"/>
      <c r="R74" s="22"/>
      <c r="S74" s="17"/>
      <c r="W74" s="13"/>
      <c r="X74" s="13"/>
    </row>
    <row r="75" spans="7:24" x14ac:dyDescent="0.3">
      <c r="G75" s="22"/>
      <c r="R75" s="22"/>
      <c r="S75" s="17"/>
      <c r="W75" s="13"/>
      <c r="X75" s="13"/>
    </row>
    <row r="76" spans="7:24" x14ac:dyDescent="0.3">
      <c r="G76" s="22"/>
      <c r="R76" s="22"/>
      <c r="S76" s="17"/>
      <c r="W76" s="13"/>
      <c r="X76" s="13"/>
    </row>
    <row r="77" spans="7:24" x14ac:dyDescent="0.3">
      <c r="G77" s="22"/>
      <c r="R77" s="22"/>
      <c r="S77" s="17"/>
      <c r="W77" s="13"/>
      <c r="X77" s="13"/>
    </row>
    <row r="78" spans="7:24" x14ac:dyDescent="0.3">
      <c r="G78" s="22"/>
      <c r="R78" s="22"/>
      <c r="S78" s="17"/>
      <c r="W78" s="13"/>
      <c r="X78" s="13"/>
    </row>
    <row r="79" spans="7:24" x14ac:dyDescent="0.3">
      <c r="G79" s="22"/>
      <c r="R79" s="22"/>
      <c r="S79" s="17"/>
      <c r="W79" s="13"/>
      <c r="X79" s="13"/>
    </row>
    <row r="80" spans="7:24" x14ac:dyDescent="0.3">
      <c r="G80" s="22"/>
      <c r="R80" s="22"/>
      <c r="S80" s="17"/>
      <c r="W80" s="13"/>
      <c r="X80" s="13"/>
    </row>
    <row r="81" spans="7:24" x14ac:dyDescent="0.3">
      <c r="G81" s="22"/>
      <c r="R81" s="22"/>
      <c r="S81" s="17"/>
      <c r="W81" s="13"/>
      <c r="X81" s="13"/>
    </row>
    <row r="82" spans="7:24" x14ac:dyDescent="0.3">
      <c r="G82" s="22"/>
      <c r="R82" s="22"/>
      <c r="S82" s="17"/>
      <c r="W82" s="13"/>
      <c r="X82" s="13"/>
    </row>
    <row r="83" spans="7:24" x14ac:dyDescent="0.3">
      <c r="G83" s="22"/>
      <c r="R83" s="22"/>
      <c r="S83" s="17"/>
      <c r="W83" s="13"/>
      <c r="X83" s="13"/>
    </row>
    <row r="84" spans="7:24" x14ac:dyDescent="0.3">
      <c r="G84" s="22"/>
      <c r="R84" s="22"/>
      <c r="S84" s="17"/>
      <c r="W84" s="13"/>
      <c r="X84" s="13"/>
    </row>
    <row r="85" spans="7:24" x14ac:dyDescent="0.3">
      <c r="G85" s="22"/>
      <c r="R85" s="22"/>
      <c r="S85" s="17"/>
      <c r="W85" s="13"/>
      <c r="X85" s="13"/>
    </row>
    <row r="86" spans="7:24" x14ac:dyDescent="0.3">
      <c r="G86" s="22"/>
      <c r="R86" s="22"/>
      <c r="S86" s="17"/>
      <c r="W86" s="13"/>
      <c r="X86" s="13"/>
    </row>
    <row r="87" spans="7:24" x14ac:dyDescent="0.3">
      <c r="G87" s="22"/>
      <c r="R87" s="22"/>
      <c r="S87" s="17"/>
      <c r="W87" s="13"/>
      <c r="X87" s="13"/>
    </row>
    <row r="88" spans="7:24" x14ac:dyDescent="0.3">
      <c r="G88" s="22"/>
      <c r="R88" s="22"/>
      <c r="S88" s="17"/>
      <c r="W88" s="13"/>
      <c r="X88" s="13"/>
    </row>
    <row r="89" spans="7:24" x14ac:dyDescent="0.3">
      <c r="G89" s="22"/>
      <c r="R89" s="22"/>
      <c r="S89" s="17"/>
      <c r="W89" s="13"/>
      <c r="X89" s="13"/>
    </row>
    <row r="90" spans="7:24" x14ac:dyDescent="0.3">
      <c r="G90" s="22"/>
      <c r="R90" s="22"/>
      <c r="S90" s="17"/>
      <c r="W90" s="13"/>
      <c r="X90" s="13"/>
    </row>
    <row r="91" spans="7:24" x14ac:dyDescent="0.3">
      <c r="G91" s="22"/>
      <c r="R91" s="22"/>
      <c r="S91" s="17"/>
      <c r="W91" s="13"/>
      <c r="X91" s="13"/>
    </row>
    <row r="92" spans="7:24" x14ac:dyDescent="0.3">
      <c r="G92" s="22"/>
      <c r="R92" s="22"/>
      <c r="S92" s="17"/>
      <c r="W92" s="13"/>
      <c r="X92" s="13"/>
    </row>
    <row r="93" spans="7:24" x14ac:dyDescent="0.3">
      <c r="G93" s="22"/>
      <c r="R93" s="22"/>
      <c r="S93" s="17"/>
      <c r="W93" s="13"/>
      <c r="X93" s="13"/>
    </row>
    <row r="94" spans="7:24" x14ac:dyDescent="0.3">
      <c r="G94" s="22"/>
      <c r="R94" s="22"/>
      <c r="S94" s="17"/>
      <c r="W94" s="13"/>
      <c r="X94" s="13"/>
    </row>
    <row r="95" spans="7:24" x14ac:dyDescent="0.3">
      <c r="G95" s="22"/>
      <c r="R95" s="22"/>
      <c r="S95" s="17"/>
      <c r="W95" s="13"/>
      <c r="X95" s="13"/>
    </row>
    <row r="96" spans="7:24" x14ac:dyDescent="0.3">
      <c r="G96" s="22"/>
      <c r="R96" s="22"/>
      <c r="S96" s="17"/>
      <c r="W96" s="13"/>
      <c r="X96" s="13"/>
    </row>
    <row r="97" spans="7:24" x14ac:dyDescent="0.3">
      <c r="G97" s="22"/>
      <c r="R97" s="22"/>
      <c r="S97" s="17"/>
      <c r="W97" s="13"/>
      <c r="X97" s="13"/>
    </row>
    <row r="98" spans="7:24" x14ac:dyDescent="0.3">
      <c r="G98" s="22"/>
      <c r="R98" s="22"/>
      <c r="S98" s="17"/>
      <c r="W98" s="13"/>
      <c r="X98" s="13"/>
    </row>
    <row r="99" spans="7:24" x14ac:dyDescent="0.3">
      <c r="G99" s="22"/>
      <c r="R99" s="22"/>
      <c r="S99" s="17"/>
      <c r="W99" s="13"/>
      <c r="X99" s="13"/>
    </row>
    <row r="100" spans="7:24" x14ac:dyDescent="0.3">
      <c r="G100" s="22"/>
      <c r="R100" s="22"/>
      <c r="S100" s="17"/>
      <c r="W100" s="13"/>
      <c r="X100" s="13"/>
    </row>
    <row r="101" spans="7:24" x14ac:dyDescent="0.3">
      <c r="G101" s="22"/>
      <c r="R101" s="22"/>
      <c r="S101" s="17"/>
      <c r="W101" s="13"/>
      <c r="X101" s="13"/>
    </row>
    <row r="102" spans="7:24" x14ac:dyDescent="0.3">
      <c r="G102" s="22"/>
      <c r="R102" s="22"/>
      <c r="S102" s="17"/>
      <c r="W102" s="13"/>
      <c r="X102" s="13"/>
    </row>
    <row r="103" spans="7:24" x14ac:dyDescent="0.3">
      <c r="G103" s="22"/>
      <c r="R103" s="22"/>
      <c r="S103" s="17"/>
      <c r="W103" s="13"/>
      <c r="X103" s="13"/>
    </row>
    <row r="104" spans="7:24" x14ac:dyDescent="0.3">
      <c r="G104" s="22"/>
      <c r="R104" s="22"/>
      <c r="S104" s="17"/>
      <c r="W104" s="13"/>
      <c r="X104" s="13"/>
    </row>
    <row r="105" spans="7:24" x14ac:dyDescent="0.3">
      <c r="G105" s="22"/>
      <c r="R105" s="22"/>
      <c r="S105" s="17"/>
      <c r="W105" s="13"/>
      <c r="X105" s="13"/>
    </row>
    <row r="106" spans="7:24" x14ac:dyDescent="0.3">
      <c r="G106" s="22"/>
      <c r="R106" s="22"/>
      <c r="S106" s="17"/>
      <c r="W106" s="13"/>
      <c r="X106" s="13"/>
    </row>
    <row r="107" spans="7:24" x14ac:dyDescent="0.3">
      <c r="G107" s="22"/>
      <c r="R107" s="22"/>
      <c r="S107" s="17"/>
      <c r="W107" s="13"/>
      <c r="X107" s="13"/>
    </row>
    <row r="108" spans="7:24" x14ac:dyDescent="0.3">
      <c r="G108" s="22"/>
      <c r="R108" s="22"/>
      <c r="S108" s="17"/>
      <c r="W108" s="13"/>
      <c r="X108" s="13"/>
    </row>
    <row r="109" spans="7:24" x14ac:dyDescent="0.3">
      <c r="G109" s="22"/>
      <c r="R109" s="22"/>
      <c r="S109" s="17"/>
      <c r="W109" s="13"/>
      <c r="X109" s="13"/>
    </row>
    <row r="110" spans="7:24" x14ac:dyDescent="0.3">
      <c r="G110" s="22"/>
      <c r="R110" s="22"/>
      <c r="S110" s="17"/>
      <c r="W110" s="13"/>
      <c r="X110" s="13"/>
    </row>
    <row r="111" spans="7:24" x14ac:dyDescent="0.3">
      <c r="G111" s="22"/>
      <c r="R111" s="22"/>
      <c r="S111" s="17"/>
      <c r="W111" s="13"/>
      <c r="X111" s="13"/>
    </row>
    <row r="112" spans="7:24" x14ac:dyDescent="0.3">
      <c r="G112" s="22"/>
      <c r="R112" s="22"/>
      <c r="S112" s="17"/>
      <c r="W112" s="13"/>
      <c r="X112" s="13"/>
    </row>
    <row r="113" spans="7:24" x14ac:dyDescent="0.3">
      <c r="G113" s="22"/>
      <c r="R113" s="22"/>
      <c r="S113" s="17"/>
      <c r="W113" s="13"/>
      <c r="X113" s="13"/>
    </row>
    <row r="114" spans="7:24" x14ac:dyDescent="0.3">
      <c r="G114" s="22"/>
      <c r="R114" s="22"/>
      <c r="S114" s="17"/>
      <c r="W114" s="13"/>
      <c r="X114" s="13"/>
    </row>
    <row r="115" spans="7:24" x14ac:dyDescent="0.3">
      <c r="G115" s="22"/>
      <c r="R115" s="22"/>
      <c r="S115" s="17"/>
      <c r="W115" s="13"/>
      <c r="X115" s="13"/>
    </row>
    <row r="116" spans="7:24" x14ac:dyDescent="0.3">
      <c r="G116" s="22"/>
      <c r="R116" s="22"/>
      <c r="S116" s="17"/>
      <c r="W116" s="13"/>
      <c r="X116" s="13"/>
    </row>
    <row r="117" spans="7:24" x14ac:dyDescent="0.3">
      <c r="G117" s="22"/>
      <c r="R117" s="22"/>
      <c r="S117" s="17"/>
      <c r="W117" s="13"/>
      <c r="X117" s="13"/>
    </row>
    <row r="118" spans="7:24" x14ac:dyDescent="0.3">
      <c r="G118" s="22"/>
      <c r="R118" s="22"/>
      <c r="S118" s="17"/>
      <c r="W118" s="13"/>
      <c r="X118" s="13"/>
    </row>
    <row r="119" spans="7:24" x14ac:dyDescent="0.3">
      <c r="G119" s="22"/>
      <c r="R119" s="22"/>
      <c r="S119" s="17"/>
      <c r="W119" s="13"/>
      <c r="X119" s="13"/>
    </row>
    <row r="120" spans="7:24" x14ac:dyDescent="0.3">
      <c r="G120" s="22"/>
      <c r="R120" s="22"/>
      <c r="S120" s="17"/>
      <c r="W120" s="13"/>
      <c r="X120" s="13"/>
    </row>
    <row r="121" spans="7:24" x14ac:dyDescent="0.3">
      <c r="G121" s="22"/>
      <c r="R121" s="22"/>
      <c r="S121" s="17"/>
      <c r="W121" s="13"/>
      <c r="X121" s="13"/>
    </row>
    <row r="122" spans="7:24" x14ac:dyDescent="0.3">
      <c r="G122" s="22"/>
      <c r="R122" s="22"/>
      <c r="S122" s="17"/>
      <c r="W122" s="13"/>
      <c r="X122" s="13"/>
    </row>
    <row r="123" spans="7:24" x14ac:dyDescent="0.3">
      <c r="G123" s="22"/>
      <c r="R123" s="22"/>
      <c r="S123" s="17"/>
      <c r="W123" s="13"/>
      <c r="X123" s="13"/>
    </row>
    <row r="124" spans="7:24" x14ac:dyDescent="0.3">
      <c r="G124" s="22"/>
      <c r="R124" s="22"/>
      <c r="S124" s="17"/>
      <c r="W124" s="13"/>
      <c r="X124" s="13"/>
    </row>
    <row r="125" spans="7:24" x14ac:dyDescent="0.3">
      <c r="G125" s="22"/>
      <c r="R125" s="22"/>
      <c r="S125" s="17"/>
      <c r="W125" s="13"/>
      <c r="X125" s="13"/>
    </row>
    <row r="126" spans="7:24" x14ac:dyDescent="0.3">
      <c r="G126" s="22"/>
      <c r="R126" s="22"/>
      <c r="S126" s="17"/>
      <c r="W126" s="13"/>
      <c r="X126" s="13"/>
    </row>
    <row r="127" spans="7:24" x14ac:dyDescent="0.3">
      <c r="G127" s="22"/>
      <c r="R127" s="22"/>
      <c r="S127" s="17"/>
      <c r="W127" s="13"/>
      <c r="X127" s="13"/>
    </row>
    <row r="128" spans="7:24" x14ac:dyDescent="0.3">
      <c r="G128" s="22"/>
      <c r="R128" s="22"/>
      <c r="S128" s="17"/>
      <c r="W128" s="13"/>
      <c r="X128" s="13"/>
    </row>
    <row r="129" spans="7:24" x14ac:dyDescent="0.3">
      <c r="G129" s="22"/>
      <c r="R129" s="22"/>
      <c r="S129" s="17"/>
      <c r="W129" s="13"/>
      <c r="X129" s="13"/>
    </row>
    <row r="130" spans="7:24" x14ac:dyDescent="0.3">
      <c r="G130" s="22"/>
      <c r="R130" s="22"/>
      <c r="S130" s="17"/>
      <c r="W130" s="13"/>
      <c r="X130" s="13"/>
    </row>
    <row r="131" spans="7:24" x14ac:dyDescent="0.3">
      <c r="G131" s="22"/>
      <c r="R131" s="22"/>
      <c r="S131" s="17"/>
      <c r="W131" s="13"/>
      <c r="X131" s="13"/>
    </row>
    <row r="132" spans="7:24" x14ac:dyDescent="0.3">
      <c r="G132" s="22"/>
      <c r="R132" s="22"/>
      <c r="S132" s="17"/>
      <c r="W132" s="13"/>
      <c r="X132" s="13"/>
    </row>
    <row r="133" spans="7:24" x14ac:dyDescent="0.3">
      <c r="G133" s="22"/>
      <c r="R133" s="22"/>
      <c r="S133" s="17"/>
      <c r="W133" s="13"/>
      <c r="X133" s="13"/>
    </row>
    <row r="134" spans="7:24" x14ac:dyDescent="0.3">
      <c r="G134" s="22"/>
      <c r="R134" s="22"/>
      <c r="S134" s="17"/>
      <c r="W134" s="13"/>
      <c r="X134" s="13"/>
    </row>
    <row r="135" spans="7:24" x14ac:dyDescent="0.3">
      <c r="G135" s="22"/>
      <c r="R135" s="22"/>
      <c r="S135" s="17"/>
      <c r="W135" s="13"/>
      <c r="X135" s="13"/>
    </row>
    <row r="136" spans="7:24" x14ac:dyDescent="0.3">
      <c r="G136" s="22"/>
      <c r="R136" s="22"/>
      <c r="S136" s="17"/>
      <c r="W136" s="13"/>
      <c r="X136" s="13"/>
    </row>
    <row r="137" spans="7:24" x14ac:dyDescent="0.3">
      <c r="G137" s="22"/>
      <c r="R137" s="22"/>
      <c r="S137" s="17"/>
      <c r="W137" s="13"/>
      <c r="X137" s="13"/>
    </row>
    <row r="138" spans="7:24" x14ac:dyDescent="0.3">
      <c r="G138" s="22"/>
      <c r="R138" s="22"/>
      <c r="S138" s="17"/>
      <c r="W138" s="13"/>
      <c r="X138" s="13"/>
    </row>
    <row r="139" spans="7:24" x14ac:dyDescent="0.3">
      <c r="G139" s="22"/>
      <c r="R139" s="22"/>
      <c r="S139" s="17"/>
      <c r="W139" s="13"/>
      <c r="X139" s="13"/>
    </row>
    <row r="140" spans="7:24" x14ac:dyDescent="0.3">
      <c r="G140" s="22"/>
      <c r="R140" s="22"/>
      <c r="S140" s="17"/>
      <c r="W140" s="13"/>
      <c r="X140" s="13"/>
    </row>
    <row r="141" spans="7:24" x14ac:dyDescent="0.3">
      <c r="G141" s="22"/>
      <c r="R141" s="22"/>
      <c r="S141" s="17"/>
      <c r="W141" s="13"/>
      <c r="X141" s="13"/>
    </row>
    <row r="142" spans="7:24" x14ac:dyDescent="0.3">
      <c r="G142" s="22"/>
      <c r="R142" s="22"/>
      <c r="S142" s="17"/>
      <c r="W142" s="13"/>
      <c r="X142" s="13"/>
    </row>
    <row r="143" spans="7:24" x14ac:dyDescent="0.3">
      <c r="G143" s="22"/>
      <c r="R143" s="22"/>
      <c r="S143" s="17"/>
      <c r="W143" s="13"/>
      <c r="X143" s="13"/>
    </row>
    <row r="144" spans="7:24" x14ac:dyDescent="0.3">
      <c r="G144" s="22"/>
      <c r="R144" s="22"/>
      <c r="S144" s="17"/>
      <c r="W144" s="13"/>
      <c r="X144" s="13"/>
    </row>
    <row r="145" spans="7:24" x14ac:dyDescent="0.3">
      <c r="G145" s="22"/>
      <c r="R145" s="22"/>
      <c r="S145" s="17"/>
      <c r="W145" s="13"/>
      <c r="X145" s="13"/>
    </row>
    <row r="146" spans="7:24" x14ac:dyDescent="0.3">
      <c r="G146" s="22"/>
      <c r="R146" s="22"/>
      <c r="S146" s="17"/>
      <c r="W146" s="13"/>
      <c r="X146" s="13"/>
    </row>
    <row r="147" spans="7:24" x14ac:dyDescent="0.3">
      <c r="G147" s="22"/>
      <c r="R147" s="22"/>
      <c r="S147" s="17"/>
      <c r="W147" s="13"/>
      <c r="X147" s="13"/>
    </row>
    <row r="148" spans="7:24" x14ac:dyDescent="0.3">
      <c r="G148" s="22"/>
      <c r="R148" s="22"/>
      <c r="S148" s="17"/>
      <c r="W148" s="13"/>
      <c r="X148" s="13"/>
    </row>
    <row r="149" spans="7:24" x14ac:dyDescent="0.3">
      <c r="G149" s="22"/>
      <c r="R149" s="22"/>
      <c r="S149" s="17"/>
      <c r="W149" s="13"/>
      <c r="X149" s="13"/>
    </row>
    <row r="150" spans="7:24" x14ac:dyDescent="0.3">
      <c r="G150" s="22"/>
      <c r="R150" s="22"/>
      <c r="S150" s="17"/>
      <c r="W150" s="13"/>
      <c r="X150" s="13"/>
    </row>
    <row r="151" spans="7:24" x14ac:dyDescent="0.3">
      <c r="G151" s="22"/>
      <c r="R151" s="22"/>
      <c r="S151" s="17"/>
      <c r="W151" s="13"/>
      <c r="X151" s="13"/>
    </row>
    <row r="152" spans="7:24" x14ac:dyDescent="0.3">
      <c r="G152" s="22"/>
      <c r="R152" s="22"/>
      <c r="S152" s="17"/>
      <c r="W152" s="13"/>
      <c r="X152" s="13"/>
    </row>
    <row r="153" spans="7:24" x14ac:dyDescent="0.3">
      <c r="G153" s="22"/>
      <c r="R153" s="22"/>
      <c r="S153" s="17"/>
      <c r="W153" s="13"/>
      <c r="X153" s="13"/>
    </row>
    <row r="154" spans="7:24" x14ac:dyDescent="0.3">
      <c r="G154" s="22"/>
      <c r="R154" s="22"/>
      <c r="S154" s="17"/>
      <c r="W154" s="13"/>
      <c r="X154" s="13"/>
    </row>
    <row r="155" spans="7:24" x14ac:dyDescent="0.3">
      <c r="G155" s="22"/>
      <c r="R155" s="22"/>
      <c r="S155" s="17"/>
      <c r="W155" s="13"/>
      <c r="X155" s="13"/>
    </row>
    <row r="156" spans="7:24" x14ac:dyDescent="0.3">
      <c r="G156" s="22"/>
      <c r="R156" s="22"/>
      <c r="S156" s="17"/>
      <c r="W156" s="13"/>
      <c r="X156" s="13"/>
    </row>
    <row r="157" spans="7:24" x14ac:dyDescent="0.3">
      <c r="G157" s="22"/>
      <c r="R157" s="22"/>
      <c r="S157" s="17"/>
      <c r="W157" s="13"/>
      <c r="X157" s="13"/>
    </row>
    <row r="158" spans="7:24" x14ac:dyDescent="0.3">
      <c r="G158" s="22"/>
      <c r="R158" s="22"/>
      <c r="S158" s="17"/>
      <c r="W158" s="13"/>
      <c r="X158" s="13"/>
    </row>
    <row r="159" spans="7:24" x14ac:dyDescent="0.3">
      <c r="G159" s="22"/>
      <c r="R159" s="22"/>
      <c r="S159" s="17"/>
      <c r="W159" s="13"/>
      <c r="X159" s="13"/>
    </row>
    <row r="160" spans="7:24" x14ac:dyDescent="0.3">
      <c r="G160" s="22"/>
      <c r="R160" s="22"/>
      <c r="S160" s="17"/>
      <c r="W160" s="13"/>
      <c r="X160" s="13"/>
    </row>
    <row r="161" spans="7:24" x14ac:dyDescent="0.3">
      <c r="G161" s="22"/>
      <c r="R161" s="22"/>
      <c r="S161" s="17"/>
      <c r="W161" s="13"/>
      <c r="X161" s="13"/>
    </row>
    <row r="162" spans="7:24" x14ac:dyDescent="0.3">
      <c r="G162" s="22"/>
      <c r="R162" s="22"/>
      <c r="S162" s="17"/>
      <c r="W162" s="13"/>
      <c r="X162" s="13"/>
    </row>
    <row r="163" spans="7:24" x14ac:dyDescent="0.3">
      <c r="G163" s="22"/>
      <c r="R163" s="22"/>
      <c r="S163" s="17"/>
      <c r="W163" s="13"/>
      <c r="X163" s="13"/>
    </row>
    <row r="164" spans="7:24" x14ac:dyDescent="0.3">
      <c r="G164" s="22"/>
      <c r="R164" s="22"/>
      <c r="S164" s="17"/>
      <c r="W164" s="13"/>
      <c r="X164" s="13"/>
    </row>
    <row r="165" spans="7:24" x14ac:dyDescent="0.3">
      <c r="G165" s="22"/>
      <c r="R165" s="22"/>
      <c r="S165" s="17"/>
      <c r="W165" s="13"/>
      <c r="X165" s="13"/>
    </row>
    <row r="166" spans="7:24" x14ac:dyDescent="0.3">
      <c r="G166" s="22"/>
      <c r="R166" s="22"/>
      <c r="S166" s="17"/>
      <c r="W166" s="13"/>
      <c r="X166" s="13"/>
    </row>
    <row r="167" spans="7:24" x14ac:dyDescent="0.3">
      <c r="G167" s="22"/>
      <c r="R167" s="22"/>
      <c r="S167" s="17"/>
      <c r="W167" s="13"/>
      <c r="X167" s="13"/>
    </row>
    <row r="168" spans="7:24" x14ac:dyDescent="0.3">
      <c r="G168" s="22"/>
      <c r="R168" s="22"/>
      <c r="S168" s="17"/>
      <c r="W168" s="13"/>
      <c r="X168" s="13"/>
    </row>
    <row r="169" spans="7:24" x14ac:dyDescent="0.3">
      <c r="G169" s="22"/>
      <c r="R169" s="22"/>
      <c r="S169" s="17"/>
      <c r="W169" s="13"/>
      <c r="X169" s="13"/>
    </row>
    <row r="170" spans="7:24" x14ac:dyDescent="0.3">
      <c r="G170" s="22"/>
      <c r="R170" s="22"/>
      <c r="S170" s="17"/>
      <c r="W170" s="13"/>
      <c r="X170" s="13"/>
    </row>
    <row r="171" spans="7:24" x14ac:dyDescent="0.3">
      <c r="G171" s="22"/>
      <c r="R171" s="22"/>
      <c r="S171" s="17"/>
      <c r="W171" s="13"/>
      <c r="X171" s="13"/>
    </row>
    <row r="172" spans="7:24" x14ac:dyDescent="0.3">
      <c r="G172" s="22"/>
      <c r="R172" s="22"/>
      <c r="S172" s="17"/>
      <c r="W172" s="13"/>
      <c r="X172" s="13"/>
    </row>
    <row r="173" spans="7:24" x14ac:dyDescent="0.3">
      <c r="G173" s="22"/>
      <c r="R173" s="22"/>
      <c r="S173" s="17"/>
      <c r="W173" s="13"/>
      <c r="X173" s="13"/>
    </row>
    <row r="174" spans="7:24" x14ac:dyDescent="0.3">
      <c r="G174" s="22"/>
      <c r="R174" s="22"/>
      <c r="S174" s="17"/>
      <c r="W174" s="13"/>
      <c r="X174" s="13"/>
    </row>
    <row r="175" spans="7:24" x14ac:dyDescent="0.3">
      <c r="G175" s="22"/>
      <c r="R175" s="22"/>
      <c r="S175" s="17"/>
      <c r="W175" s="13"/>
      <c r="X175" s="13"/>
    </row>
    <row r="176" spans="7:24" x14ac:dyDescent="0.3">
      <c r="G176" s="22"/>
      <c r="R176" s="22"/>
      <c r="S176" s="17"/>
      <c r="W176" s="13"/>
      <c r="X176" s="13"/>
    </row>
    <row r="177" spans="7:24" x14ac:dyDescent="0.3">
      <c r="G177" s="22"/>
      <c r="R177" s="22"/>
      <c r="S177" s="17"/>
      <c r="W177" s="13"/>
      <c r="X177" s="13"/>
    </row>
    <row r="178" spans="7:24" x14ac:dyDescent="0.3">
      <c r="G178" s="22"/>
      <c r="R178" s="22"/>
      <c r="S178" s="17"/>
      <c r="W178" s="13"/>
      <c r="X178" s="13"/>
    </row>
    <row r="179" spans="7:24" x14ac:dyDescent="0.3">
      <c r="G179" s="22"/>
      <c r="R179" s="22"/>
      <c r="S179" s="17"/>
      <c r="W179" s="13"/>
      <c r="X179" s="13"/>
    </row>
    <row r="180" spans="7:24" x14ac:dyDescent="0.3">
      <c r="G180" s="22"/>
      <c r="R180" s="22"/>
      <c r="S180" s="17"/>
      <c r="W180" s="13"/>
      <c r="X180" s="13"/>
    </row>
    <row r="181" spans="7:24" x14ac:dyDescent="0.3">
      <c r="G181" s="22"/>
      <c r="R181" s="22"/>
      <c r="S181" s="17"/>
      <c r="W181" s="13"/>
      <c r="X181" s="13"/>
    </row>
    <row r="182" spans="7:24" x14ac:dyDescent="0.3">
      <c r="G182" s="22"/>
      <c r="R182" s="22"/>
      <c r="S182" s="17"/>
      <c r="W182" s="13"/>
      <c r="X182" s="13"/>
    </row>
    <row r="183" spans="7:24" x14ac:dyDescent="0.3">
      <c r="G183" s="22"/>
      <c r="R183" s="22"/>
      <c r="S183" s="17"/>
      <c r="W183" s="13"/>
      <c r="X183" s="13"/>
    </row>
    <row r="184" spans="7:24" x14ac:dyDescent="0.3">
      <c r="G184" s="22"/>
      <c r="R184" s="22"/>
      <c r="S184" s="17"/>
      <c r="W184" s="13"/>
      <c r="X184" s="13"/>
    </row>
    <row r="185" spans="7:24" x14ac:dyDescent="0.3">
      <c r="G185" s="22"/>
      <c r="R185" s="22"/>
      <c r="S185" s="17"/>
      <c r="W185" s="13"/>
      <c r="X185" s="13"/>
    </row>
    <row r="186" spans="7:24" x14ac:dyDescent="0.3">
      <c r="G186" s="22"/>
      <c r="R186" s="22"/>
      <c r="S186" s="17"/>
      <c r="W186" s="13"/>
      <c r="X186" s="13"/>
    </row>
    <row r="187" spans="7:24" x14ac:dyDescent="0.3">
      <c r="G187" s="22"/>
      <c r="R187" s="22"/>
      <c r="S187" s="17"/>
      <c r="W187" s="13"/>
      <c r="X187" s="13"/>
    </row>
    <row r="188" spans="7:24" x14ac:dyDescent="0.3">
      <c r="G188" s="22"/>
      <c r="R188" s="22"/>
      <c r="S188" s="17"/>
      <c r="W188" s="13"/>
      <c r="X188" s="13"/>
    </row>
    <row r="189" spans="7:24" x14ac:dyDescent="0.3">
      <c r="G189" s="22"/>
      <c r="R189" s="22"/>
      <c r="S189" s="17"/>
      <c r="W189" s="13"/>
      <c r="X189" s="13"/>
    </row>
    <row r="190" spans="7:24" x14ac:dyDescent="0.3">
      <c r="G190" s="22"/>
      <c r="R190" s="22"/>
      <c r="S190" s="17"/>
      <c r="W190" s="13"/>
      <c r="X190" s="13"/>
    </row>
    <row r="191" spans="7:24" x14ac:dyDescent="0.3">
      <c r="G191" s="22"/>
      <c r="R191" s="22"/>
      <c r="S191" s="17"/>
      <c r="W191" s="13"/>
      <c r="X191" s="13"/>
    </row>
    <row r="192" spans="7:24" x14ac:dyDescent="0.3">
      <c r="G192" s="22"/>
      <c r="R192" s="22"/>
      <c r="S192" s="17"/>
      <c r="W192" s="13"/>
      <c r="X192" s="13"/>
    </row>
    <row r="193" spans="7:24" x14ac:dyDescent="0.3">
      <c r="G193" s="22"/>
      <c r="R193" s="22"/>
      <c r="S193" s="17"/>
      <c r="W193" s="13"/>
      <c r="X193" s="13"/>
    </row>
    <row r="194" spans="7:24" x14ac:dyDescent="0.3">
      <c r="G194" s="22"/>
      <c r="R194" s="22"/>
      <c r="S194" s="17"/>
      <c r="W194" s="13"/>
      <c r="X194" s="13"/>
    </row>
    <row r="195" spans="7:24" x14ac:dyDescent="0.3">
      <c r="G195" s="22"/>
      <c r="R195" s="22"/>
      <c r="S195" s="17"/>
      <c r="W195" s="13"/>
      <c r="X195" s="13"/>
    </row>
    <row r="196" spans="7:24" x14ac:dyDescent="0.3">
      <c r="G196" s="22"/>
      <c r="R196" s="22"/>
      <c r="S196" s="17"/>
      <c r="W196" s="13"/>
      <c r="X196" s="13"/>
    </row>
    <row r="197" spans="7:24" x14ac:dyDescent="0.3">
      <c r="G197" s="22"/>
      <c r="R197" s="22"/>
      <c r="S197" s="17"/>
      <c r="W197" s="13"/>
      <c r="X197" s="13"/>
    </row>
    <row r="198" spans="7:24" x14ac:dyDescent="0.3">
      <c r="G198" s="22"/>
      <c r="R198" s="22"/>
      <c r="S198" s="17"/>
      <c r="W198" s="13"/>
      <c r="X198" s="13"/>
    </row>
    <row r="199" spans="7:24" x14ac:dyDescent="0.3">
      <c r="G199" s="22"/>
      <c r="R199" s="22"/>
      <c r="S199" s="17"/>
      <c r="W199" s="13"/>
      <c r="X199" s="13"/>
    </row>
    <row r="200" spans="7:24" x14ac:dyDescent="0.3">
      <c r="G200" s="22"/>
      <c r="R200" s="22"/>
      <c r="S200" s="17"/>
      <c r="W200" s="13"/>
      <c r="X200" s="13"/>
    </row>
    <row r="201" spans="7:24" x14ac:dyDescent="0.3">
      <c r="G201" s="22"/>
      <c r="R201" s="22"/>
      <c r="S201" s="17"/>
      <c r="W201" s="13"/>
      <c r="X201" s="13"/>
    </row>
    <row r="202" spans="7:24" x14ac:dyDescent="0.3">
      <c r="G202" s="22"/>
      <c r="R202" s="22"/>
      <c r="S202" s="17"/>
      <c r="W202" s="13"/>
      <c r="X202" s="13"/>
    </row>
    <row r="203" spans="7:24" x14ac:dyDescent="0.3">
      <c r="G203" s="22"/>
      <c r="R203" s="22"/>
      <c r="S203" s="17"/>
      <c r="W203" s="13"/>
      <c r="X203" s="13"/>
    </row>
    <row r="204" spans="7:24" x14ac:dyDescent="0.3">
      <c r="G204" s="22"/>
      <c r="R204" s="22"/>
      <c r="S204" s="17"/>
      <c r="W204" s="13"/>
      <c r="X204" s="13"/>
    </row>
    <row r="205" spans="7:24" x14ac:dyDescent="0.3">
      <c r="G205" s="22"/>
      <c r="R205" s="22"/>
      <c r="S205" s="17"/>
      <c r="W205" s="13"/>
      <c r="X205" s="13"/>
    </row>
    <row r="206" spans="7:24" x14ac:dyDescent="0.3">
      <c r="G206" s="22"/>
      <c r="R206" s="22"/>
      <c r="S206" s="17"/>
      <c r="W206" s="13"/>
      <c r="X206" s="13"/>
    </row>
    <row r="207" spans="7:24" x14ac:dyDescent="0.3">
      <c r="G207" s="22"/>
      <c r="R207" s="22"/>
      <c r="S207" s="17"/>
      <c r="W207" s="13"/>
      <c r="X207" s="13"/>
    </row>
    <row r="208" spans="7:24" x14ac:dyDescent="0.3">
      <c r="G208" s="22"/>
      <c r="R208" s="22"/>
      <c r="S208" s="17"/>
      <c r="W208" s="13"/>
      <c r="X208" s="13"/>
    </row>
    <row r="209" spans="7:24" x14ac:dyDescent="0.3">
      <c r="G209" s="22"/>
      <c r="R209" s="22"/>
      <c r="S209" s="17"/>
      <c r="W209" s="13"/>
      <c r="X209" s="13"/>
    </row>
    <row r="210" spans="7:24" x14ac:dyDescent="0.3">
      <c r="G210" s="22"/>
      <c r="R210" s="22"/>
      <c r="S210" s="17"/>
      <c r="W210" s="13"/>
      <c r="X210" s="13"/>
    </row>
    <row r="211" spans="7:24" x14ac:dyDescent="0.3">
      <c r="G211" s="22"/>
      <c r="R211" s="22"/>
      <c r="S211" s="17"/>
      <c r="W211" s="13"/>
      <c r="X211" s="13"/>
    </row>
    <row r="212" spans="7:24" x14ac:dyDescent="0.3">
      <c r="G212" s="22"/>
      <c r="R212" s="22"/>
      <c r="S212" s="17"/>
      <c r="W212" s="13"/>
      <c r="X212" s="13"/>
    </row>
    <row r="213" spans="7:24" x14ac:dyDescent="0.3">
      <c r="G213" s="22"/>
      <c r="R213" s="22"/>
      <c r="S213" s="17"/>
      <c r="W213" s="13"/>
      <c r="X213" s="13"/>
    </row>
    <row r="214" spans="7:24" x14ac:dyDescent="0.3">
      <c r="G214" s="22"/>
      <c r="R214" s="22"/>
      <c r="S214" s="17"/>
      <c r="W214" s="13"/>
      <c r="X214" s="13"/>
    </row>
    <row r="215" spans="7:24" x14ac:dyDescent="0.3">
      <c r="G215" s="22"/>
      <c r="R215" s="22"/>
      <c r="S215" s="17"/>
      <c r="W215" s="13"/>
      <c r="X215" s="13"/>
    </row>
    <row r="216" spans="7:24" x14ac:dyDescent="0.3">
      <c r="G216" s="22"/>
      <c r="R216" s="22"/>
      <c r="S216" s="17"/>
      <c r="W216" s="13"/>
      <c r="X216" s="13"/>
    </row>
    <row r="217" spans="7:24" x14ac:dyDescent="0.3">
      <c r="G217" s="22"/>
      <c r="R217" s="22"/>
      <c r="S217" s="17"/>
      <c r="W217" s="13"/>
      <c r="X217" s="13"/>
    </row>
    <row r="218" spans="7:24" x14ac:dyDescent="0.3">
      <c r="G218" s="22"/>
      <c r="R218" s="22"/>
      <c r="S218" s="17"/>
      <c r="W218" s="13"/>
      <c r="X218" s="13"/>
    </row>
    <row r="219" spans="7:24" x14ac:dyDescent="0.3">
      <c r="G219" s="22"/>
      <c r="R219" s="22"/>
      <c r="S219" s="17"/>
      <c r="W219" s="13"/>
      <c r="X219" s="13"/>
    </row>
    <row r="220" spans="7:24" x14ac:dyDescent="0.3">
      <c r="G220" s="22"/>
      <c r="R220" s="22"/>
      <c r="S220" s="17"/>
      <c r="W220" s="13"/>
      <c r="X220" s="13"/>
    </row>
    <row r="221" spans="7:24" x14ac:dyDescent="0.3">
      <c r="G221" s="22"/>
      <c r="R221" s="22"/>
      <c r="S221" s="17"/>
      <c r="W221" s="13"/>
      <c r="X221" s="13"/>
    </row>
    <row r="222" spans="7:24" x14ac:dyDescent="0.3">
      <c r="G222" s="22"/>
      <c r="R222" s="22"/>
      <c r="S222" s="17"/>
      <c r="W222" s="13"/>
      <c r="X222" s="13"/>
    </row>
    <row r="223" spans="7:24" x14ac:dyDescent="0.3">
      <c r="G223" s="22"/>
      <c r="R223" s="22"/>
      <c r="S223" s="17"/>
      <c r="W223" s="13"/>
      <c r="X223" s="13"/>
    </row>
    <row r="224" spans="7:24" x14ac:dyDescent="0.3">
      <c r="G224" s="22"/>
      <c r="R224" s="22"/>
      <c r="S224" s="17"/>
      <c r="W224" s="13"/>
      <c r="X224" s="13"/>
    </row>
    <row r="225" spans="7:24" x14ac:dyDescent="0.3">
      <c r="G225" s="22"/>
      <c r="R225" s="22"/>
      <c r="S225" s="17"/>
      <c r="W225" s="13"/>
      <c r="X225" s="13"/>
    </row>
    <row r="226" spans="7:24" x14ac:dyDescent="0.3">
      <c r="G226" s="22"/>
      <c r="R226" s="22"/>
      <c r="S226" s="17"/>
      <c r="W226" s="13"/>
      <c r="X226" s="13"/>
    </row>
    <row r="227" spans="7:24" x14ac:dyDescent="0.3">
      <c r="G227" s="22"/>
      <c r="R227" s="22"/>
      <c r="S227" s="17"/>
      <c r="W227" s="13"/>
      <c r="X227" s="13"/>
    </row>
    <row r="228" spans="7:24" x14ac:dyDescent="0.3">
      <c r="R228" s="22"/>
      <c r="S228" s="17"/>
      <c r="W228" s="13"/>
      <c r="X228" s="13"/>
    </row>
    <row r="229" spans="7:24" x14ac:dyDescent="0.3">
      <c r="R229" s="22"/>
      <c r="S229" s="17"/>
      <c r="W229" s="13"/>
      <c r="X229" s="13"/>
    </row>
    <row r="230" spans="7:24" x14ac:dyDescent="0.3">
      <c r="R230" s="22"/>
      <c r="S230" s="17"/>
      <c r="W230" s="13"/>
      <c r="X230" s="13"/>
    </row>
    <row r="231" spans="7:24" x14ac:dyDescent="0.3">
      <c r="R231" s="22"/>
      <c r="S231" s="17"/>
      <c r="W231" s="13"/>
      <c r="X231" s="13"/>
    </row>
    <row r="232" spans="7:24" x14ac:dyDescent="0.3">
      <c r="R232" s="22"/>
      <c r="S232" s="17"/>
      <c r="W232" s="13"/>
      <c r="X232" s="13"/>
    </row>
    <row r="233" spans="7:24" x14ac:dyDescent="0.3">
      <c r="R233" s="22"/>
      <c r="S233" s="17"/>
      <c r="W233" s="13"/>
      <c r="X233" s="13"/>
    </row>
    <row r="234" spans="7:24" x14ac:dyDescent="0.3">
      <c r="R234" s="22"/>
      <c r="S234" s="17"/>
      <c r="W234" s="13"/>
      <c r="X234" s="13"/>
    </row>
    <row r="235" spans="7:24" x14ac:dyDescent="0.3">
      <c r="R235" s="22"/>
      <c r="S235" s="17"/>
      <c r="W235" s="13"/>
      <c r="X235" s="13"/>
    </row>
    <row r="236" spans="7:24" x14ac:dyDescent="0.3">
      <c r="R236" s="22"/>
      <c r="S236" s="17"/>
      <c r="W236" s="13"/>
      <c r="X236" s="13"/>
    </row>
    <row r="237" spans="7:24" x14ac:dyDescent="0.3">
      <c r="R237" s="22"/>
      <c r="S237" s="17"/>
      <c r="W237" s="13"/>
      <c r="X237" s="13"/>
    </row>
    <row r="238" spans="7:24" x14ac:dyDescent="0.3">
      <c r="R238" s="22"/>
      <c r="S238" s="17"/>
      <c r="W238" s="13"/>
      <c r="X238" s="13"/>
    </row>
    <row r="239" spans="7:24" x14ac:dyDescent="0.3">
      <c r="R239" s="22"/>
      <c r="S239" s="17"/>
      <c r="W239" s="13"/>
      <c r="X239" s="13"/>
    </row>
    <row r="240" spans="7:24" x14ac:dyDescent="0.3">
      <c r="R240" s="22"/>
      <c r="S240" s="17"/>
      <c r="W240" s="13"/>
      <c r="X240" s="13"/>
    </row>
    <row r="241" spans="18:24" x14ac:dyDescent="0.3">
      <c r="R241" s="22"/>
      <c r="S241" s="17"/>
      <c r="W241" s="13"/>
      <c r="X241" s="13"/>
    </row>
    <row r="242" spans="18:24" x14ac:dyDescent="0.3">
      <c r="R242" s="22"/>
      <c r="S242" s="17"/>
      <c r="W242" s="13"/>
      <c r="X242" s="13"/>
    </row>
    <row r="243" spans="18:24" x14ac:dyDescent="0.3">
      <c r="R243" s="22"/>
      <c r="S243" s="17"/>
      <c r="W243" s="13"/>
      <c r="X243" s="13"/>
    </row>
    <row r="244" spans="18:24" x14ac:dyDescent="0.3">
      <c r="R244" s="22"/>
      <c r="S244" s="17"/>
      <c r="W244" s="13"/>
      <c r="X244" s="13"/>
    </row>
    <row r="245" spans="18:24" x14ac:dyDescent="0.3">
      <c r="R245" s="22"/>
      <c r="S245" s="17"/>
      <c r="W245" s="13"/>
      <c r="X245" s="13"/>
    </row>
    <row r="246" spans="18:24" x14ac:dyDescent="0.3">
      <c r="R246" s="22"/>
      <c r="S246" s="17"/>
      <c r="W246" s="13"/>
      <c r="X246" s="13"/>
    </row>
    <row r="247" spans="18:24" x14ac:dyDescent="0.3">
      <c r="R247" s="22"/>
      <c r="S247" s="17"/>
      <c r="W247" s="13"/>
      <c r="X247" s="13"/>
    </row>
    <row r="248" spans="18:24" x14ac:dyDescent="0.3">
      <c r="R248" s="22"/>
      <c r="S248" s="17"/>
      <c r="W248" s="13"/>
      <c r="X248" s="13"/>
    </row>
    <row r="249" spans="18:24" x14ac:dyDescent="0.3">
      <c r="R249" s="22"/>
      <c r="S249" s="17"/>
      <c r="W249" s="13"/>
      <c r="X249" s="13"/>
    </row>
    <row r="250" spans="18:24" x14ac:dyDescent="0.3">
      <c r="R250" s="22"/>
      <c r="S250" s="17"/>
      <c r="W250" s="13"/>
      <c r="X250" s="13"/>
    </row>
    <row r="251" spans="18:24" x14ac:dyDescent="0.3">
      <c r="R251" s="22"/>
      <c r="S251" s="17"/>
      <c r="W251" s="13"/>
      <c r="X251" s="13"/>
    </row>
    <row r="252" spans="18:24" x14ac:dyDescent="0.3">
      <c r="R252" s="22"/>
      <c r="S252" s="17"/>
      <c r="W252" s="13"/>
      <c r="X252" s="13"/>
    </row>
    <row r="253" spans="18:24" x14ac:dyDescent="0.3">
      <c r="R253" s="22"/>
      <c r="S253" s="17"/>
      <c r="W253" s="13"/>
      <c r="X253" s="13"/>
    </row>
    <row r="254" spans="18:24" x14ac:dyDescent="0.3">
      <c r="R254" s="22"/>
      <c r="S254" s="17"/>
      <c r="W254" s="13"/>
      <c r="X254" s="13"/>
    </row>
    <row r="255" spans="18:24" x14ac:dyDescent="0.3">
      <c r="R255" s="22"/>
      <c r="S255" s="17"/>
      <c r="W255" s="13"/>
      <c r="X255" s="13"/>
    </row>
    <row r="256" spans="18:24" x14ac:dyDescent="0.3">
      <c r="R256" s="22"/>
      <c r="S256" s="17"/>
      <c r="W256" s="13"/>
      <c r="X256" s="13"/>
    </row>
    <row r="257" spans="18:24" x14ac:dyDescent="0.3">
      <c r="R257" s="22"/>
      <c r="S257" s="17"/>
      <c r="W257" s="13"/>
      <c r="X257" s="13"/>
    </row>
    <row r="258" spans="18:24" x14ac:dyDescent="0.3">
      <c r="R258" s="22"/>
      <c r="S258" s="17"/>
      <c r="W258" s="13"/>
      <c r="X258" s="13"/>
    </row>
    <row r="259" spans="18:24" x14ac:dyDescent="0.3">
      <c r="R259" s="22"/>
      <c r="S259" s="17"/>
      <c r="W259" s="13"/>
      <c r="X259" s="13"/>
    </row>
    <row r="260" spans="18:24" x14ac:dyDescent="0.3">
      <c r="R260" s="22"/>
      <c r="S260" s="17"/>
      <c r="W260" s="13"/>
      <c r="X260" s="13"/>
    </row>
    <row r="261" spans="18:24" x14ac:dyDescent="0.3">
      <c r="R261" s="22"/>
      <c r="S261" s="17"/>
      <c r="W261" s="13"/>
      <c r="X261" s="13"/>
    </row>
    <row r="262" spans="18:24" x14ac:dyDescent="0.3">
      <c r="R262" s="22"/>
      <c r="S262" s="17"/>
      <c r="W262" s="13"/>
      <c r="X262" s="13"/>
    </row>
    <row r="263" spans="18:24" x14ac:dyDescent="0.3">
      <c r="R263" s="22"/>
      <c r="S263" s="17"/>
      <c r="W263" s="13"/>
      <c r="X263" s="13"/>
    </row>
    <row r="264" spans="18:24" x14ac:dyDescent="0.3">
      <c r="R264" s="22"/>
      <c r="S264" s="17"/>
      <c r="W264" s="13"/>
      <c r="X264" s="13"/>
    </row>
    <row r="265" spans="18:24" x14ac:dyDescent="0.3">
      <c r="R265" s="22"/>
      <c r="S265" s="17"/>
      <c r="W265" s="13"/>
      <c r="X265" s="13"/>
    </row>
    <row r="266" spans="18:24" x14ac:dyDescent="0.3">
      <c r="R266" s="22"/>
      <c r="S266" s="17"/>
      <c r="W266" s="13"/>
      <c r="X266" s="13"/>
    </row>
    <row r="267" spans="18:24" x14ac:dyDescent="0.3">
      <c r="R267" s="22"/>
      <c r="S267" s="17"/>
      <c r="W267" s="13"/>
      <c r="X267" s="13"/>
    </row>
    <row r="268" spans="18:24" x14ac:dyDescent="0.3">
      <c r="R268" s="22"/>
      <c r="S268" s="17"/>
      <c r="W268" s="13"/>
      <c r="X268" s="13"/>
    </row>
    <row r="269" spans="18:24" x14ac:dyDescent="0.3">
      <c r="R269" s="22"/>
      <c r="S269" s="17"/>
      <c r="W269" s="13"/>
      <c r="X269" s="13"/>
    </row>
    <row r="270" spans="18:24" x14ac:dyDescent="0.3">
      <c r="R270" s="22"/>
      <c r="S270" s="17"/>
      <c r="W270" s="13"/>
      <c r="X270" s="13"/>
    </row>
    <row r="271" spans="18:24" x14ac:dyDescent="0.3">
      <c r="R271" s="22"/>
      <c r="S271" s="17"/>
      <c r="W271" s="13"/>
      <c r="X271" s="13"/>
    </row>
    <row r="272" spans="18:24" x14ac:dyDescent="0.3">
      <c r="R272" s="22"/>
      <c r="S272" s="17"/>
      <c r="W272" s="13"/>
      <c r="X272" s="13"/>
    </row>
    <row r="273" spans="18:24" x14ac:dyDescent="0.3">
      <c r="R273" s="22"/>
      <c r="S273" s="17"/>
      <c r="W273" s="13"/>
      <c r="X273" s="13"/>
    </row>
    <row r="274" spans="18:24" x14ac:dyDescent="0.3">
      <c r="R274" s="22"/>
      <c r="S274" s="17"/>
      <c r="W274" s="13"/>
      <c r="X274" s="13"/>
    </row>
    <row r="275" spans="18:24" x14ac:dyDescent="0.3">
      <c r="R275" s="22"/>
      <c r="S275" s="17"/>
      <c r="W275" s="13"/>
      <c r="X275" s="13"/>
    </row>
    <row r="276" spans="18:24" x14ac:dyDescent="0.3">
      <c r="R276" s="22"/>
      <c r="S276" s="17"/>
      <c r="W276" s="13"/>
      <c r="X276" s="13"/>
    </row>
    <row r="277" spans="18:24" x14ac:dyDescent="0.3">
      <c r="R277" s="22"/>
      <c r="S277" s="17"/>
      <c r="W277" s="13"/>
      <c r="X277" s="13"/>
    </row>
    <row r="278" spans="18:24" x14ac:dyDescent="0.3">
      <c r="R278" s="22"/>
      <c r="S278" s="17"/>
      <c r="W278" s="13"/>
      <c r="X278" s="13"/>
    </row>
    <row r="279" spans="18:24" x14ac:dyDescent="0.3">
      <c r="R279" s="22"/>
      <c r="S279" s="17"/>
      <c r="W279" s="13"/>
      <c r="X279" s="13"/>
    </row>
    <row r="280" spans="18:24" x14ac:dyDescent="0.3">
      <c r="R280" s="22"/>
      <c r="S280" s="17"/>
      <c r="W280" s="13"/>
      <c r="X280" s="13"/>
    </row>
    <row r="281" spans="18:24" x14ac:dyDescent="0.3">
      <c r="R281" s="22"/>
      <c r="S281" s="17"/>
      <c r="W281" s="13"/>
      <c r="X281" s="13"/>
    </row>
    <row r="282" spans="18:24" x14ac:dyDescent="0.3">
      <c r="R282" s="22"/>
      <c r="S282" s="17"/>
      <c r="W282" s="13"/>
      <c r="X282" s="13"/>
    </row>
    <row r="283" spans="18:24" x14ac:dyDescent="0.3">
      <c r="R283" s="22"/>
      <c r="S283" s="17"/>
      <c r="W283" s="13"/>
      <c r="X283" s="13"/>
    </row>
    <row r="284" spans="18:24" x14ac:dyDescent="0.3">
      <c r="R284" s="22"/>
      <c r="S284" s="17"/>
      <c r="W284" s="13"/>
      <c r="X284" s="13"/>
    </row>
    <row r="285" spans="18:24" x14ac:dyDescent="0.3">
      <c r="R285" s="22"/>
      <c r="S285" s="17"/>
      <c r="W285" s="13"/>
      <c r="X285" s="13"/>
    </row>
    <row r="286" spans="18:24" x14ac:dyDescent="0.3">
      <c r="R286" s="22"/>
      <c r="S286" s="17"/>
      <c r="W286" s="13"/>
      <c r="X286" s="13"/>
    </row>
    <row r="287" spans="18:24" x14ac:dyDescent="0.3">
      <c r="R287" s="22"/>
      <c r="S287" s="17"/>
      <c r="W287" s="13"/>
      <c r="X287" s="13"/>
    </row>
    <row r="288" spans="18:24" x14ac:dyDescent="0.3">
      <c r="R288" s="22"/>
      <c r="S288" s="17"/>
      <c r="W288" s="13"/>
      <c r="X288" s="13"/>
    </row>
    <row r="289" spans="18:24" x14ac:dyDescent="0.3">
      <c r="R289" s="22"/>
      <c r="S289" s="17"/>
      <c r="W289" s="13"/>
      <c r="X289" s="13"/>
    </row>
    <row r="290" spans="18:24" x14ac:dyDescent="0.3">
      <c r="R290" s="22"/>
      <c r="S290" s="17"/>
      <c r="W290" s="13"/>
      <c r="X290" s="13"/>
    </row>
    <row r="291" spans="18:24" x14ac:dyDescent="0.3">
      <c r="R291" s="22"/>
      <c r="S291" s="17"/>
      <c r="W291" s="13"/>
      <c r="X291" s="13"/>
    </row>
    <row r="292" spans="18:24" x14ac:dyDescent="0.3">
      <c r="R292" s="22"/>
      <c r="S292" s="17"/>
      <c r="W292" s="13"/>
      <c r="X292" s="13"/>
    </row>
    <row r="293" spans="18:24" x14ac:dyDescent="0.3">
      <c r="R293" s="22"/>
      <c r="S293" s="17"/>
      <c r="W293" s="13"/>
      <c r="X293" s="13"/>
    </row>
    <row r="294" spans="18:24" x14ac:dyDescent="0.3">
      <c r="R294" s="22"/>
      <c r="S294" s="17"/>
      <c r="W294" s="13"/>
      <c r="X294" s="13"/>
    </row>
    <row r="295" spans="18:24" x14ac:dyDescent="0.3">
      <c r="R295" s="22"/>
      <c r="S295" s="17"/>
      <c r="W295" s="13"/>
      <c r="X295" s="13"/>
    </row>
    <row r="296" spans="18:24" x14ac:dyDescent="0.3">
      <c r="R296" s="22"/>
      <c r="S296" s="17"/>
      <c r="W296" s="13"/>
      <c r="X296" s="13"/>
    </row>
    <row r="297" spans="18:24" x14ac:dyDescent="0.3">
      <c r="R297" s="22"/>
      <c r="S297" s="17"/>
      <c r="W297" s="13"/>
      <c r="X297" s="13"/>
    </row>
    <row r="298" spans="18:24" x14ac:dyDescent="0.3">
      <c r="R298" s="22"/>
      <c r="S298" s="17"/>
      <c r="W298" s="13"/>
      <c r="X298" s="13"/>
    </row>
    <row r="299" spans="18:24" x14ac:dyDescent="0.3">
      <c r="R299" s="22"/>
      <c r="S299" s="17"/>
      <c r="W299" s="13"/>
      <c r="X299" s="13"/>
    </row>
    <row r="300" spans="18:24" x14ac:dyDescent="0.3">
      <c r="R300" s="22"/>
      <c r="S300" s="17"/>
      <c r="W300" s="13"/>
      <c r="X300" s="13"/>
    </row>
    <row r="301" spans="18:24" x14ac:dyDescent="0.3">
      <c r="R301" s="22"/>
      <c r="S301" s="17"/>
      <c r="W301" s="13"/>
      <c r="X301" s="13"/>
    </row>
    <row r="302" spans="18:24" x14ac:dyDescent="0.3">
      <c r="R302" s="22"/>
      <c r="S302" s="17"/>
      <c r="W302" s="13"/>
      <c r="X302" s="13"/>
    </row>
    <row r="303" spans="18:24" x14ac:dyDescent="0.3">
      <c r="R303" s="22"/>
      <c r="S303" s="17"/>
      <c r="W303" s="13"/>
      <c r="X303" s="13"/>
    </row>
    <row r="304" spans="18:24" x14ac:dyDescent="0.3">
      <c r="R304" s="22"/>
      <c r="S304" s="17"/>
      <c r="W304" s="13"/>
      <c r="X304" s="13"/>
    </row>
    <row r="305" spans="18:24" x14ac:dyDescent="0.3">
      <c r="R305" s="22"/>
      <c r="S305" s="17"/>
      <c r="W305" s="13"/>
      <c r="X305" s="13"/>
    </row>
    <row r="306" spans="18:24" x14ac:dyDescent="0.3">
      <c r="R306" s="22"/>
      <c r="S306" s="17"/>
      <c r="W306" s="13"/>
      <c r="X306" s="13"/>
    </row>
    <row r="307" spans="18:24" x14ac:dyDescent="0.3">
      <c r="R307" s="22"/>
      <c r="S307" s="17"/>
      <c r="W307" s="13"/>
      <c r="X307" s="13"/>
    </row>
    <row r="308" spans="18:24" x14ac:dyDescent="0.3">
      <c r="R308" s="22"/>
      <c r="S308" s="17"/>
      <c r="W308" s="13"/>
      <c r="X308" s="13"/>
    </row>
    <row r="309" spans="18:24" x14ac:dyDescent="0.3">
      <c r="R309" s="22"/>
      <c r="S309" s="17"/>
      <c r="W309" s="13"/>
      <c r="X309" s="13"/>
    </row>
    <row r="310" spans="18:24" x14ac:dyDescent="0.3">
      <c r="R310" s="22"/>
      <c r="S310" s="17"/>
      <c r="W310" s="13"/>
      <c r="X310" s="13"/>
    </row>
    <row r="311" spans="18:24" x14ac:dyDescent="0.3">
      <c r="R311" s="22"/>
      <c r="S311" s="17"/>
      <c r="W311" s="13"/>
      <c r="X311" s="13"/>
    </row>
    <row r="312" spans="18:24" x14ac:dyDescent="0.3">
      <c r="R312" s="22"/>
      <c r="S312" s="17"/>
      <c r="W312" s="13"/>
      <c r="X312" s="13"/>
    </row>
    <row r="313" spans="18:24" x14ac:dyDescent="0.3">
      <c r="R313" s="22"/>
      <c r="S313" s="17"/>
      <c r="W313" s="13"/>
      <c r="X313" s="13"/>
    </row>
    <row r="314" spans="18:24" x14ac:dyDescent="0.3">
      <c r="R314" s="22"/>
      <c r="S314" s="17"/>
      <c r="W314" s="13"/>
      <c r="X314" s="13"/>
    </row>
    <row r="315" spans="18:24" x14ac:dyDescent="0.3">
      <c r="R315" s="22"/>
      <c r="S315" s="17"/>
      <c r="W315" s="13"/>
      <c r="X315" s="13"/>
    </row>
    <row r="316" spans="18:24" x14ac:dyDescent="0.3">
      <c r="R316" s="22"/>
      <c r="S316" s="17"/>
      <c r="W316" s="13"/>
      <c r="X316" s="13"/>
    </row>
    <row r="317" spans="18:24" x14ac:dyDescent="0.3">
      <c r="R317" s="22"/>
      <c r="S317" s="17"/>
      <c r="W317" s="13"/>
      <c r="X317" s="13"/>
    </row>
    <row r="318" spans="18:24" x14ac:dyDescent="0.3">
      <c r="R318" s="22"/>
      <c r="S318" s="17"/>
      <c r="W318" s="13"/>
      <c r="X318" s="13"/>
    </row>
    <row r="319" spans="18:24" x14ac:dyDescent="0.3">
      <c r="R319" s="22"/>
      <c r="S319" s="17"/>
      <c r="W319" s="13"/>
      <c r="X319" s="13"/>
    </row>
    <row r="320" spans="18:24" x14ac:dyDescent="0.3">
      <c r="R320" s="22"/>
      <c r="S320" s="17"/>
      <c r="W320" s="13"/>
      <c r="X320" s="13"/>
    </row>
    <row r="321" spans="18:24" x14ac:dyDescent="0.3">
      <c r="R321" s="22"/>
      <c r="S321" s="17"/>
      <c r="W321" s="13"/>
      <c r="X321" s="13"/>
    </row>
    <row r="322" spans="18:24" x14ac:dyDescent="0.3">
      <c r="R322" s="22"/>
      <c r="S322" s="17"/>
      <c r="W322" s="13"/>
      <c r="X322" s="13"/>
    </row>
    <row r="323" spans="18:24" x14ac:dyDescent="0.3">
      <c r="R323" s="22"/>
      <c r="S323" s="17"/>
      <c r="W323" s="13"/>
      <c r="X323" s="13"/>
    </row>
    <row r="324" spans="18:24" x14ac:dyDescent="0.3">
      <c r="R324" s="22"/>
      <c r="S324" s="17"/>
      <c r="W324" s="13"/>
      <c r="X324" s="13"/>
    </row>
    <row r="325" spans="18:24" x14ac:dyDescent="0.3">
      <c r="R325" s="22"/>
      <c r="S325" s="17"/>
      <c r="W325" s="13"/>
      <c r="X325" s="13"/>
    </row>
    <row r="326" spans="18:24" x14ac:dyDescent="0.3">
      <c r="R326" s="22"/>
      <c r="S326" s="17"/>
      <c r="W326" s="13"/>
      <c r="X326" s="13"/>
    </row>
    <row r="327" spans="18:24" x14ac:dyDescent="0.3">
      <c r="R327" s="22"/>
      <c r="S327" s="17"/>
      <c r="W327" s="13"/>
      <c r="X327" s="13"/>
    </row>
    <row r="328" spans="18:24" x14ac:dyDescent="0.3">
      <c r="R328" s="22"/>
      <c r="S328" s="17"/>
      <c r="W328" s="13"/>
      <c r="X328" s="13"/>
    </row>
    <row r="329" spans="18:24" x14ac:dyDescent="0.3">
      <c r="R329" s="22"/>
      <c r="S329" s="17"/>
      <c r="W329" s="13"/>
      <c r="X329" s="13"/>
    </row>
    <row r="330" spans="18:24" x14ac:dyDescent="0.3">
      <c r="R330" s="22"/>
      <c r="S330" s="17"/>
      <c r="W330" s="13"/>
      <c r="X330" s="13"/>
    </row>
    <row r="331" spans="18:24" x14ac:dyDescent="0.3">
      <c r="R331" s="22"/>
      <c r="S331" s="17"/>
      <c r="W331" s="13"/>
      <c r="X331" s="13"/>
    </row>
    <row r="332" spans="18:24" x14ac:dyDescent="0.3">
      <c r="R332" s="22"/>
      <c r="S332" s="17"/>
      <c r="W332" s="13"/>
      <c r="X332" s="13"/>
    </row>
    <row r="333" spans="18:24" x14ac:dyDescent="0.3">
      <c r="R333" s="22"/>
      <c r="S333" s="17"/>
      <c r="W333" s="13"/>
      <c r="X333" s="13"/>
    </row>
    <row r="334" spans="18:24" x14ac:dyDescent="0.3">
      <c r="R334" s="22"/>
      <c r="S334" s="17"/>
      <c r="W334" s="13"/>
      <c r="X334" s="13"/>
    </row>
    <row r="335" spans="18:24" x14ac:dyDescent="0.3">
      <c r="R335" s="22"/>
      <c r="S335" s="17"/>
      <c r="W335" s="13"/>
      <c r="X335" s="13"/>
    </row>
    <row r="336" spans="18:24" x14ac:dyDescent="0.3">
      <c r="R336" s="22"/>
      <c r="S336" s="17"/>
      <c r="W336" s="13"/>
      <c r="X336" s="13"/>
    </row>
    <row r="337" spans="18:24" x14ac:dyDescent="0.3">
      <c r="R337" s="22"/>
      <c r="S337" s="17"/>
      <c r="W337" s="13"/>
      <c r="X337" s="13"/>
    </row>
    <row r="338" spans="18:24" x14ac:dyDescent="0.3">
      <c r="R338" s="22"/>
      <c r="S338" s="17"/>
      <c r="W338" s="13"/>
      <c r="X338" s="13"/>
    </row>
    <row r="339" spans="18:24" x14ac:dyDescent="0.3">
      <c r="R339" s="22"/>
      <c r="S339" s="17"/>
      <c r="W339" s="13"/>
      <c r="X339" s="13"/>
    </row>
    <row r="340" spans="18:24" x14ac:dyDescent="0.3">
      <c r="R340" s="22"/>
      <c r="S340" s="17"/>
      <c r="W340" s="13"/>
      <c r="X340" s="13"/>
    </row>
    <row r="341" spans="18:24" x14ac:dyDescent="0.3">
      <c r="R341" s="22"/>
      <c r="S341" s="17"/>
      <c r="W341" s="13"/>
      <c r="X341" s="13"/>
    </row>
    <row r="342" spans="18:24" x14ac:dyDescent="0.3">
      <c r="R342" s="22"/>
      <c r="S342" s="17"/>
      <c r="W342" s="13"/>
      <c r="X342" s="13"/>
    </row>
    <row r="343" spans="18:24" x14ac:dyDescent="0.3">
      <c r="R343" s="22"/>
      <c r="S343" s="17"/>
      <c r="W343" s="13"/>
      <c r="X343" s="13"/>
    </row>
    <row r="344" spans="18:24" x14ac:dyDescent="0.3">
      <c r="R344" s="22"/>
      <c r="S344" s="17"/>
      <c r="W344" s="13"/>
      <c r="X344" s="13"/>
    </row>
    <row r="345" spans="18:24" x14ac:dyDescent="0.3">
      <c r="R345" s="22"/>
      <c r="S345" s="17"/>
      <c r="W345" s="13"/>
      <c r="X345" s="13"/>
    </row>
    <row r="346" spans="18:24" x14ac:dyDescent="0.3">
      <c r="R346" s="22"/>
      <c r="S346" s="17"/>
      <c r="W346" s="13"/>
      <c r="X346" s="13"/>
    </row>
    <row r="347" spans="18:24" x14ac:dyDescent="0.3">
      <c r="R347" s="22"/>
      <c r="S347" s="17"/>
      <c r="W347" s="13"/>
      <c r="X347" s="13"/>
    </row>
    <row r="348" spans="18:24" x14ac:dyDescent="0.3">
      <c r="R348" s="22"/>
      <c r="S348" s="17"/>
      <c r="W348" s="13"/>
      <c r="X348" s="13"/>
    </row>
    <row r="349" spans="18:24" x14ac:dyDescent="0.3">
      <c r="R349" s="22"/>
      <c r="S349" s="17"/>
      <c r="W349" s="13"/>
      <c r="X349" s="13"/>
    </row>
    <row r="350" spans="18:24" x14ac:dyDescent="0.3">
      <c r="R350" s="22"/>
      <c r="S350" s="17"/>
      <c r="W350" s="13"/>
      <c r="X350" s="13"/>
    </row>
    <row r="351" spans="18:24" x14ac:dyDescent="0.3">
      <c r="R351" s="22"/>
      <c r="S351" s="17"/>
      <c r="W351" s="13"/>
      <c r="X351" s="13"/>
    </row>
    <row r="352" spans="18:24" x14ac:dyDescent="0.3">
      <c r="R352" s="22"/>
      <c r="S352" s="17"/>
      <c r="W352" s="13"/>
      <c r="X352" s="13"/>
    </row>
    <row r="353" spans="18:24" x14ac:dyDescent="0.3">
      <c r="R353" s="22"/>
      <c r="S353" s="17"/>
      <c r="W353" s="13"/>
      <c r="X353" s="13"/>
    </row>
    <row r="354" spans="18:24" x14ac:dyDescent="0.3">
      <c r="R354" s="22"/>
      <c r="S354" s="17"/>
      <c r="W354" s="13"/>
      <c r="X354" s="13"/>
    </row>
    <row r="355" spans="18:24" x14ac:dyDescent="0.3">
      <c r="R355" s="22"/>
      <c r="S355" s="17"/>
      <c r="W355" s="13"/>
      <c r="X355" s="13"/>
    </row>
    <row r="356" spans="18:24" x14ac:dyDescent="0.3">
      <c r="R356" s="22"/>
      <c r="S356" s="17"/>
      <c r="W356" s="13"/>
      <c r="X356" s="13"/>
    </row>
    <row r="357" spans="18:24" x14ac:dyDescent="0.3">
      <c r="R357" s="22"/>
      <c r="S357" s="17"/>
      <c r="W357" s="13"/>
      <c r="X357" s="13"/>
    </row>
    <row r="358" spans="18:24" x14ac:dyDescent="0.3">
      <c r="R358" s="22"/>
      <c r="S358" s="17"/>
      <c r="W358" s="13"/>
      <c r="X358" s="13"/>
    </row>
    <row r="359" spans="18:24" x14ac:dyDescent="0.3">
      <c r="R359" s="22"/>
      <c r="S359" s="17"/>
      <c r="W359" s="13"/>
      <c r="X359" s="13"/>
    </row>
    <row r="360" spans="18:24" x14ac:dyDescent="0.3">
      <c r="R360" s="22"/>
      <c r="S360" s="17"/>
      <c r="W360" s="13"/>
      <c r="X360" s="13"/>
    </row>
    <row r="361" spans="18:24" x14ac:dyDescent="0.3">
      <c r="R361" s="22"/>
      <c r="S361" s="17"/>
      <c r="W361" s="13"/>
      <c r="X361" s="13"/>
    </row>
    <row r="362" spans="18:24" x14ac:dyDescent="0.3">
      <c r="R362" s="22"/>
      <c r="S362" s="17"/>
      <c r="W362" s="13"/>
      <c r="X362" s="13"/>
    </row>
    <row r="363" spans="18:24" x14ac:dyDescent="0.3">
      <c r="R363" s="22"/>
      <c r="S363" s="17"/>
      <c r="W363" s="13"/>
      <c r="X363" s="13"/>
    </row>
    <row r="364" spans="18:24" x14ac:dyDescent="0.3">
      <c r="R364" s="22"/>
      <c r="S364" s="17"/>
      <c r="W364" s="13"/>
      <c r="X364" s="13"/>
    </row>
    <row r="365" spans="18:24" x14ac:dyDescent="0.3">
      <c r="R365" s="22"/>
      <c r="S365" s="17"/>
      <c r="W365" s="13"/>
      <c r="X365" s="13"/>
    </row>
    <row r="366" spans="18:24" x14ac:dyDescent="0.3">
      <c r="R366" s="22"/>
      <c r="S366" s="17"/>
      <c r="W366" s="13"/>
      <c r="X366" s="13"/>
    </row>
    <row r="367" spans="18:24" x14ac:dyDescent="0.3">
      <c r="R367" s="22"/>
      <c r="S367" s="17"/>
      <c r="W367" s="13"/>
      <c r="X367" s="13"/>
    </row>
    <row r="368" spans="18:24" x14ac:dyDescent="0.3">
      <c r="R368" s="22"/>
      <c r="S368" s="17"/>
      <c r="W368" s="13"/>
      <c r="X368" s="13"/>
    </row>
    <row r="369" spans="18:24" x14ac:dyDescent="0.3">
      <c r="R369" s="22"/>
      <c r="S369" s="17"/>
      <c r="W369" s="13"/>
      <c r="X369" s="13"/>
    </row>
    <row r="370" spans="18:24" x14ac:dyDescent="0.3">
      <c r="R370" s="22"/>
      <c r="S370" s="17"/>
      <c r="W370" s="13"/>
      <c r="X370" s="13"/>
    </row>
    <row r="371" spans="18:24" x14ac:dyDescent="0.3">
      <c r="R371" s="22"/>
      <c r="S371" s="17"/>
      <c r="W371" s="13"/>
      <c r="X371" s="13"/>
    </row>
    <row r="372" spans="18:24" x14ac:dyDescent="0.3">
      <c r="R372" s="22"/>
      <c r="S372" s="17"/>
      <c r="W372" s="13"/>
      <c r="X372" s="13"/>
    </row>
    <row r="373" spans="18:24" x14ac:dyDescent="0.3">
      <c r="R373" s="22"/>
      <c r="S373" s="17"/>
      <c r="W373" s="13"/>
      <c r="X373" s="13"/>
    </row>
    <row r="374" spans="18:24" x14ac:dyDescent="0.3">
      <c r="R374" s="22"/>
      <c r="S374" s="17"/>
      <c r="W374" s="13"/>
      <c r="X374" s="13"/>
    </row>
    <row r="375" spans="18:24" x14ac:dyDescent="0.3">
      <c r="R375" s="22"/>
      <c r="S375" s="17"/>
      <c r="W375" s="13"/>
      <c r="X375" s="13"/>
    </row>
    <row r="376" spans="18:24" x14ac:dyDescent="0.3">
      <c r="R376" s="22"/>
      <c r="S376" s="17"/>
      <c r="W376" s="13"/>
      <c r="X376" s="13"/>
    </row>
    <row r="377" spans="18:24" x14ac:dyDescent="0.3">
      <c r="R377" s="22"/>
      <c r="S377" s="17"/>
      <c r="W377" s="13"/>
      <c r="X377" s="13"/>
    </row>
    <row r="378" spans="18:24" x14ac:dyDescent="0.3">
      <c r="R378" s="22"/>
      <c r="S378" s="17"/>
      <c r="W378" s="13"/>
      <c r="X378" s="13"/>
    </row>
    <row r="379" spans="18:24" x14ac:dyDescent="0.3">
      <c r="R379" s="22"/>
      <c r="S379" s="17"/>
      <c r="W379" s="13"/>
      <c r="X379" s="13"/>
    </row>
    <row r="380" spans="18:24" x14ac:dyDescent="0.3">
      <c r="R380" s="22"/>
      <c r="S380" s="17"/>
      <c r="W380" s="13"/>
      <c r="X380" s="13"/>
    </row>
    <row r="381" spans="18:24" x14ac:dyDescent="0.3">
      <c r="R381" s="22"/>
      <c r="S381" s="17"/>
      <c r="W381" s="13"/>
      <c r="X381" s="13"/>
    </row>
    <row r="382" spans="18:24" x14ac:dyDescent="0.3">
      <c r="R382" s="22"/>
      <c r="S382" s="17"/>
      <c r="W382" s="13"/>
      <c r="X382" s="13"/>
    </row>
    <row r="383" spans="18:24" x14ac:dyDescent="0.3">
      <c r="R383" s="22"/>
      <c r="S383" s="17"/>
      <c r="W383" s="13"/>
      <c r="X383" s="13"/>
    </row>
    <row r="384" spans="18:24" x14ac:dyDescent="0.3">
      <c r="R384" s="22"/>
      <c r="S384" s="17"/>
      <c r="W384" s="13"/>
      <c r="X384" s="13"/>
    </row>
    <row r="385" spans="18:24" x14ac:dyDescent="0.3">
      <c r="R385" s="22"/>
      <c r="S385" s="17"/>
      <c r="W385" s="13"/>
      <c r="X385" s="13"/>
    </row>
    <row r="386" spans="18:24" x14ac:dyDescent="0.3">
      <c r="R386" s="22"/>
      <c r="S386" s="17"/>
      <c r="W386" s="13"/>
      <c r="X386" s="13"/>
    </row>
    <row r="387" spans="18:24" x14ac:dyDescent="0.3">
      <c r="R387" s="22"/>
      <c r="S387" s="17"/>
      <c r="W387" s="13"/>
      <c r="X387" s="13"/>
    </row>
    <row r="388" spans="18:24" x14ac:dyDescent="0.3">
      <c r="R388" s="22"/>
      <c r="S388" s="17"/>
      <c r="W388" s="13"/>
      <c r="X388" s="13"/>
    </row>
    <row r="389" spans="18:24" x14ac:dyDescent="0.3">
      <c r="R389" s="22"/>
      <c r="S389" s="17"/>
      <c r="W389" s="13"/>
      <c r="X389" s="13"/>
    </row>
    <row r="390" spans="18:24" x14ac:dyDescent="0.3">
      <c r="R390" s="22"/>
      <c r="S390" s="17"/>
      <c r="W390" s="13"/>
      <c r="X390" s="13"/>
    </row>
    <row r="391" spans="18:24" x14ac:dyDescent="0.3">
      <c r="R391" s="22"/>
      <c r="S391" s="17"/>
      <c r="W391" s="13"/>
      <c r="X391" s="13"/>
    </row>
    <row r="392" spans="18:24" x14ac:dyDescent="0.3">
      <c r="R392" s="22"/>
      <c r="S392" s="17"/>
      <c r="W392" s="13"/>
      <c r="X392" s="13"/>
    </row>
    <row r="393" spans="18:24" x14ac:dyDescent="0.3">
      <c r="R393" s="22"/>
      <c r="S393" s="17"/>
      <c r="W393" s="13"/>
      <c r="X393" s="13"/>
    </row>
    <row r="394" spans="18:24" x14ac:dyDescent="0.3">
      <c r="R394" s="22"/>
      <c r="S394" s="17"/>
      <c r="W394" s="13"/>
      <c r="X394" s="13"/>
    </row>
    <row r="395" spans="18:24" x14ac:dyDescent="0.3">
      <c r="W395" s="13"/>
      <c r="X395" s="13"/>
    </row>
    <row r="396" spans="18:24" x14ac:dyDescent="0.3">
      <c r="W396" s="13"/>
      <c r="X396" s="13"/>
    </row>
  </sheetData>
  <hyperlinks>
    <hyperlink ref="C2" r:id="rId1" xr:uid="{EF5F2603-FD17-4F5B-BB58-EB893E19C92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AB391"/>
  <sheetViews>
    <sheetView topLeftCell="G1" zoomScale="55" zoomScaleNormal="55" workbookViewId="0">
      <selection activeCell="O12" sqref="O12"/>
    </sheetView>
  </sheetViews>
  <sheetFormatPr defaultColWidth="9.109375" defaultRowHeight="14.4" x14ac:dyDescent="0.3"/>
  <cols>
    <col min="1" max="1" width="7" style="3" customWidth="1"/>
    <col min="2" max="3" width="16.5546875" style="3" customWidth="1"/>
    <col min="4" max="4" width="31.44140625" style="3" customWidth="1"/>
    <col min="5" max="6" width="25" style="3" customWidth="1"/>
    <col min="7" max="7" width="9.109375" style="3"/>
    <col min="8" max="8" width="16.33203125" style="3" customWidth="1"/>
    <col min="9" max="9" width="27.6640625" style="3" customWidth="1"/>
    <col min="10" max="10" width="16" style="3" customWidth="1"/>
    <col min="11" max="11" width="12.5546875" style="3" customWidth="1"/>
    <col min="12" max="13" width="22.44140625" style="3" customWidth="1"/>
    <col min="14" max="14" width="23" style="3" customWidth="1"/>
    <col min="15" max="15" width="13.33203125" style="3" customWidth="1"/>
    <col min="16" max="16" width="13.5546875" style="3" customWidth="1"/>
    <col min="17" max="17" width="12.109375" style="3" customWidth="1"/>
    <col min="18" max="18" width="13.33203125" style="3" customWidth="1"/>
    <col min="19" max="19" width="12.5546875" style="10" customWidth="1"/>
    <col min="20" max="20" width="9.109375" style="3"/>
    <col min="21" max="21" width="11.33203125" style="3" customWidth="1"/>
    <col min="22" max="22" width="9.109375" style="3"/>
    <col min="23" max="23" width="11.44140625" style="10" customWidth="1"/>
    <col min="24" max="24" width="10.109375" style="10" customWidth="1"/>
    <col min="25" max="25" width="11.5546875" style="3" bestFit="1" customWidth="1"/>
    <col min="26" max="26" width="9.109375" style="3"/>
    <col min="27" max="27" width="28.6640625" style="3" customWidth="1"/>
    <col min="28" max="28" width="14" style="3" customWidth="1"/>
    <col min="29" max="16384" width="9.109375" style="3"/>
  </cols>
  <sheetData>
    <row r="1" spans="1:28" ht="44.25" customHeight="1" x14ac:dyDescent="0.3">
      <c r="A1" s="1" t="s">
        <v>25</v>
      </c>
      <c r="B1" s="1" t="s">
        <v>24</v>
      </c>
      <c r="C1" s="1" t="s">
        <v>245</v>
      </c>
      <c r="D1" s="1" t="s">
        <v>23</v>
      </c>
      <c r="E1" s="1" t="s">
        <v>22</v>
      </c>
      <c r="F1" s="1" t="s">
        <v>34</v>
      </c>
      <c r="G1" s="11" t="s">
        <v>21</v>
      </c>
      <c r="H1" s="1" t="s">
        <v>20</v>
      </c>
      <c r="I1" s="1" t="s">
        <v>19</v>
      </c>
      <c r="J1" s="1" t="s">
        <v>26</v>
      </c>
      <c r="K1" s="1" t="s">
        <v>18</v>
      </c>
      <c r="L1" s="1" t="s">
        <v>17</v>
      </c>
      <c r="M1" s="1" t="s">
        <v>16</v>
      </c>
      <c r="N1" s="1" t="s">
        <v>15</v>
      </c>
      <c r="O1" s="14" t="s">
        <v>14</v>
      </c>
      <c r="P1" s="1" t="s">
        <v>13</v>
      </c>
      <c r="Q1" s="1" t="s">
        <v>32</v>
      </c>
      <c r="R1" s="11" t="s">
        <v>33</v>
      </c>
      <c r="S1" s="9" t="s">
        <v>12</v>
      </c>
      <c r="T1" s="1" t="s">
        <v>36</v>
      </c>
      <c r="U1" s="1" t="s">
        <v>61</v>
      </c>
      <c r="V1" s="1" t="s">
        <v>11</v>
      </c>
      <c r="W1" s="9" t="s">
        <v>30</v>
      </c>
      <c r="X1" s="9" t="s">
        <v>35</v>
      </c>
      <c r="Y1" s="1" t="s">
        <v>27</v>
      </c>
      <c r="Z1" s="14" t="s">
        <v>10</v>
      </c>
      <c r="AA1" s="1" t="s">
        <v>9</v>
      </c>
      <c r="AB1" s="1" t="s">
        <v>9</v>
      </c>
    </row>
    <row r="2" spans="1:28" ht="30" customHeight="1" x14ac:dyDescent="0.3">
      <c r="A2" s="3">
        <v>1</v>
      </c>
      <c r="B2" s="3" t="s">
        <v>107</v>
      </c>
      <c r="D2" s="2" t="s">
        <v>108</v>
      </c>
      <c r="G2" s="22"/>
      <c r="Q2" s="15"/>
      <c r="R2" s="26"/>
      <c r="S2" s="10" t="s">
        <v>31</v>
      </c>
      <c r="U2" s="15"/>
      <c r="W2" s="13">
        <v>8.48</v>
      </c>
      <c r="X2" s="19"/>
      <c r="Y2" s="8"/>
    </row>
    <row r="3" spans="1:28" ht="30" customHeight="1" x14ac:dyDescent="0.3">
      <c r="A3" s="3">
        <v>1</v>
      </c>
      <c r="G3" s="22"/>
      <c r="Q3" s="15"/>
      <c r="R3" s="26"/>
      <c r="S3" s="10" t="s">
        <v>2</v>
      </c>
      <c r="W3" s="13">
        <v>24.17</v>
      </c>
      <c r="X3" s="19"/>
      <c r="Y3" s="8"/>
    </row>
    <row r="4" spans="1:28" ht="30" customHeight="1" x14ac:dyDescent="0.3">
      <c r="A4" s="3">
        <v>1</v>
      </c>
      <c r="G4" s="22"/>
      <c r="Q4" s="15"/>
      <c r="R4" s="26"/>
      <c r="S4" s="10" t="s">
        <v>29</v>
      </c>
      <c r="W4" s="13">
        <v>8.48</v>
      </c>
      <c r="X4" s="19"/>
      <c r="Y4" s="8"/>
    </row>
    <row r="5" spans="1:28" ht="30" customHeight="1" x14ac:dyDescent="0.3">
      <c r="A5" s="3">
        <v>1</v>
      </c>
      <c r="G5" s="22"/>
      <c r="Q5" s="15"/>
      <c r="R5" s="26"/>
      <c r="S5" s="10" t="s">
        <v>37</v>
      </c>
      <c r="U5" s="15"/>
      <c r="W5" s="13">
        <v>3.08</v>
      </c>
      <c r="X5" s="19"/>
      <c r="Y5" s="8"/>
      <c r="AA5" s="27"/>
    </row>
    <row r="6" spans="1:28" ht="30.75" customHeight="1" x14ac:dyDescent="0.3">
      <c r="A6" s="3">
        <v>1</v>
      </c>
      <c r="G6" s="22"/>
      <c r="Q6" s="15"/>
      <c r="R6" s="26"/>
      <c r="S6" s="10" t="s">
        <v>5</v>
      </c>
      <c r="U6" s="15"/>
      <c r="W6" s="13">
        <v>24.68</v>
      </c>
      <c r="X6" s="19"/>
      <c r="Y6" s="8"/>
    </row>
    <row r="7" spans="1:28" ht="30.75" customHeight="1" x14ac:dyDescent="0.3">
      <c r="A7" s="3">
        <v>1</v>
      </c>
      <c r="G7" s="22"/>
      <c r="Q7" s="15"/>
      <c r="R7" s="26"/>
      <c r="S7" s="10" t="s">
        <v>4</v>
      </c>
      <c r="U7" s="15"/>
      <c r="W7" s="13">
        <v>393.06400000000002</v>
      </c>
      <c r="X7" s="19"/>
      <c r="Y7" s="8"/>
    </row>
    <row r="8" spans="1:28" ht="30.75" customHeight="1" x14ac:dyDescent="0.3">
      <c r="A8" s="3">
        <v>1</v>
      </c>
      <c r="D8" s="2"/>
      <c r="G8" s="22"/>
      <c r="Q8" s="15"/>
      <c r="R8" s="26"/>
      <c r="S8" s="10" t="s">
        <v>7</v>
      </c>
      <c r="U8" s="15"/>
      <c r="W8" s="13">
        <v>61.7</v>
      </c>
      <c r="X8" s="19"/>
      <c r="Y8" s="8"/>
    </row>
    <row r="9" spans="1:28" ht="30.75" customHeight="1" x14ac:dyDescent="0.3">
      <c r="A9" s="3">
        <v>1</v>
      </c>
      <c r="B9" s="3" t="s">
        <v>107</v>
      </c>
      <c r="D9" s="3" t="s">
        <v>109</v>
      </c>
      <c r="G9" s="22"/>
      <c r="Q9" s="15"/>
      <c r="R9" s="26"/>
      <c r="S9" s="17" t="s">
        <v>2</v>
      </c>
      <c r="U9" s="15"/>
      <c r="W9" s="13">
        <v>26.06</v>
      </c>
      <c r="X9" s="19"/>
      <c r="Y9" s="8"/>
    </row>
    <row r="10" spans="1:28" ht="30.75" customHeight="1" x14ac:dyDescent="0.3">
      <c r="A10" s="3">
        <v>1</v>
      </c>
      <c r="G10" s="22"/>
      <c r="Q10" s="15"/>
      <c r="R10" s="26"/>
      <c r="S10" s="17" t="s">
        <v>29</v>
      </c>
      <c r="U10" s="15"/>
      <c r="W10" s="13">
        <v>1.2000000000000002</v>
      </c>
      <c r="X10" s="19"/>
      <c r="Y10" s="8"/>
    </row>
    <row r="11" spans="1:28" x14ac:dyDescent="0.3">
      <c r="A11" s="3">
        <v>1</v>
      </c>
      <c r="D11" s="2"/>
      <c r="G11" s="22"/>
      <c r="Q11" s="15"/>
      <c r="R11" s="22"/>
      <c r="S11" s="17" t="s">
        <v>37</v>
      </c>
      <c r="U11" s="15"/>
      <c r="W11" s="13">
        <v>1.8</v>
      </c>
      <c r="X11" s="19"/>
      <c r="AA11" s="27"/>
    </row>
    <row r="12" spans="1:28" x14ac:dyDescent="0.3">
      <c r="A12" s="3">
        <v>1</v>
      </c>
      <c r="G12" s="22"/>
      <c r="Q12" s="15"/>
      <c r="R12" s="22"/>
      <c r="S12" s="17" t="s">
        <v>5</v>
      </c>
      <c r="U12" s="15"/>
      <c r="W12" s="13">
        <v>18.239999999999998</v>
      </c>
      <c r="X12" s="19"/>
    </row>
    <row r="13" spans="1:28" x14ac:dyDescent="0.3">
      <c r="A13" s="3">
        <v>1</v>
      </c>
      <c r="G13" s="22"/>
      <c r="Q13" s="15"/>
      <c r="R13" s="22"/>
      <c r="S13" s="17" t="s">
        <v>4</v>
      </c>
      <c r="W13" s="13">
        <v>784.55727999999988</v>
      </c>
      <c r="X13" s="19"/>
    </row>
    <row r="14" spans="1:28" x14ac:dyDescent="0.3">
      <c r="A14" s="3">
        <v>1</v>
      </c>
      <c r="G14" s="22"/>
      <c r="Q14" s="15"/>
      <c r="R14" s="22"/>
      <c r="S14" s="17" t="s">
        <v>7</v>
      </c>
      <c r="W14" s="13">
        <v>14.7</v>
      </c>
      <c r="X14" s="19"/>
    </row>
    <row r="15" spans="1:28" x14ac:dyDescent="0.3">
      <c r="G15" s="22"/>
      <c r="Q15" s="15"/>
      <c r="R15" s="22"/>
      <c r="S15" s="17"/>
      <c r="U15" s="15"/>
      <c r="W15" s="13"/>
      <c r="X15" s="19"/>
    </row>
    <row r="16" spans="1:28" x14ac:dyDescent="0.3">
      <c r="G16" s="22"/>
      <c r="Q16" s="15"/>
      <c r="R16" s="22"/>
      <c r="S16" s="17"/>
      <c r="U16" s="15"/>
      <c r="W16" s="13"/>
      <c r="X16" s="19"/>
    </row>
    <row r="17" spans="4:24" x14ac:dyDescent="0.3">
      <c r="D17" s="2"/>
      <c r="G17" s="22"/>
      <c r="Q17" s="15"/>
      <c r="R17" s="22"/>
      <c r="S17" s="17"/>
      <c r="U17" s="15"/>
      <c r="W17" s="13"/>
      <c r="X17" s="19"/>
    </row>
    <row r="18" spans="4:24" x14ac:dyDescent="0.3">
      <c r="G18" s="22"/>
      <c r="Q18" s="15"/>
      <c r="R18" s="22"/>
      <c r="S18" s="17"/>
      <c r="U18" s="15"/>
      <c r="W18" s="13"/>
      <c r="X18" s="19"/>
    </row>
    <row r="19" spans="4:24" x14ac:dyDescent="0.3">
      <c r="G19" s="22"/>
      <c r="Q19" s="15"/>
      <c r="R19" s="22"/>
      <c r="S19" s="17"/>
      <c r="W19" s="13"/>
      <c r="X19" s="19"/>
    </row>
    <row r="20" spans="4:24" x14ac:dyDescent="0.3">
      <c r="G20" s="22"/>
      <c r="Q20" s="15"/>
      <c r="R20" s="22"/>
      <c r="S20" s="17"/>
      <c r="U20" s="15"/>
      <c r="W20" s="13"/>
      <c r="X20" s="19"/>
    </row>
    <row r="21" spans="4:24" x14ac:dyDescent="0.3">
      <c r="G21" s="22"/>
      <c r="Q21" s="15"/>
      <c r="R21" s="22"/>
      <c r="S21" s="17"/>
      <c r="W21" s="13"/>
      <c r="X21" s="19"/>
    </row>
    <row r="22" spans="4:24" x14ac:dyDescent="0.3">
      <c r="D22" s="2"/>
      <c r="G22" s="22"/>
      <c r="Q22" s="15"/>
      <c r="R22" s="22"/>
      <c r="S22" s="17"/>
      <c r="U22" s="15"/>
      <c r="W22" s="13"/>
      <c r="X22" s="19"/>
    </row>
    <row r="23" spans="4:24" x14ac:dyDescent="0.3">
      <c r="G23" s="22"/>
      <c r="Q23" s="15"/>
      <c r="R23" s="22"/>
      <c r="S23" s="17"/>
      <c r="U23" s="15"/>
      <c r="W23" s="13"/>
      <c r="X23" s="19"/>
    </row>
    <row r="24" spans="4:24" x14ac:dyDescent="0.3">
      <c r="G24" s="22"/>
      <c r="Q24" s="15"/>
      <c r="R24" s="22"/>
      <c r="S24" s="17"/>
      <c r="W24" s="13"/>
      <c r="X24" s="19"/>
    </row>
    <row r="25" spans="4:24" x14ac:dyDescent="0.3">
      <c r="G25" s="22"/>
      <c r="Q25" s="15"/>
      <c r="R25" s="22"/>
      <c r="S25" s="17"/>
      <c r="U25" s="15"/>
      <c r="W25" s="13"/>
      <c r="X25" s="19"/>
    </row>
    <row r="26" spans="4:24" x14ac:dyDescent="0.3">
      <c r="G26" s="22"/>
      <c r="Q26" s="15"/>
      <c r="R26" s="22"/>
      <c r="S26" s="17"/>
      <c r="U26" s="15"/>
      <c r="W26" s="13"/>
      <c r="X26" s="19"/>
    </row>
    <row r="27" spans="4:24" x14ac:dyDescent="0.3">
      <c r="G27" s="22"/>
      <c r="Q27" s="15"/>
      <c r="R27" s="22"/>
      <c r="S27" s="17"/>
      <c r="U27" s="15"/>
      <c r="W27" s="13"/>
      <c r="X27" s="19"/>
    </row>
    <row r="28" spans="4:24" x14ac:dyDescent="0.3">
      <c r="G28" s="22"/>
      <c r="Q28" s="15"/>
      <c r="R28" s="22"/>
      <c r="S28" s="17"/>
      <c r="U28" s="15"/>
      <c r="W28" s="13"/>
      <c r="X28" s="19"/>
    </row>
    <row r="29" spans="4:24" x14ac:dyDescent="0.3">
      <c r="D29" s="2"/>
      <c r="G29" s="22"/>
      <c r="Q29" s="15"/>
      <c r="R29" s="22"/>
      <c r="S29" s="17"/>
      <c r="U29" s="15"/>
      <c r="W29" s="13"/>
      <c r="X29" s="19"/>
    </row>
    <row r="30" spans="4:24" x14ac:dyDescent="0.3">
      <c r="G30" s="22"/>
      <c r="Q30" s="15"/>
      <c r="R30" s="22"/>
      <c r="S30" s="17"/>
      <c r="U30" s="15"/>
      <c r="W30" s="13"/>
      <c r="X30" s="19"/>
    </row>
    <row r="31" spans="4:24" x14ac:dyDescent="0.3">
      <c r="G31" s="22"/>
      <c r="Q31" s="15"/>
      <c r="R31" s="22"/>
      <c r="S31" s="17"/>
      <c r="W31" s="13"/>
      <c r="X31" s="19"/>
    </row>
    <row r="32" spans="4:24" x14ac:dyDescent="0.3">
      <c r="G32" s="22"/>
      <c r="Q32" s="15"/>
      <c r="R32" s="22"/>
      <c r="S32" s="17"/>
      <c r="U32" s="15"/>
      <c r="W32" s="13"/>
      <c r="X32" s="19"/>
    </row>
    <row r="33" spans="4:24" x14ac:dyDescent="0.3">
      <c r="D33" s="2"/>
      <c r="G33" s="22"/>
      <c r="Q33" s="15"/>
      <c r="R33" s="22"/>
      <c r="S33" s="17"/>
      <c r="W33" s="13"/>
      <c r="X33" s="19"/>
    </row>
    <row r="34" spans="4:24" x14ac:dyDescent="0.3">
      <c r="G34" s="22"/>
      <c r="Q34" s="15"/>
      <c r="R34" s="22"/>
      <c r="S34" s="17"/>
      <c r="U34" s="15"/>
      <c r="W34" s="13"/>
      <c r="X34" s="19"/>
    </row>
    <row r="35" spans="4:24" x14ac:dyDescent="0.3">
      <c r="G35" s="22"/>
      <c r="Q35" s="15"/>
      <c r="R35" s="22"/>
      <c r="S35" s="17"/>
      <c r="W35" s="13"/>
      <c r="X35" s="19"/>
    </row>
    <row r="36" spans="4:24" x14ac:dyDescent="0.3">
      <c r="G36" s="22"/>
      <c r="Q36" s="15"/>
      <c r="R36" s="22"/>
      <c r="S36" s="17"/>
      <c r="U36" s="15"/>
      <c r="W36" s="13"/>
      <c r="X36" s="19"/>
    </row>
    <row r="37" spans="4:24" x14ac:dyDescent="0.3">
      <c r="D37" s="2"/>
      <c r="G37" s="22"/>
      <c r="Q37" s="15"/>
      <c r="R37" s="22"/>
      <c r="S37" s="17"/>
      <c r="U37" s="15"/>
      <c r="W37" s="13"/>
      <c r="X37" s="19"/>
    </row>
    <row r="38" spans="4:24" x14ac:dyDescent="0.3">
      <c r="G38" s="22"/>
      <c r="Q38" s="15"/>
      <c r="R38" s="22"/>
      <c r="S38" s="17"/>
      <c r="U38" s="15"/>
      <c r="W38" s="13"/>
      <c r="X38" s="19"/>
    </row>
    <row r="39" spans="4:24" x14ac:dyDescent="0.3">
      <c r="G39" s="22"/>
      <c r="Q39" s="15"/>
      <c r="R39" s="22"/>
      <c r="S39" s="17"/>
      <c r="W39" s="13"/>
      <c r="X39" s="19"/>
    </row>
    <row r="40" spans="4:24" x14ac:dyDescent="0.3">
      <c r="G40" s="22"/>
      <c r="Q40" s="15"/>
      <c r="R40" s="22"/>
      <c r="S40" s="17"/>
      <c r="U40" s="15"/>
      <c r="W40" s="13"/>
      <c r="X40" s="19"/>
    </row>
    <row r="41" spans="4:24" x14ac:dyDescent="0.3">
      <c r="G41" s="22"/>
      <c r="Q41" s="15"/>
      <c r="R41" s="22"/>
      <c r="S41" s="17"/>
      <c r="U41" s="15"/>
      <c r="W41" s="13"/>
      <c r="X41" s="19"/>
    </row>
    <row r="42" spans="4:24" x14ac:dyDescent="0.3">
      <c r="G42" s="22"/>
      <c r="Q42" s="15"/>
      <c r="R42" s="22"/>
      <c r="S42" s="17"/>
      <c r="U42" s="15"/>
      <c r="W42" s="13"/>
      <c r="X42" s="19"/>
    </row>
    <row r="43" spans="4:24" x14ac:dyDescent="0.3">
      <c r="G43" s="22"/>
      <c r="R43" s="22"/>
      <c r="S43" s="17"/>
      <c r="W43" s="13"/>
      <c r="X43" s="13"/>
    </row>
    <row r="44" spans="4:24" x14ac:dyDescent="0.3">
      <c r="G44" s="22"/>
      <c r="R44" s="22"/>
      <c r="S44" s="17"/>
      <c r="W44" s="13"/>
      <c r="X44" s="13"/>
    </row>
    <row r="45" spans="4:24" x14ac:dyDescent="0.3">
      <c r="G45" s="22"/>
      <c r="R45" s="22"/>
      <c r="S45" s="17"/>
      <c r="W45" s="13"/>
      <c r="X45" s="13"/>
    </row>
    <row r="46" spans="4:24" x14ac:dyDescent="0.3">
      <c r="G46" s="22"/>
      <c r="R46" s="22"/>
      <c r="S46" s="17"/>
      <c r="W46" s="13"/>
      <c r="X46" s="13"/>
    </row>
    <row r="47" spans="4:24" x14ac:dyDescent="0.3">
      <c r="G47" s="22"/>
      <c r="R47" s="22"/>
      <c r="S47" s="17"/>
      <c r="W47" s="13"/>
      <c r="X47" s="13"/>
    </row>
    <row r="48" spans="4:24" x14ac:dyDescent="0.3">
      <c r="G48" s="22"/>
      <c r="R48" s="22"/>
      <c r="S48" s="17"/>
      <c r="W48" s="13"/>
      <c r="X48" s="13"/>
    </row>
    <row r="49" spans="7:24" x14ac:dyDescent="0.3">
      <c r="G49" s="22"/>
      <c r="R49" s="22"/>
      <c r="S49" s="17"/>
      <c r="W49" s="13"/>
      <c r="X49" s="13"/>
    </row>
    <row r="50" spans="7:24" x14ac:dyDescent="0.3">
      <c r="G50" s="22"/>
      <c r="R50" s="22"/>
      <c r="S50" s="17"/>
      <c r="W50" s="13"/>
      <c r="X50" s="13"/>
    </row>
    <row r="51" spans="7:24" x14ac:dyDescent="0.3">
      <c r="G51" s="22"/>
      <c r="R51" s="22"/>
      <c r="S51" s="17"/>
      <c r="W51" s="13"/>
      <c r="X51" s="13"/>
    </row>
    <row r="52" spans="7:24" x14ac:dyDescent="0.3">
      <c r="G52" s="22"/>
      <c r="R52" s="22"/>
      <c r="S52" s="17"/>
      <c r="W52" s="13"/>
      <c r="X52" s="13"/>
    </row>
    <row r="53" spans="7:24" x14ac:dyDescent="0.3">
      <c r="G53" s="22"/>
      <c r="R53" s="22"/>
      <c r="S53" s="17"/>
      <c r="W53" s="13"/>
      <c r="X53" s="13"/>
    </row>
    <row r="54" spans="7:24" x14ac:dyDescent="0.3">
      <c r="G54" s="22"/>
      <c r="R54" s="22"/>
      <c r="S54" s="17"/>
      <c r="W54" s="13"/>
      <c r="X54" s="13"/>
    </row>
    <row r="55" spans="7:24" x14ac:dyDescent="0.3">
      <c r="G55" s="22"/>
      <c r="R55" s="22"/>
      <c r="S55" s="17"/>
      <c r="W55" s="13"/>
      <c r="X55" s="13"/>
    </row>
    <row r="56" spans="7:24" x14ac:dyDescent="0.3">
      <c r="G56" s="22"/>
      <c r="R56" s="22"/>
      <c r="S56" s="17"/>
      <c r="W56" s="13"/>
      <c r="X56" s="13"/>
    </row>
    <row r="57" spans="7:24" x14ac:dyDescent="0.3">
      <c r="G57" s="22"/>
      <c r="R57" s="22"/>
      <c r="S57" s="17"/>
      <c r="W57" s="13"/>
      <c r="X57" s="13"/>
    </row>
    <row r="58" spans="7:24" x14ac:dyDescent="0.3">
      <c r="G58" s="22"/>
      <c r="R58" s="22"/>
      <c r="S58" s="17"/>
      <c r="W58" s="13"/>
      <c r="X58" s="13"/>
    </row>
    <row r="59" spans="7:24" x14ac:dyDescent="0.3">
      <c r="G59" s="22"/>
      <c r="R59" s="22"/>
      <c r="S59" s="17"/>
      <c r="W59" s="13"/>
      <c r="X59" s="13"/>
    </row>
    <row r="60" spans="7:24" x14ac:dyDescent="0.3">
      <c r="G60" s="22"/>
      <c r="R60" s="22"/>
      <c r="S60" s="17"/>
      <c r="W60" s="13"/>
      <c r="X60" s="13"/>
    </row>
    <row r="61" spans="7:24" x14ac:dyDescent="0.3">
      <c r="G61" s="22"/>
      <c r="R61" s="22"/>
      <c r="S61" s="17"/>
      <c r="W61" s="13"/>
      <c r="X61" s="13"/>
    </row>
    <row r="62" spans="7:24" x14ac:dyDescent="0.3">
      <c r="G62" s="22"/>
      <c r="R62" s="22"/>
      <c r="S62" s="17"/>
      <c r="W62" s="13"/>
      <c r="X62" s="13"/>
    </row>
    <row r="63" spans="7:24" x14ac:dyDescent="0.3">
      <c r="G63" s="22"/>
      <c r="R63" s="22"/>
      <c r="S63" s="17"/>
      <c r="W63" s="13"/>
      <c r="X63" s="13"/>
    </row>
    <row r="64" spans="7:24" x14ac:dyDescent="0.3">
      <c r="G64" s="22"/>
      <c r="R64" s="22"/>
      <c r="S64" s="17"/>
      <c r="W64" s="13"/>
      <c r="X64" s="13"/>
    </row>
    <row r="65" spans="7:24" x14ac:dyDescent="0.3">
      <c r="G65" s="22"/>
      <c r="R65" s="22"/>
      <c r="S65" s="17"/>
      <c r="W65" s="13"/>
      <c r="X65" s="13"/>
    </row>
    <row r="66" spans="7:24" x14ac:dyDescent="0.3">
      <c r="G66" s="22"/>
      <c r="R66" s="22"/>
      <c r="S66" s="17"/>
      <c r="W66" s="13"/>
      <c r="X66" s="13"/>
    </row>
    <row r="67" spans="7:24" x14ac:dyDescent="0.3">
      <c r="G67" s="22"/>
      <c r="R67" s="22"/>
      <c r="S67" s="17"/>
      <c r="W67" s="13"/>
      <c r="X67" s="13"/>
    </row>
    <row r="68" spans="7:24" x14ac:dyDescent="0.3">
      <c r="G68" s="22"/>
      <c r="R68" s="22"/>
      <c r="S68" s="17"/>
      <c r="W68" s="13"/>
      <c r="X68" s="13"/>
    </row>
    <row r="69" spans="7:24" x14ac:dyDescent="0.3">
      <c r="G69" s="22"/>
      <c r="R69" s="22"/>
      <c r="S69" s="17"/>
      <c r="W69" s="13"/>
      <c r="X69" s="13"/>
    </row>
    <row r="70" spans="7:24" x14ac:dyDescent="0.3">
      <c r="G70" s="22"/>
      <c r="R70" s="22"/>
      <c r="S70" s="17"/>
      <c r="W70" s="13"/>
      <c r="X70" s="13"/>
    </row>
    <row r="71" spans="7:24" x14ac:dyDescent="0.3">
      <c r="G71" s="22"/>
      <c r="R71" s="22"/>
      <c r="S71" s="17"/>
      <c r="W71" s="13"/>
      <c r="X71" s="13"/>
    </row>
    <row r="72" spans="7:24" x14ac:dyDescent="0.3">
      <c r="G72" s="22"/>
      <c r="R72" s="22"/>
      <c r="S72" s="17"/>
      <c r="W72" s="13"/>
      <c r="X72" s="13"/>
    </row>
    <row r="73" spans="7:24" x14ac:dyDescent="0.3">
      <c r="G73" s="22"/>
      <c r="R73" s="22"/>
      <c r="S73" s="17"/>
      <c r="W73" s="13"/>
      <c r="X73" s="13"/>
    </row>
    <row r="74" spans="7:24" x14ac:dyDescent="0.3">
      <c r="G74" s="22"/>
      <c r="R74" s="22"/>
      <c r="S74" s="17"/>
      <c r="W74" s="13"/>
      <c r="X74" s="13"/>
    </row>
    <row r="75" spans="7:24" x14ac:dyDescent="0.3">
      <c r="G75" s="22"/>
      <c r="R75" s="22"/>
      <c r="S75" s="17"/>
      <c r="W75" s="13"/>
      <c r="X75" s="13"/>
    </row>
    <row r="76" spans="7:24" x14ac:dyDescent="0.3">
      <c r="G76" s="22"/>
      <c r="R76" s="22"/>
      <c r="S76" s="17"/>
      <c r="W76" s="13"/>
      <c r="X76" s="13"/>
    </row>
    <row r="77" spans="7:24" x14ac:dyDescent="0.3">
      <c r="G77" s="22"/>
      <c r="R77" s="22"/>
      <c r="S77" s="17"/>
      <c r="W77" s="13"/>
      <c r="X77" s="13"/>
    </row>
    <row r="78" spans="7:24" x14ac:dyDescent="0.3">
      <c r="G78" s="22"/>
      <c r="R78" s="22"/>
      <c r="S78" s="17"/>
      <c r="W78" s="13"/>
      <c r="X78" s="13"/>
    </row>
    <row r="79" spans="7:24" x14ac:dyDescent="0.3">
      <c r="G79" s="22"/>
      <c r="R79" s="22"/>
      <c r="S79" s="17"/>
      <c r="W79" s="13"/>
      <c r="X79" s="13"/>
    </row>
    <row r="80" spans="7:24" x14ac:dyDescent="0.3">
      <c r="G80" s="22"/>
      <c r="R80" s="22"/>
      <c r="S80" s="17"/>
      <c r="W80" s="13"/>
      <c r="X80" s="13"/>
    </row>
    <row r="81" spans="7:24" x14ac:dyDescent="0.3">
      <c r="G81" s="22"/>
      <c r="R81" s="22"/>
      <c r="S81" s="17"/>
      <c r="W81" s="13"/>
      <c r="X81" s="13"/>
    </row>
    <row r="82" spans="7:24" x14ac:dyDescent="0.3">
      <c r="G82" s="22"/>
      <c r="R82" s="22"/>
      <c r="S82" s="17"/>
      <c r="W82" s="13"/>
      <c r="X82" s="13"/>
    </row>
    <row r="83" spans="7:24" x14ac:dyDescent="0.3">
      <c r="G83" s="22"/>
      <c r="R83" s="22"/>
      <c r="S83" s="17"/>
      <c r="W83" s="13"/>
      <c r="X83" s="13"/>
    </row>
    <row r="84" spans="7:24" x14ac:dyDescent="0.3">
      <c r="G84" s="22"/>
      <c r="R84" s="22"/>
      <c r="S84" s="17"/>
      <c r="W84" s="13"/>
      <c r="X84" s="13"/>
    </row>
    <row r="85" spans="7:24" x14ac:dyDescent="0.3">
      <c r="G85" s="22"/>
      <c r="R85" s="22"/>
      <c r="S85" s="17"/>
      <c r="W85" s="13"/>
      <c r="X85" s="13"/>
    </row>
    <row r="86" spans="7:24" x14ac:dyDescent="0.3">
      <c r="G86" s="22"/>
      <c r="R86" s="22"/>
      <c r="S86" s="17"/>
      <c r="W86" s="13"/>
      <c r="X86" s="13"/>
    </row>
    <row r="87" spans="7:24" x14ac:dyDescent="0.3">
      <c r="G87" s="22"/>
      <c r="R87" s="22"/>
      <c r="S87" s="17"/>
      <c r="W87" s="13"/>
      <c r="X87" s="13"/>
    </row>
    <row r="88" spans="7:24" x14ac:dyDescent="0.3">
      <c r="G88" s="22"/>
      <c r="R88" s="22"/>
      <c r="S88" s="17"/>
      <c r="W88" s="13"/>
      <c r="X88" s="13"/>
    </row>
    <row r="89" spans="7:24" x14ac:dyDescent="0.3">
      <c r="G89" s="22"/>
      <c r="R89" s="22"/>
      <c r="S89" s="17"/>
      <c r="W89" s="13"/>
      <c r="X89" s="13"/>
    </row>
    <row r="90" spans="7:24" x14ac:dyDescent="0.3">
      <c r="G90" s="22"/>
      <c r="R90" s="22"/>
      <c r="S90" s="17"/>
      <c r="W90" s="13"/>
      <c r="X90" s="13"/>
    </row>
    <row r="91" spans="7:24" x14ac:dyDescent="0.3">
      <c r="G91" s="22"/>
      <c r="R91" s="22"/>
      <c r="S91" s="17"/>
      <c r="W91" s="13"/>
      <c r="X91" s="13"/>
    </row>
    <row r="92" spans="7:24" x14ac:dyDescent="0.3">
      <c r="G92" s="22"/>
      <c r="R92" s="22"/>
      <c r="S92" s="17"/>
      <c r="W92" s="13"/>
      <c r="X92" s="13"/>
    </row>
    <row r="93" spans="7:24" x14ac:dyDescent="0.3">
      <c r="G93" s="22"/>
      <c r="R93" s="22"/>
      <c r="S93" s="17"/>
      <c r="W93" s="13"/>
      <c r="X93" s="13"/>
    </row>
    <row r="94" spans="7:24" x14ac:dyDescent="0.3">
      <c r="G94" s="22"/>
      <c r="R94" s="22"/>
      <c r="S94" s="17"/>
      <c r="W94" s="13"/>
      <c r="X94" s="13"/>
    </row>
    <row r="95" spans="7:24" x14ac:dyDescent="0.3">
      <c r="G95" s="22"/>
      <c r="R95" s="22"/>
      <c r="S95" s="17"/>
      <c r="W95" s="13"/>
      <c r="X95" s="13"/>
    </row>
    <row r="96" spans="7:24" x14ac:dyDescent="0.3">
      <c r="G96" s="22"/>
      <c r="R96" s="22"/>
      <c r="S96" s="17"/>
      <c r="W96" s="13"/>
      <c r="X96" s="13"/>
    </row>
    <row r="97" spans="7:24" x14ac:dyDescent="0.3">
      <c r="G97" s="22"/>
      <c r="R97" s="22"/>
      <c r="S97" s="17"/>
      <c r="W97" s="13"/>
      <c r="X97" s="13"/>
    </row>
    <row r="98" spans="7:24" x14ac:dyDescent="0.3">
      <c r="G98" s="22"/>
      <c r="R98" s="22"/>
      <c r="S98" s="17"/>
      <c r="W98" s="13"/>
      <c r="X98" s="13"/>
    </row>
    <row r="99" spans="7:24" x14ac:dyDescent="0.3">
      <c r="G99" s="22"/>
      <c r="R99" s="22"/>
      <c r="S99" s="17"/>
      <c r="W99" s="13"/>
      <c r="X99" s="13"/>
    </row>
    <row r="100" spans="7:24" x14ac:dyDescent="0.3">
      <c r="G100" s="22"/>
      <c r="R100" s="22"/>
      <c r="S100" s="17"/>
      <c r="W100" s="13"/>
      <c r="X100" s="13"/>
    </row>
    <row r="101" spans="7:24" x14ac:dyDescent="0.3">
      <c r="G101" s="22"/>
      <c r="R101" s="22"/>
      <c r="S101" s="17"/>
      <c r="W101" s="13"/>
      <c r="X101" s="13"/>
    </row>
    <row r="102" spans="7:24" x14ac:dyDescent="0.3">
      <c r="G102" s="22"/>
      <c r="R102" s="22"/>
      <c r="S102" s="17"/>
      <c r="W102" s="13"/>
      <c r="X102" s="13"/>
    </row>
    <row r="103" spans="7:24" x14ac:dyDescent="0.3">
      <c r="G103" s="22"/>
      <c r="R103" s="22"/>
      <c r="S103" s="17"/>
      <c r="W103" s="13"/>
      <c r="X103" s="13"/>
    </row>
    <row r="104" spans="7:24" x14ac:dyDescent="0.3">
      <c r="G104" s="22"/>
      <c r="R104" s="22"/>
      <c r="S104" s="17"/>
      <c r="W104" s="13"/>
      <c r="X104" s="13"/>
    </row>
    <row r="105" spans="7:24" x14ac:dyDescent="0.3">
      <c r="G105" s="22"/>
      <c r="R105" s="22"/>
      <c r="S105" s="17"/>
      <c r="W105" s="13"/>
      <c r="X105" s="13"/>
    </row>
    <row r="106" spans="7:24" x14ac:dyDescent="0.3">
      <c r="G106" s="22"/>
      <c r="R106" s="22"/>
      <c r="S106" s="17"/>
      <c r="W106" s="13"/>
      <c r="X106" s="13"/>
    </row>
    <row r="107" spans="7:24" x14ac:dyDescent="0.3">
      <c r="G107" s="22"/>
      <c r="R107" s="22"/>
      <c r="S107" s="17"/>
      <c r="W107" s="13"/>
      <c r="X107" s="13"/>
    </row>
    <row r="108" spans="7:24" x14ac:dyDescent="0.3">
      <c r="G108" s="22"/>
      <c r="R108" s="22"/>
      <c r="S108" s="17"/>
      <c r="W108" s="13"/>
      <c r="X108" s="13"/>
    </row>
    <row r="109" spans="7:24" x14ac:dyDescent="0.3">
      <c r="G109" s="22"/>
      <c r="R109" s="22"/>
      <c r="S109" s="17"/>
      <c r="W109" s="13"/>
      <c r="X109" s="13"/>
    </row>
    <row r="110" spans="7:24" x14ac:dyDescent="0.3">
      <c r="G110" s="22"/>
      <c r="R110" s="22"/>
      <c r="S110" s="17"/>
      <c r="W110" s="13"/>
      <c r="X110" s="13"/>
    </row>
    <row r="111" spans="7:24" x14ac:dyDescent="0.3">
      <c r="G111" s="22"/>
      <c r="R111" s="22"/>
      <c r="S111" s="17"/>
      <c r="W111" s="13"/>
      <c r="X111" s="13"/>
    </row>
    <row r="112" spans="7:24" x14ac:dyDescent="0.3">
      <c r="G112" s="22"/>
      <c r="R112" s="22"/>
      <c r="S112" s="17"/>
      <c r="W112" s="13"/>
      <c r="X112" s="13"/>
    </row>
    <row r="113" spans="7:24" x14ac:dyDescent="0.3">
      <c r="G113" s="22"/>
      <c r="R113" s="22"/>
      <c r="S113" s="17"/>
      <c r="W113" s="13"/>
      <c r="X113" s="13"/>
    </row>
    <row r="114" spans="7:24" x14ac:dyDescent="0.3">
      <c r="G114" s="22"/>
      <c r="R114" s="22"/>
      <c r="S114" s="17"/>
      <c r="W114" s="13"/>
      <c r="X114" s="13"/>
    </row>
    <row r="115" spans="7:24" x14ac:dyDescent="0.3">
      <c r="G115" s="22"/>
      <c r="R115" s="22"/>
      <c r="S115" s="17"/>
      <c r="W115" s="13"/>
      <c r="X115" s="13"/>
    </row>
    <row r="116" spans="7:24" x14ac:dyDescent="0.3">
      <c r="G116" s="22"/>
      <c r="R116" s="22"/>
      <c r="S116" s="17"/>
      <c r="W116" s="13"/>
      <c r="X116" s="13"/>
    </row>
    <row r="117" spans="7:24" x14ac:dyDescent="0.3">
      <c r="G117" s="22"/>
      <c r="R117" s="22"/>
      <c r="S117" s="17"/>
      <c r="W117" s="13"/>
      <c r="X117" s="13"/>
    </row>
    <row r="118" spans="7:24" x14ac:dyDescent="0.3">
      <c r="G118" s="22"/>
      <c r="R118" s="22"/>
      <c r="S118" s="17"/>
      <c r="W118" s="13"/>
      <c r="X118" s="13"/>
    </row>
    <row r="119" spans="7:24" x14ac:dyDescent="0.3">
      <c r="G119" s="22"/>
      <c r="R119" s="22"/>
      <c r="S119" s="17"/>
      <c r="W119" s="13"/>
      <c r="X119" s="13"/>
    </row>
    <row r="120" spans="7:24" x14ac:dyDescent="0.3">
      <c r="G120" s="22"/>
      <c r="R120" s="22"/>
      <c r="S120" s="17"/>
      <c r="W120" s="13"/>
      <c r="X120" s="13"/>
    </row>
    <row r="121" spans="7:24" x14ac:dyDescent="0.3">
      <c r="G121" s="22"/>
      <c r="R121" s="22"/>
      <c r="S121" s="17"/>
      <c r="W121" s="13"/>
      <c r="X121" s="13"/>
    </row>
    <row r="122" spans="7:24" x14ac:dyDescent="0.3">
      <c r="G122" s="22"/>
      <c r="R122" s="22"/>
      <c r="S122" s="17"/>
      <c r="W122" s="13"/>
      <c r="X122" s="13"/>
    </row>
    <row r="123" spans="7:24" x14ac:dyDescent="0.3">
      <c r="G123" s="22"/>
      <c r="R123" s="22"/>
      <c r="S123" s="17"/>
      <c r="W123" s="13"/>
      <c r="X123" s="13"/>
    </row>
    <row r="124" spans="7:24" x14ac:dyDescent="0.3">
      <c r="G124" s="22"/>
      <c r="R124" s="22"/>
      <c r="S124" s="17"/>
      <c r="W124" s="13"/>
      <c r="X124" s="13"/>
    </row>
    <row r="125" spans="7:24" x14ac:dyDescent="0.3">
      <c r="G125" s="22"/>
      <c r="R125" s="22"/>
      <c r="S125" s="17"/>
      <c r="W125" s="13"/>
      <c r="X125" s="13"/>
    </row>
    <row r="126" spans="7:24" x14ac:dyDescent="0.3">
      <c r="G126" s="22"/>
      <c r="R126" s="22"/>
      <c r="S126" s="17"/>
      <c r="W126" s="13"/>
      <c r="X126" s="13"/>
    </row>
    <row r="127" spans="7:24" x14ac:dyDescent="0.3">
      <c r="G127" s="22"/>
      <c r="R127" s="22"/>
      <c r="S127" s="17"/>
      <c r="W127" s="13"/>
      <c r="X127" s="13"/>
    </row>
    <row r="128" spans="7:24" x14ac:dyDescent="0.3">
      <c r="G128" s="22"/>
      <c r="R128" s="22"/>
      <c r="S128" s="17"/>
      <c r="W128" s="13"/>
      <c r="X128" s="13"/>
    </row>
    <row r="129" spans="7:24" x14ac:dyDescent="0.3">
      <c r="G129" s="22"/>
      <c r="R129" s="22"/>
      <c r="S129" s="17"/>
      <c r="W129" s="13"/>
      <c r="X129" s="13"/>
    </row>
    <row r="130" spans="7:24" x14ac:dyDescent="0.3">
      <c r="G130" s="22"/>
      <c r="R130" s="22"/>
      <c r="S130" s="17"/>
      <c r="W130" s="13"/>
      <c r="X130" s="13"/>
    </row>
    <row r="131" spans="7:24" x14ac:dyDescent="0.3">
      <c r="G131" s="22"/>
      <c r="R131" s="22"/>
      <c r="S131" s="17"/>
      <c r="W131" s="13"/>
      <c r="X131" s="13"/>
    </row>
    <row r="132" spans="7:24" x14ac:dyDescent="0.3">
      <c r="G132" s="22"/>
      <c r="R132" s="22"/>
      <c r="S132" s="17"/>
      <c r="W132" s="13"/>
      <c r="X132" s="13"/>
    </row>
    <row r="133" spans="7:24" x14ac:dyDescent="0.3">
      <c r="G133" s="22"/>
      <c r="R133" s="22"/>
      <c r="S133" s="17"/>
      <c r="W133" s="13"/>
      <c r="X133" s="13"/>
    </row>
    <row r="134" spans="7:24" x14ac:dyDescent="0.3">
      <c r="G134" s="22"/>
      <c r="R134" s="22"/>
      <c r="S134" s="17"/>
      <c r="W134" s="13"/>
      <c r="X134" s="13"/>
    </row>
    <row r="135" spans="7:24" x14ac:dyDescent="0.3">
      <c r="G135" s="22"/>
      <c r="R135" s="22"/>
      <c r="S135" s="17"/>
      <c r="W135" s="13"/>
      <c r="X135" s="13"/>
    </row>
    <row r="136" spans="7:24" x14ac:dyDescent="0.3">
      <c r="G136" s="22"/>
      <c r="R136" s="22"/>
      <c r="S136" s="17"/>
      <c r="W136" s="13"/>
      <c r="X136" s="13"/>
    </row>
    <row r="137" spans="7:24" x14ac:dyDescent="0.3">
      <c r="G137" s="22"/>
      <c r="R137" s="22"/>
      <c r="S137" s="17"/>
      <c r="W137" s="13"/>
      <c r="X137" s="13"/>
    </row>
    <row r="138" spans="7:24" x14ac:dyDescent="0.3">
      <c r="G138" s="22"/>
      <c r="R138" s="22"/>
      <c r="S138" s="17"/>
      <c r="W138" s="13"/>
      <c r="X138" s="13"/>
    </row>
    <row r="139" spans="7:24" x14ac:dyDescent="0.3">
      <c r="G139" s="22"/>
      <c r="R139" s="22"/>
      <c r="S139" s="17"/>
      <c r="W139" s="13"/>
      <c r="X139" s="13"/>
    </row>
    <row r="140" spans="7:24" x14ac:dyDescent="0.3">
      <c r="G140" s="22"/>
      <c r="R140" s="22"/>
      <c r="S140" s="17"/>
      <c r="W140" s="13"/>
      <c r="X140" s="13"/>
    </row>
    <row r="141" spans="7:24" x14ac:dyDescent="0.3">
      <c r="G141" s="22"/>
      <c r="R141" s="22"/>
      <c r="S141" s="17"/>
      <c r="W141" s="13"/>
      <c r="X141" s="13"/>
    </row>
    <row r="142" spans="7:24" x14ac:dyDescent="0.3">
      <c r="G142" s="22"/>
      <c r="R142" s="22"/>
      <c r="S142" s="17"/>
      <c r="W142" s="13"/>
      <c r="X142" s="13"/>
    </row>
    <row r="143" spans="7:24" x14ac:dyDescent="0.3">
      <c r="G143" s="22"/>
      <c r="R143" s="22"/>
      <c r="S143" s="17"/>
      <c r="W143" s="13"/>
      <c r="X143" s="13"/>
    </row>
    <row r="144" spans="7:24" x14ac:dyDescent="0.3">
      <c r="G144" s="22"/>
      <c r="R144" s="22"/>
      <c r="S144" s="17"/>
      <c r="W144" s="13"/>
      <c r="X144" s="13"/>
    </row>
    <row r="145" spans="7:24" x14ac:dyDescent="0.3">
      <c r="G145" s="22"/>
      <c r="R145" s="22"/>
      <c r="S145" s="17"/>
      <c r="W145" s="13"/>
      <c r="X145" s="13"/>
    </row>
    <row r="146" spans="7:24" x14ac:dyDescent="0.3">
      <c r="G146" s="22"/>
      <c r="R146" s="22"/>
      <c r="S146" s="17"/>
      <c r="W146" s="13"/>
      <c r="X146" s="13"/>
    </row>
    <row r="147" spans="7:24" x14ac:dyDescent="0.3">
      <c r="G147" s="22"/>
      <c r="R147" s="22"/>
      <c r="S147" s="17"/>
      <c r="W147" s="13"/>
      <c r="X147" s="13"/>
    </row>
    <row r="148" spans="7:24" x14ac:dyDescent="0.3">
      <c r="G148" s="22"/>
      <c r="R148" s="22"/>
      <c r="S148" s="17"/>
      <c r="W148" s="13"/>
      <c r="X148" s="13"/>
    </row>
    <row r="149" spans="7:24" x14ac:dyDescent="0.3">
      <c r="G149" s="22"/>
      <c r="R149" s="22"/>
      <c r="S149" s="17"/>
      <c r="W149" s="13"/>
      <c r="X149" s="13"/>
    </row>
    <row r="150" spans="7:24" x14ac:dyDescent="0.3">
      <c r="G150" s="22"/>
      <c r="R150" s="22"/>
      <c r="S150" s="17"/>
      <c r="W150" s="13"/>
      <c r="X150" s="13"/>
    </row>
    <row r="151" spans="7:24" x14ac:dyDescent="0.3">
      <c r="G151" s="22"/>
      <c r="R151" s="22"/>
      <c r="S151" s="17"/>
      <c r="W151" s="13"/>
      <c r="X151" s="13"/>
    </row>
    <row r="152" spans="7:24" x14ac:dyDescent="0.3">
      <c r="G152" s="22"/>
      <c r="R152" s="22"/>
      <c r="S152" s="17"/>
      <c r="W152" s="13"/>
      <c r="X152" s="13"/>
    </row>
    <row r="153" spans="7:24" x14ac:dyDescent="0.3">
      <c r="G153" s="22"/>
      <c r="R153" s="22"/>
      <c r="S153" s="17"/>
      <c r="W153" s="13"/>
      <c r="X153" s="13"/>
    </row>
    <row r="154" spans="7:24" x14ac:dyDescent="0.3">
      <c r="G154" s="22"/>
      <c r="R154" s="22"/>
      <c r="S154" s="17"/>
      <c r="W154" s="13"/>
      <c r="X154" s="13"/>
    </row>
    <row r="155" spans="7:24" x14ac:dyDescent="0.3">
      <c r="G155" s="22"/>
      <c r="R155" s="22"/>
      <c r="S155" s="17"/>
      <c r="W155" s="13"/>
      <c r="X155" s="13"/>
    </row>
    <row r="156" spans="7:24" x14ac:dyDescent="0.3">
      <c r="G156" s="22"/>
      <c r="R156" s="22"/>
      <c r="S156" s="17"/>
      <c r="W156" s="13"/>
      <c r="X156" s="13"/>
    </row>
    <row r="157" spans="7:24" x14ac:dyDescent="0.3">
      <c r="G157" s="22"/>
      <c r="R157" s="22"/>
      <c r="S157" s="17"/>
      <c r="W157" s="13"/>
      <c r="X157" s="13"/>
    </row>
    <row r="158" spans="7:24" x14ac:dyDescent="0.3">
      <c r="G158" s="22"/>
      <c r="R158" s="22"/>
      <c r="S158" s="17"/>
      <c r="W158" s="13"/>
      <c r="X158" s="13"/>
    </row>
    <row r="159" spans="7:24" x14ac:dyDescent="0.3">
      <c r="G159" s="22"/>
      <c r="R159" s="22"/>
      <c r="S159" s="17"/>
      <c r="W159" s="13"/>
      <c r="X159" s="13"/>
    </row>
    <row r="160" spans="7:24" x14ac:dyDescent="0.3">
      <c r="G160" s="22"/>
      <c r="R160" s="22"/>
      <c r="S160" s="17"/>
      <c r="W160" s="13"/>
      <c r="X160" s="13"/>
    </row>
    <row r="161" spans="7:24" x14ac:dyDescent="0.3">
      <c r="G161" s="22"/>
      <c r="R161" s="22"/>
      <c r="S161" s="17"/>
      <c r="W161" s="13"/>
      <c r="X161" s="13"/>
    </row>
    <row r="162" spans="7:24" x14ac:dyDescent="0.3">
      <c r="G162" s="22"/>
      <c r="R162" s="22"/>
      <c r="S162" s="17"/>
      <c r="W162" s="13"/>
      <c r="X162" s="13"/>
    </row>
    <row r="163" spans="7:24" x14ac:dyDescent="0.3">
      <c r="G163" s="22"/>
      <c r="R163" s="22"/>
      <c r="S163" s="17"/>
      <c r="W163" s="13"/>
      <c r="X163" s="13"/>
    </row>
    <row r="164" spans="7:24" x14ac:dyDescent="0.3">
      <c r="G164" s="22"/>
      <c r="R164" s="22"/>
      <c r="S164" s="17"/>
      <c r="W164" s="13"/>
      <c r="X164" s="13"/>
    </row>
    <row r="165" spans="7:24" x14ac:dyDescent="0.3">
      <c r="G165" s="22"/>
      <c r="R165" s="22"/>
      <c r="S165" s="17"/>
      <c r="W165" s="13"/>
      <c r="X165" s="13"/>
    </row>
    <row r="166" spans="7:24" x14ac:dyDescent="0.3">
      <c r="G166" s="22"/>
      <c r="R166" s="22"/>
      <c r="S166" s="17"/>
      <c r="W166" s="13"/>
      <c r="X166" s="13"/>
    </row>
    <row r="167" spans="7:24" x14ac:dyDescent="0.3">
      <c r="G167" s="22"/>
      <c r="R167" s="22"/>
      <c r="S167" s="17"/>
      <c r="W167" s="13"/>
      <c r="X167" s="13"/>
    </row>
    <row r="168" spans="7:24" x14ac:dyDescent="0.3">
      <c r="G168" s="22"/>
      <c r="R168" s="22"/>
      <c r="S168" s="17"/>
      <c r="W168" s="13"/>
      <c r="X168" s="13"/>
    </row>
    <row r="169" spans="7:24" x14ac:dyDescent="0.3">
      <c r="G169" s="22"/>
      <c r="R169" s="22"/>
      <c r="S169" s="17"/>
      <c r="W169" s="13"/>
      <c r="X169" s="13"/>
    </row>
    <row r="170" spans="7:24" x14ac:dyDescent="0.3">
      <c r="G170" s="22"/>
      <c r="R170" s="22"/>
      <c r="S170" s="17"/>
      <c r="W170" s="13"/>
      <c r="X170" s="13"/>
    </row>
    <row r="171" spans="7:24" x14ac:dyDescent="0.3">
      <c r="G171" s="22"/>
      <c r="R171" s="22"/>
      <c r="S171" s="17"/>
      <c r="W171" s="13"/>
      <c r="X171" s="13"/>
    </row>
    <row r="172" spans="7:24" x14ac:dyDescent="0.3">
      <c r="G172" s="22"/>
      <c r="R172" s="22"/>
      <c r="S172" s="17"/>
      <c r="W172" s="13"/>
      <c r="X172" s="13"/>
    </row>
    <row r="173" spans="7:24" x14ac:dyDescent="0.3">
      <c r="G173" s="22"/>
      <c r="R173" s="22"/>
      <c r="S173" s="17"/>
      <c r="W173" s="13"/>
      <c r="X173" s="13"/>
    </row>
    <row r="174" spans="7:24" x14ac:dyDescent="0.3">
      <c r="G174" s="22"/>
      <c r="R174" s="22"/>
      <c r="S174" s="17"/>
      <c r="W174" s="13"/>
      <c r="X174" s="13"/>
    </row>
    <row r="175" spans="7:24" x14ac:dyDescent="0.3">
      <c r="G175" s="22"/>
      <c r="R175" s="22"/>
      <c r="S175" s="17"/>
      <c r="W175" s="13"/>
      <c r="X175" s="13"/>
    </row>
    <row r="176" spans="7:24" x14ac:dyDescent="0.3">
      <c r="G176" s="22"/>
      <c r="R176" s="22"/>
      <c r="S176" s="17"/>
      <c r="W176" s="13"/>
      <c r="X176" s="13"/>
    </row>
    <row r="177" spans="7:24" x14ac:dyDescent="0.3">
      <c r="G177" s="22"/>
      <c r="R177" s="22"/>
      <c r="S177" s="17"/>
      <c r="W177" s="13"/>
      <c r="X177" s="13"/>
    </row>
    <row r="178" spans="7:24" x14ac:dyDescent="0.3">
      <c r="G178" s="22"/>
      <c r="R178" s="22"/>
      <c r="S178" s="17"/>
      <c r="W178" s="13"/>
      <c r="X178" s="13"/>
    </row>
    <row r="179" spans="7:24" x14ac:dyDescent="0.3">
      <c r="G179" s="22"/>
      <c r="R179" s="22"/>
      <c r="S179" s="17"/>
      <c r="W179" s="13"/>
      <c r="X179" s="13"/>
    </row>
    <row r="180" spans="7:24" x14ac:dyDescent="0.3">
      <c r="G180" s="22"/>
      <c r="R180" s="22"/>
      <c r="S180" s="17"/>
      <c r="W180" s="13"/>
      <c r="X180" s="13"/>
    </row>
    <row r="181" spans="7:24" x14ac:dyDescent="0.3">
      <c r="G181" s="22"/>
      <c r="R181" s="22"/>
      <c r="S181" s="17"/>
      <c r="W181" s="13"/>
      <c r="X181" s="13"/>
    </row>
    <row r="182" spans="7:24" x14ac:dyDescent="0.3">
      <c r="G182" s="22"/>
      <c r="R182" s="22"/>
      <c r="S182" s="17"/>
      <c r="W182" s="13"/>
      <c r="X182" s="13"/>
    </row>
    <row r="183" spans="7:24" x14ac:dyDescent="0.3">
      <c r="G183" s="22"/>
      <c r="R183" s="22"/>
      <c r="S183" s="17"/>
      <c r="W183" s="13"/>
      <c r="X183" s="13"/>
    </row>
    <row r="184" spans="7:24" x14ac:dyDescent="0.3">
      <c r="G184" s="22"/>
      <c r="R184" s="22"/>
      <c r="S184" s="17"/>
      <c r="W184" s="13"/>
      <c r="X184" s="13"/>
    </row>
    <row r="185" spans="7:24" x14ac:dyDescent="0.3">
      <c r="G185" s="22"/>
      <c r="R185" s="22"/>
      <c r="S185" s="17"/>
      <c r="W185" s="13"/>
      <c r="X185" s="13"/>
    </row>
    <row r="186" spans="7:24" x14ac:dyDescent="0.3">
      <c r="G186" s="22"/>
      <c r="R186" s="22"/>
      <c r="S186" s="17"/>
      <c r="W186" s="13"/>
      <c r="X186" s="13"/>
    </row>
    <row r="187" spans="7:24" x14ac:dyDescent="0.3">
      <c r="G187" s="22"/>
      <c r="R187" s="22"/>
      <c r="S187" s="17"/>
      <c r="W187" s="13"/>
      <c r="X187" s="13"/>
    </row>
    <row r="188" spans="7:24" x14ac:dyDescent="0.3">
      <c r="G188" s="22"/>
      <c r="R188" s="22"/>
      <c r="S188" s="17"/>
      <c r="W188" s="13"/>
      <c r="X188" s="13"/>
    </row>
    <row r="189" spans="7:24" x14ac:dyDescent="0.3">
      <c r="G189" s="22"/>
      <c r="R189" s="22"/>
      <c r="S189" s="17"/>
      <c r="W189" s="13"/>
      <c r="X189" s="13"/>
    </row>
    <row r="190" spans="7:24" x14ac:dyDescent="0.3">
      <c r="G190" s="22"/>
      <c r="R190" s="22"/>
      <c r="S190" s="17"/>
      <c r="W190" s="13"/>
      <c r="X190" s="13"/>
    </row>
    <row r="191" spans="7:24" x14ac:dyDescent="0.3">
      <c r="G191" s="22"/>
      <c r="R191" s="22"/>
      <c r="S191" s="17"/>
      <c r="W191" s="13"/>
      <c r="X191" s="13"/>
    </row>
    <row r="192" spans="7:24" x14ac:dyDescent="0.3">
      <c r="G192" s="22"/>
      <c r="R192" s="22"/>
      <c r="S192" s="17"/>
      <c r="W192" s="13"/>
      <c r="X192" s="13"/>
    </row>
    <row r="193" spans="7:24" x14ac:dyDescent="0.3">
      <c r="G193" s="22"/>
      <c r="R193" s="22"/>
      <c r="S193" s="17"/>
      <c r="W193" s="13"/>
      <c r="X193" s="13"/>
    </row>
    <row r="194" spans="7:24" x14ac:dyDescent="0.3">
      <c r="G194" s="22"/>
      <c r="R194" s="22"/>
      <c r="S194" s="17"/>
      <c r="W194" s="13"/>
      <c r="X194" s="13"/>
    </row>
    <row r="195" spans="7:24" x14ac:dyDescent="0.3">
      <c r="G195" s="22"/>
      <c r="R195" s="22"/>
      <c r="S195" s="17"/>
      <c r="W195" s="13"/>
      <c r="X195" s="13"/>
    </row>
    <row r="196" spans="7:24" x14ac:dyDescent="0.3">
      <c r="G196" s="22"/>
      <c r="R196" s="22"/>
      <c r="S196" s="17"/>
      <c r="W196" s="13"/>
      <c r="X196" s="13"/>
    </row>
    <row r="197" spans="7:24" x14ac:dyDescent="0.3">
      <c r="G197" s="22"/>
      <c r="R197" s="22"/>
      <c r="S197" s="17"/>
      <c r="W197" s="13"/>
      <c r="X197" s="13"/>
    </row>
    <row r="198" spans="7:24" x14ac:dyDescent="0.3">
      <c r="G198" s="22"/>
      <c r="R198" s="22"/>
      <c r="S198" s="17"/>
      <c r="W198" s="13"/>
      <c r="X198" s="13"/>
    </row>
    <row r="199" spans="7:24" x14ac:dyDescent="0.3">
      <c r="G199" s="22"/>
      <c r="R199" s="22"/>
      <c r="S199" s="17"/>
      <c r="W199" s="13"/>
      <c r="X199" s="13"/>
    </row>
    <row r="200" spans="7:24" x14ac:dyDescent="0.3">
      <c r="G200" s="22"/>
      <c r="R200" s="22"/>
      <c r="S200" s="17"/>
      <c r="W200" s="13"/>
      <c r="X200" s="13"/>
    </row>
    <row r="201" spans="7:24" x14ac:dyDescent="0.3">
      <c r="G201" s="22"/>
      <c r="R201" s="22"/>
      <c r="S201" s="17"/>
      <c r="W201" s="13"/>
      <c r="X201" s="13"/>
    </row>
    <row r="202" spans="7:24" x14ac:dyDescent="0.3">
      <c r="G202" s="22"/>
      <c r="R202" s="22"/>
      <c r="S202" s="17"/>
      <c r="W202" s="13"/>
      <c r="X202" s="13"/>
    </row>
    <row r="203" spans="7:24" x14ac:dyDescent="0.3">
      <c r="G203" s="22"/>
      <c r="R203" s="22"/>
      <c r="S203" s="17"/>
      <c r="W203" s="13"/>
      <c r="X203" s="13"/>
    </row>
    <row r="204" spans="7:24" x14ac:dyDescent="0.3">
      <c r="G204" s="22"/>
      <c r="R204" s="22"/>
      <c r="S204" s="17"/>
      <c r="W204" s="13"/>
      <c r="X204" s="13"/>
    </row>
    <row r="205" spans="7:24" x14ac:dyDescent="0.3">
      <c r="G205" s="22"/>
      <c r="R205" s="22"/>
      <c r="S205" s="17"/>
      <c r="W205" s="13"/>
      <c r="X205" s="13"/>
    </row>
    <row r="206" spans="7:24" x14ac:dyDescent="0.3">
      <c r="G206" s="22"/>
      <c r="R206" s="22"/>
      <c r="S206" s="17"/>
      <c r="W206" s="13"/>
      <c r="X206" s="13"/>
    </row>
    <row r="207" spans="7:24" x14ac:dyDescent="0.3">
      <c r="G207" s="22"/>
      <c r="R207" s="22"/>
      <c r="S207" s="17"/>
      <c r="W207" s="13"/>
      <c r="X207" s="13"/>
    </row>
    <row r="208" spans="7:24" x14ac:dyDescent="0.3">
      <c r="G208" s="22"/>
      <c r="R208" s="22"/>
      <c r="S208" s="17"/>
      <c r="W208" s="13"/>
      <c r="X208" s="13"/>
    </row>
    <row r="209" spans="7:24" x14ac:dyDescent="0.3">
      <c r="G209" s="22"/>
      <c r="R209" s="22"/>
      <c r="S209" s="17"/>
      <c r="W209" s="13"/>
      <c r="X209" s="13"/>
    </row>
    <row r="210" spans="7:24" x14ac:dyDescent="0.3">
      <c r="G210" s="22"/>
      <c r="R210" s="22"/>
      <c r="S210" s="17"/>
      <c r="W210" s="13"/>
      <c r="X210" s="13"/>
    </row>
    <row r="211" spans="7:24" x14ac:dyDescent="0.3">
      <c r="G211" s="22"/>
      <c r="R211" s="22"/>
      <c r="S211" s="17"/>
      <c r="W211" s="13"/>
      <c r="X211" s="13"/>
    </row>
    <row r="212" spans="7:24" x14ac:dyDescent="0.3">
      <c r="G212" s="22"/>
      <c r="R212" s="22"/>
      <c r="S212" s="17"/>
      <c r="W212" s="13"/>
      <c r="X212" s="13"/>
    </row>
    <row r="213" spans="7:24" x14ac:dyDescent="0.3">
      <c r="G213" s="22"/>
      <c r="R213" s="22"/>
      <c r="S213" s="17"/>
      <c r="W213" s="13"/>
      <c r="X213" s="13"/>
    </row>
    <row r="214" spans="7:24" x14ac:dyDescent="0.3">
      <c r="G214" s="22"/>
      <c r="R214" s="22"/>
      <c r="S214" s="17"/>
      <c r="W214" s="13"/>
      <c r="X214" s="13"/>
    </row>
    <row r="215" spans="7:24" x14ac:dyDescent="0.3">
      <c r="G215" s="22"/>
      <c r="R215" s="22"/>
      <c r="S215" s="17"/>
      <c r="W215" s="13"/>
      <c r="X215" s="13"/>
    </row>
    <row r="216" spans="7:24" x14ac:dyDescent="0.3">
      <c r="G216" s="22"/>
      <c r="R216" s="22"/>
      <c r="S216" s="17"/>
      <c r="W216" s="13"/>
      <c r="X216" s="13"/>
    </row>
    <row r="217" spans="7:24" x14ac:dyDescent="0.3">
      <c r="G217" s="22"/>
      <c r="R217" s="22"/>
      <c r="S217" s="17"/>
      <c r="W217" s="13"/>
      <c r="X217" s="13"/>
    </row>
    <row r="218" spans="7:24" x14ac:dyDescent="0.3">
      <c r="G218" s="22"/>
      <c r="R218" s="22"/>
      <c r="S218" s="17"/>
      <c r="W218" s="13"/>
      <c r="X218" s="13"/>
    </row>
    <row r="219" spans="7:24" x14ac:dyDescent="0.3">
      <c r="G219" s="22"/>
      <c r="R219" s="22"/>
      <c r="S219" s="17"/>
      <c r="W219" s="13"/>
      <c r="X219" s="13"/>
    </row>
    <row r="220" spans="7:24" x14ac:dyDescent="0.3">
      <c r="G220" s="22"/>
      <c r="R220" s="22"/>
      <c r="S220" s="17"/>
      <c r="W220" s="13"/>
      <c r="X220" s="13"/>
    </row>
    <row r="221" spans="7:24" x14ac:dyDescent="0.3">
      <c r="G221" s="22"/>
      <c r="R221" s="22"/>
      <c r="S221" s="17"/>
      <c r="W221" s="13"/>
      <c r="X221" s="13"/>
    </row>
    <row r="222" spans="7:24" x14ac:dyDescent="0.3">
      <c r="G222" s="22"/>
      <c r="R222" s="22"/>
      <c r="S222" s="17"/>
      <c r="W222" s="13"/>
      <c r="X222" s="13"/>
    </row>
    <row r="223" spans="7:24" x14ac:dyDescent="0.3">
      <c r="R223" s="22"/>
      <c r="S223" s="17"/>
      <c r="W223" s="13"/>
      <c r="X223" s="13"/>
    </row>
    <row r="224" spans="7:24" x14ac:dyDescent="0.3">
      <c r="R224" s="22"/>
      <c r="S224" s="17"/>
      <c r="W224" s="13"/>
      <c r="X224" s="13"/>
    </row>
    <row r="225" spans="18:24" x14ac:dyDescent="0.3">
      <c r="R225" s="22"/>
      <c r="S225" s="17"/>
      <c r="W225" s="13"/>
      <c r="X225" s="13"/>
    </row>
    <row r="226" spans="18:24" x14ac:dyDescent="0.3">
      <c r="R226" s="22"/>
      <c r="S226" s="17"/>
      <c r="W226" s="13"/>
      <c r="X226" s="13"/>
    </row>
    <row r="227" spans="18:24" x14ac:dyDescent="0.3">
      <c r="R227" s="22"/>
      <c r="S227" s="17"/>
      <c r="W227" s="13"/>
      <c r="X227" s="13"/>
    </row>
    <row r="228" spans="18:24" x14ac:dyDescent="0.3">
      <c r="R228" s="22"/>
      <c r="S228" s="17"/>
      <c r="W228" s="13"/>
      <c r="X228" s="13"/>
    </row>
    <row r="229" spans="18:24" x14ac:dyDescent="0.3">
      <c r="R229" s="22"/>
      <c r="S229" s="17"/>
      <c r="W229" s="13"/>
      <c r="X229" s="13"/>
    </row>
    <row r="230" spans="18:24" x14ac:dyDescent="0.3">
      <c r="R230" s="22"/>
      <c r="S230" s="17"/>
      <c r="W230" s="13"/>
      <c r="X230" s="13"/>
    </row>
    <row r="231" spans="18:24" x14ac:dyDescent="0.3">
      <c r="R231" s="22"/>
      <c r="S231" s="17"/>
      <c r="W231" s="13"/>
      <c r="X231" s="13"/>
    </row>
    <row r="232" spans="18:24" x14ac:dyDescent="0.3">
      <c r="R232" s="22"/>
      <c r="S232" s="17"/>
      <c r="W232" s="13"/>
      <c r="X232" s="13"/>
    </row>
    <row r="233" spans="18:24" x14ac:dyDescent="0.3">
      <c r="R233" s="22"/>
      <c r="S233" s="17"/>
      <c r="W233" s="13"/>
      <c r="X233" s="13"/>
    </row>
    <row r="234" spans="18:24" x14ac:dyDescent="0.3">
      <c r="R234" s="22"/>
      <c r="S234" s="17"/>
      <c r="W234" s="13"/>
      <c r="X234" s="13"/>
    </row>
    <row r="235" spans="18:24" x14ac:dyDescent="0.3">
      <c r="R235" s="22"/>
      <c r="S235" s="17"/>
      <c r="W235" s="13"/>
      <c r="X235" s="13"/>
    </row>
    <row r="236" spans="18:24" x14ac:dyDescent="0.3">
      <c r="R236" s="22"/>
      <c r="S236" s="17"/>
      <c r="W236" s="13"/>
      <c r="X236" s="13"/>
    </row>
    <row r="237" spans="18:24" x14ac:dyDescent="0.3">
      <c r="R237" s="22"/>
      <c r="S237" s="17"/>
      <c r="W237" s="13"/>
      <c r="X237" s="13"/>
    </row>
    <row r="238" spans="18:24" x14ac:dyDescent="0.3">
      <c r="R238" s="22"/>
      <c r="S238" s="17"/>
      <c r="W238" s="13"/>
      <c r="X238" s="13"/>
    </row>
    <row r="239" spans="18:24" x14ac:dyDescent="0.3">
      <c r="R239" s="22"/>
      <c r="S239" s="17"/>
      <c r="W239" s="13"/>
      <c r="X239" s="13"/>
    </row>
    <row r="240" spans="18:24" x14ac:dyDescent="0.3">
      <c r="R240" s="22"/>
      <c r="S240" s="17"/>
      <c r="W240" s="13"/>
      <c r="X240" s="13"/>
    </row>
    <row r="241" spans="18:24" x14ac:dyDescent="0.3">
      <c r="R241" s="22"/>
      <c r="S241" s="17"/>
      <c r="W241" s="13"/>
      <c r="X241" s="13"/>
    </row>
    <row r="242" spans="18:24" x14ac:dyDescent="0.3">
      <c r="R242" s="22"/>
      <c r="S242" s="17"/>
      <c r="W242" s="13"/>
      <c r="X242" s="13"/>
    </row>
    <row r="243" spans="18:24" x14ac:dyDescent="0.3">
      <c r="R243" s="22"/>
      <c r="S243" s="17"/>
      <c r="W243" s="13"/>
      <c r="X243" s="13"/>
    </row>
    <row r="244" spans="18:24" x14ac:dyDescent="0.3">
      <c r="R244" s="22"/>
      <c r="S244" s="17"/>
      <c r="W244" s="13"/>
      <c r="X244" s="13"/>
    </row>
    <row r="245" spans="18:24" x14ac:dyDescent="0.3">
      <c r="R245" s="22"/>
      <c r="S245" s="17"/>
      <c r="W245" s="13"/>
      <c r="X245" s="13"/>
    </row>
    <row r="246" spans="18:24" x14ac:dyDescent="0.3">
      <c r="R246" s="22"/>
      <c r="S246" s="17"/>
      <c r="W246" s="13"/>
      <c r="X246" s="13"/>
    </row>
    <row r="247" spans="18:24" x14ac:dyDescent="0.3">
      <c r="R247" s="22"/>
      <c r="S247" s="17"/>
      <c r="W247" s="13"/>
      <c r="X247" s="13"/>
    </row>
    <row r="248" spans="18:24" x14ac:dyDescent="0.3">
      <c r="R248" s="22"/>
      <c r="S248" s="17"/>
      <c r="W248" s="13"/>
      <c r="X248" s="13"/>
    </row>
    <row r="249" spans="18:24" x14ac:dyDescent="0.3">
      <c r="R249" s="22"/>
      <c r="S249" s="17"/>
      <c r="W249" s="13"/>
      <c r="X249" s="13"/>
    </row>
    <row r="250" spans="18:24" x14ac:dyDescent="0.3">
      <c r="R250" s="22"/>
      <c r="S250" s="17"/>
      <c r="W250" s="13"/>
      <c r="X250" s="13"/>
    </row>
    <row r="251" spans="18:24" x14ac:dyDescent="0.3">
      <c r="R251" s="22"/>
      <c r="S251" s="17"/>
      <c r="W251" s="13"/>
      <c r="X251" s="13"/>
    </row>
    <row r="252" spans="18:24" x14ac:dyDescent="0.3">
      <c r="R252" s="22"/>
      <c r="S252" s="17"/>
      <c r="W252" s="13"/>
      <c r="X252" s="13"/>
    </row>
    <row r="253" spans="18:24" x14ac:dyDescent="0.3">
      <c r="R253" s="22"/>
      <c r="S253" s="17"/>
      <c r="W253" s="13"/>
      <c r="X253" s="13"/>
    </row>
    <row r="254" spans="18:24" x14ac:dyDescent="0.3">
      <c r="R254" s="22"/>
      <c r="S254" s="17"/>
      <c r="W254" s="13"/>
      <c r="X254" s="13"/>
    </row>
    <row r="255" spans="18:24" x14ac:dyDescent="0.3">
      <c r="R255" s="22"/>
      <c r="S255" s="17"/>
      <c r="W255" s="13"/>
      <c r="X255" s="13"/>
    </row>
    <row r="256" spans="18:24" x14ac:dyDescent="0.3">
      <c r="R256" s="22"/>
      <c r="S256" s="17"/>
      <c r="W256" s="13"/>
      <c r="X256" s="13"/>
    </row>
    <row r="257" spans="18:24" x14ac:dyDescent="0.3">
      <c r="R257" s="22"/>
      <c r="S257" s="17"/>
      <c r="W257" s="13"/>
      <c r="X257" s="13"/>
    </row>
    <row r="258" spans="18:24" x14ac:dyDescent="0.3">
      <c r="R258" s="22"/>
      <c r="S258" s="17"/>
      <c r="W258" s="13"/>
      <c r="X258" s="13"/>
    </row>
    <row r="259" spans="18:24" x14ac:dyDescent="0.3">
      <c r="R259" s="22"/>
      <c r="S259" s="17"/>
      <c r="W259" s="13"/>
      <c r="X259" s="13"/>
    </row>
    <row r="260" spans="18:24" x14ac:dyDescent="0.3">
      <c r="R260" s="22"/>
      <c r="S260" s="17"/>
      <c r="W260" s="13"/>
      <c r="X260" s="13"/>
    </row>
    <row r="261" spans="18:24" x14ac:dyDescent="0.3">
      <c r="R261" s="22"/>
      <c r="S261" s="17"/>
      <c r="W261" s="13"/>
      <c r="X261" s="13"/>
    </row>
    <row r="262" spans="18:24" x14ac:dyDescent="0.3">
      <c r="R262" s="22"/>
      <c r="S262" s="17"/>
      <c r="W262" s="13"/>
      <c r="X262" s="13"/>
    </row>
    <row r="263" spans="18:24" x14ac:dyDescent="0.3">
      <c r="R263" s="22"/>
      <c r="S263" s="17"/>
      <c r="W263" s="13"/>
      <c r="X263" s="13"/>
    </row>
    <row r="264" spans="18:24" x14ac:dyDescent="0.3">
      <c r="R264" s="22"/>
      <c r="S264" s="17"/>
      <c r="W264" s="13"/>
      <c r="X264" s="13"/>
    </row>
    <row r="265" spans="18:24" x14ac:dyDescent="0.3">
      <c r="R265" s="22"/>
      <c r="S265" s="17"/>
      <c r="W265" s="13"/>
      <c r="X265" s="13"/>
    </row>
    <row r="266" spans="18:24" x14ac:dyDescent="0.3">
      <c r="R266" s="22"/>
      <c r="S266" s="17"/>
      <c r="W266" s="13"/>
      <c r="X266" s="13"/>
    </row>
    <row r="267" spans="18:24" x14ac:dyDescent="0.3">
      <c r="R267" s="22"/>
      <c r="S267" s="17"/>
      <c r="W267" s="13"/>
      <c r="X267" s="13"/>
    </row>
    <row r="268" spans="18:24" x14ac:dyDescent="0.3">
      <c r="R268" s="22"/>
      <c r="S268" s="17"/>
      <c r="W268" s="13"/>
      <c r="X268" s="13"/>
    </row>
    <row r="269" spans="18:24" x14ac:dyDescent="0.3">
      <c r="R269" s="22"/>
      <c r="S269" s="17"/>
      <c r="W269" s="13"/>
      <c r="X269" s="13"/>
    </row>
    <row r="270" spans="18:24" x14ac:dyDescent="0.3">
      <c r="R270" s="22"/>
      <c r="S270" s="17"/>
      <c r="W270" s="13"/>
      <c r="X270" s="13"/>
    </row>
    <row r="271" spans="18:24" x14ac:dyDescent="0.3">
      <c r="R271" s="22"/>
      <c r="S271" s="17"/>
      <c r="W271" s="13"/>
      <c r="X271" s="13"/>
    </row>
    <row r="272" spans="18:24" x14ac:dyDescent="0.3">
      <c r="R272" s="22"/>
      <c r="S272" s="17"/>
      <c r="W272" s="13"/>
      <c r="X272" s="13"/>
    </row>
    <row r="273" spans="18:24" x14ac:dyDescent="0.3">
      <c r="R273" s="22"/>
      <c r="S273" s="17"/>
      <c r="W273" s="13"/>
      <c r="X273" s="13"/>
    </row>
    <row r="274" spans="18:24" x14ac:dyDescent="0.3">
      <c r="R274" s="22"/>
      <c r="S274" s="17"/>
      <c r="W274" s="13"/>
      <c r="X274" s="13"/>
    </row>
    <row r="275" spans="18:24" x14ac:dyDescent="0.3">
      <c r="R275" s="22"/>
      <c r="S275" s="17"/>
      <c r="W275" s="13"/>
      <c r="X275" s="13"/>
    </row>
    <row r="276" spans="18:24" x14ac:dyDescent="0.3">
      <c r="R276" s="22"/>
      <c r="S276" s="17"/>
      <c r="W276" s="13"/>
      <c r="X276" s="13"/>
    </row>
    <row r="277" spans="18:24" x14ac:dyDescent="0.3">
      <c r="R277" s="22"/>
      <c r="S277" s="17"/>
      <c r="W277" s="13"/>
      <c r="X277" s="13"/>
    </row>
    <row r="278" spans="18:24" x14ac:dyDescent="0.3">
      <c r="R278" s="22"/>
      <c r="S278" s="17"/>
      <c r="W278" s="13"/>
      <c r="X278" s="13"/>
    </row>
    <row r="279" spans="18:24" x14ac:dyDescent="0.3">
      <c r="R279" s="22"/>
      <c r="S279" s="17"/>
      <c r="W279" s="13"/>
      <c r="X279" s="13"/>
    </row>
    <row r="280" spans="18:24" x14ac:dyDescent="0.3">
      <c r="R280" s="22"/>
      <c r="S280" s="17"/>
      <c r="W280" s="13"/>
      <c r="X280" s="13"/>
    </row>
    <row r="281" spans="18:24" x14ac:dyDescent="0.3">
      <c r="R281" s="22"/>
      <c r="S281" s="17"/>
      <c r="W281" s="13"/>
      <c r="X281" s="13"/>
    </row>
    <row r="282" spans="18:24" x14ac:dyDescent="0.3">
      <c r="R282" s="22"/>
      <c r="S282" s="17"/>
      <c r="W282" s="13"/>
      <c r="X282" s="13"/>
    </row>
    <row r="283" spans="18:24" x14ac:dyDescent="0.3">
      <c r="R283" s="22"/>
      <c r="S283" s="17"/>
      <c r="W283" s="13"/>
      <c r="X283" s="13"/>
    </row>
    <row r="284" spans="18:24" x14ac:dyDescent="0.3">
      <c r="R284" s="22"/>
      <c r="S284" s="17"/>
      <c r="W284" s="13"/>
      <c r="X284" s="13"/>
    </row>
    <row r="285" spans="18:24" x14ac:dyDescent="0.3">
      <c r="R285" s="22"/>
      <c r="S285" s="17"/>
      <c r="W285" s="13"/>
      <c r="X285" s="13"/>
    </row>
    <row r="286" spans="18:24" x14ac:dyDescent="0.3">
      <c r="R286" s="22"/>
      <c r="S286" s="17"/>
      <c r="W286" s="13"/>
      <c r="X286" s="13"/>
    </row>
    <row r="287" spans="18:24" x14ac:dyDescent="0.3">
      <c r="R287" s="22"/>
      <c r="S287" s="17"/>
      <c r="W287" s="13"/>
      <c r="X287" s="13"/>
    </row>
    <row r="288" spans="18:24" x14ac:dyDescent="0.3">
      <c r="R288" s="22"/>
      <c r="S288" s="17"/>
      <c r="W288" s="13"/>
      <c r="X288" s="13"/>
    </row>
    <row r="289" spans="18:24" x14ac:dyDescent="0.3">
      <c r="R289" s="22"/>
      <c r="S289" s="17"/>
      <c r="W289" s="13"/>
      <c r="X289" s="13"/>
    </row>
    <row r="290" spans="18:24" x14ac:dyDescent="0.3">
      <c r="R290" s="22"/>
      <c r="S290" s="17"/>
      <c r="W290" s="13"/>
      <c r="X290" s="13"/>
    </row>
    <row r="291" spans="18:24" x14ac:dyDescent="0.3">
      <c r="R291" s="22"/>
      <c r="S291" s="17"/>
      <c r="W291" s="13"/>
      <c r="X291" s="13"/>
    </row>
    <row r="292" spans="18:24" x14ac:dyDescent="0.3">
      <c r="R292" s="22"/>
      <c r="S292" s="17"/>
      <c r="W292" s="13"/>
      <c r="X292" s="13"/>
    </row>
    <row r="293" spans="18:24" x14ac:dyDescent="0.3">
      <c r="R293" s="22"/>
      <c r="S293" s="17"/>
      <c r="W293" s="13"/>
      <c r="X293" s="13"/>
    </row>
    <row r="294" spans="18:24" x14ac:dyDescent="0.3">
      <c r="R294" s="22"/>
      <c r="S294" s="17"/>
      <c r="W294" s="13"/>
      <c r="X294" s="13"/>
    </row>
    <row r="295" spans="18:24" x14ac:dyDescent="0.3">
      <c r="R295" s="22"/>
      <c r="S295" s="17"/>
      <c r="W295" s="13"/>
      <c r="X295" s="13"/>
    </row>
    <row r="296" spans="18:24" x14ac:dyDescent="0.3">
      <c r="R296" s="22"/>
      <c r="S296" s="17"/>
      <c r="W296" s="13"/>
      <c r="X296" s="13"/>
    </row>
    <row r="297" spans="18:24" x14ac:dyDescent="0.3">
      <c r="R297" s="22"/>
      <c r="S297" s="17"/>
      <c r="W297" s="13"/>
      <c r="X297" s="13"/>
    </row>
    <row r="298" spans="18:24" x14ac:dyDescent="0.3">
      <c r="R298" s="22"/>
      <c r="S298" s="17"/>
      <c r="W298" s="13"/>
      <c r="X298" s="13"/>
    </row>
    <row r="299" spans="18:24" x14ac:dyDescent="0.3">
      <c r="R299" s="22"/>
      <c r="S299" s="17"/>
      <c r="W299" s="13"/>
      <c r="X299" s="13"/>
    </row>
    <row r="300" spans="18:24" x14ac:dyDescent="0.3">
      <c r="R300" s="22"/>
      <c r="S300" s="17"/>
      <c r="W300" s="13"/>
      <c r="X300" s="13"/>
    </row>
    <row r="301" spans="18:24" x14ac:dyDescent="0.3">
      <c r="R301" s="22"/>
      <c r="S301" s="17"/>
      <c r="W301" s="13"/>
      <c r="X301" s="13"/>
    </row>
    <row r="302" spans="18:24" x14ac:dyDescent="0.3">
      <c r="R302" s="22"/>
      <c r="S302" s="17"/>
      <c r="W302" s="13"/>
      <c r="X302" s="13"/>
    </row>
    <row r="303" spans="18:24" x14ac:dyDescent="0.3">
      <c r="R303" s="22"/>
      <c r="S303" s="17"/>
      <c r="W303" s="13"/>
      <c r="X303" s="13"/>
    </row>
    <row r="304" spans="18:24" x14ac:dyDescent="0.3">
      <c r="R304" s="22"/>
      <c r="S304" s="17"/>
      <c r="W304" s="13"/>
      <c r="X304" s="13"/>
    </row>
    <row r="305" spans="18:24" x14ac:dyDescent="0.3">
      <c r="R305" s="22"/>
      <c r="S305" s="17"/>
      <c r="W305" s="13"/>
      <c r="X305" s="13"/>
    </row>
    <row r="306" spans="18:24" x14ac:dyDescent="0.3">
      <c r="R306" s="22"/>
      <c r="S306" s="17"/>
      <c r="W306" s="13"/>
      <c r="X306" s="13"/>
    </row>
    <row r="307" spans="18:24" x14ac:dyDescent="0.3">
      <c r="R307" s="22"/>
      <c r="S307" s="17"/>
      <c r="W307" s="13"/>
      <c r="X307" s="13"/>
    </row>
    <row r="308" spans="18:24" x14ac:dyDescent="0.3">
      <c r="R308" s="22"/>
      <c r="S308" s="17"/>
      <c r="W308" s="13"/>
      <c r="X308" s="13"/>
    </row>
    <row r="309" spans="18:24" x14ac:dyDescent="0.3">
      <c r="R309" s="22"/>
      <c r="S309" s="17"/>
      <c r="W309" s="13"/>
      <c r="X309" s="13"/>
    </row>
    <row r="310" spans="18:24" x14ac:dyDescent="0.3">
      <c r="R310" s="22"/>
      <c r="S310" s="17"/>
      <c r="W310" s="13"/>
      <c r="X310" s="13"/>
    </row>
    <row r="311" spans="18:24" x14ac:dyDescent="0.3">
      <c r="R311" s="22"/>
      <c r="S311" s="17"/>
      <c r="W311" s="13"/>
      <c r="X311" s="13"/>
    </row>
    <row r="312" spans="18:24" x14ac:dyDescent="0.3">
      <c r="R312" s="22"/>
      <c r="S312" s="17"/>
      <c r="W312" s="13"/>
      <c r="X312" s="13"/>
    </row>
    <row r="313" spans="18:24" x14ac:dyDescent="0.3">
      <c r="R313" s="22"/>
      <c r="S313" s="17"/>
      <c r="W313" s="13"/>
      <c r="X313" s="13"/>
    </row>
    <row r="314" spans="18:24" x14ac:dyDescent="0.3">
      <c r="R314" s="22"/>
      <c r="S314" s="17"/>
      <c r="W314" s="13"/>
      <c r="X314" s="13"/>
    </row>
    <row r="315" spans="18:24" x14ac:dyDescent="0.3">
      <c r="R315" s="22"/>
      <c r="S315" s="17"/>
      <c r="W315" s="13"/>
      <c r="X315" s="13"/>
    </row>
    <row r="316" spans="18:24" x14ac:dyDescent="0.3">
      <c r="R316" s="22"/>
      <c r="S316" s="17"/>
      <c r="W316" s="13"/>
      <c r="X316" s="13"/>
    </row>
    <row r="317" spans="18:24" x14ac:dyDescent="0.3">
      <c r="R317" s="22"/>
      <c r="S317" s="17"/>
      <c r="W317" s="13"/>
      <c r="X317" s="13"/>
    </row>
    <row r="318" spans="18:24" x14ac:dyDescent="0.3">
      <c r="R318" s="22"/>
      <c r="S318" s="17"/>
      <c r="W318" s="13"/>
      <c r="X318" s="13"/>
    </row>
    <row r="319" spans="18:24" x14ac:dyDescent="0.3">
      <c r="R319" s="22"/>
      <c r="S319" s="17"/>
      <c r="W319" s="13"/>
      <c r="X319" s="13"/>
    </row>
    <row r="320" spans="18:24" x14ac:dyDescent="0.3">
      <c r="R320" s="22"/>
      <c r="S320" s="17"/>
      <c r="W320" s="13"/>
      <c r="X320" s="13"/>
    </row>
    <row r="321" spans="18:24" x14ac:dyDescent="0.3">
      <c r="R321" s="22"/>
      <c r="S321" s="17"/>
      <c r="W321" s="13"/>
      <c r="X321" s="13"/>
    </row>
    <row r="322" spans="18:24" x14ac:dyDescent="0.3">
      <c r="R322" s="22"/>
      <c r="S322" s="17"/>
      <c r="W322" s="13"/>
      <c r="X322" s="13"/>
    </row>
    <row r="323" spans="18:24" x14ac:dyDescent="0.3">
      <c r="R323" s="22"/>
      <c r="S323" s="17"/>
      <c r="W323" s="13"/>
      <c r="X323" s="13"/>
    </row>
    <row r="324" spans="18:24" x14ac:dyDescent="0.3">
      <c r="R324" s="22"/>
      <c r="S324" s="17"/>
      <c r="W324" s="13"/>
      <c r="X324" s="13"/>
    </row>
    <row r="325" spans="18:24" x14ac:dyDescent="0.3">
      <c r="R325" s="22"/>
      <c r="S325" s="17"/>
      <c r="W325" s="13"/>
      <c r="X325" s="13"/>
    </row>
    <row r="326" spans="18:24" x14ac:dyDescent="0.3">
      <c r="R326" s="22"/>
      <c r="S326" s="17"/>
      <c r="W326" s="13"/>
      <c r="X326" s="13"/>
    </row>
    <row r="327" spans="18:24" x14ac:dyDescent="0.3">
      <c r="R327" s="22"/>
      <c r="S327" s="17"/>
      <c r="W327" s="13"/>
      <c r="X327" s="13"/>
    </row>
    <row r="328" spans="18:24" x14ac:dyDescent="0.3">
      <c r="R328" s="22"/>
      <c r="S328" s="17"/>
      <c r="W328" s="13"/>
      <c r="X328" s="13"/>
    </row>
    <row r="329" spans="18:24" x14ac:dyDescent="0.3">
      <c r="R329" s="22"/>
      <c r="S329" s="17"/>
      <c r="W329" s="13"/>
      <c r="X329" s="13"/>
    </row>
    <row r="330" spans="18:24" x14ac:dyDescent="0.3">
      <c r="R330" s="22"/>
      <c r="S330" s="17"/>
      <c r="W330" s="13"/>
      <c r="X330" s="13"/>
    </row>
    <row r="331" spans="18:24" x14ac:dyDescent="0.3">
      <c r="R331" s="22"/>
      <c r="S331" s="17"/>
      <c r="W331" s="13"/>
      <c r="X331" s="13"/>
    </row>
    <row r="332" spans="18:24" x14ac:dyDescent="0.3">
      <c r="R332" s="22"/>
      <c r="S332" s="17"/>
      <c r="W332" s="13"/>
      <c r="X332" s="13"/>
    </row>
    <row r="333" spans="18:24" x14ac:dyDescent="0.3">
      <c r="R333" s="22"/>
      <c r="S333" s="17"/>
      <c r="W333" s="13"/>
      <c r="X333" s="13"/>
    </row>
    <row r="334" spans="18:24" x14ac:dyDescent="0.3">
      <c r="R334" s="22"/>
      <c r="S334" s="17"/>
      <c r="W334" s="13"/>
      <c r="X334" s="13"/>
    </row>
    <row r="335" spans="18:24" x14ac:dyDescent="0.3">
      <c r="R335" s="22"/>
      <c r="S335" s="17"/>
      <c r="W335" s="13"/>
      <c r="X335" s="13"/>
    </row>
    <row r="336" spans="18:24" x14ac:dyDescent="0.3">
      <c r="R336" s="22"/>
      <c r="S336" s="17"/>
      <c r="W336" s="13"/>
      <c r="X336" s="13"/>
    </row>
    <row r="337" spans="18:24" x14ac:dyDescent="0.3">
      <c r="R337" s="22"/>
      <c r="S337" s="17"/>
      <c r="W337" s="13"/>
      <c r="X337" s="13"/>
    </row>
    <row r="338" spans="18:24" x14ac:dyDescent="0.3">
      <c r="R338" s="22"/>
      <c r="S338" s="17"/>
      <c r="W338" s="13"/>
      <c r="X338" s="13"/>
    </row>
    <row r="339" spans="18:24" x14ac:dyDescent="0.3">
      <c r="R339" s="22"/>
      <c r="S339" s="17"/>
      <c r="W339" s="13"/>
      <c r="X339" s="13"/>
    </row>
    <row r="340" spans="18:24" x14ac:dyDescent="0.3">
      <c r="R340" s="22"/>
      <c r="S340" s="17"/>
      <c r="W340" s="13"/>
      <c r="X340" s="13"/>
    </row>
    <row r="341" spans="18:24" x14ac:dyDescent="0.3">
      <c r="R341" s="22"/>
      <c r="S341" s="17"/>
      <c r="W341" s="13"/>
      <c r="X341" s="13"/>
    </row>
    <row r="342" spans="18:24" x14ac:dyDescent="0.3">
      <c r="R342" s="22"/>
      <c r="S342" s="17"/>
      <c r="W342" s="13"/>
      <c r="X342" s="13"/>
    </row>
    <row r="343" spans="18:24" x14ac:dyDescent="0.3">
      <c r="R343" s="22"/>
      <c r="S343" s="17"/>
      <c r="W343" s="13"/>
      <c r="X343" s="13"/>
    </row>
    <row r="344" spans="18:24" x14ac:dyDescent="0.3">
      <c r="R344" s="22"/>
      <c r="S344" s="17"/>
      <c r="W344" s="13"/>
      <c r="X344" s="13"/>
    </row>
    <row r="345" spans="18:24" x14ac:dyDescent="0.3">
      <c r="R345" s="22"/>
      <c r="S345" s="17"/>
      <c r="W345" s="13"/>
      <c r="X345" s="13"/>
    </row>
    <row r="346" spans="18:24" x14ac:dyDescent="0.3">
      <c r="R346" s="22"/>
      <c r="S346" s="17"/>
      <c r="W346" s="13"/>
      <c r="X346" s="13"/>
    </row>
    <row r="347" spans="18:24" x14ac:dyDescent="0.3">
      <c r="R347" s="22"/>
      <c r="S347" s="17"/>
      <c r="W347" s="13"/>
      <c r="X347" s="13"/>
    </row>
    <row r="348" spans="18:24" x14ac:dyDescent="0.3">
      <c r="R348" s="22"/>
      <c r="S348" s="17"/>
      <c r="W348" s="13"/>
      <c r="X348" s="13"/>
    </row>
    <row r="349" spans="18:24" x14ac:dyDescent="0.3">
      <c r="R349" s="22"/>
      <c r="S349" s="17"/>
      <c r="W349" s="13"/>
      <c r="X349" s="13"/>
    </row>
    <row r="350" spans="18:24" x14ac:dyDescent="0.3">
      <c r="R350" s="22"/>
      <c r="S350" s="17"/>
      <c r="W350" s="13"/>
      <c r="X350" s="13"/>
    </row>
    <row r="351" spans="18:24" x14ac:dyDescent="0.3">
      <c r="R351" s="22"/>
      <c r="S351" s="17"/>
      <c r="W351" s="13"/>
      <c r="X351" s="13"/>
    </row>
    <row r="352" spans="18:24" x14ac:dyDescent="0.3">
      <c r="R352" s="22"/>
      <c r="S352" s="17"/>
      <c r="W352" s="13"/>
      <c r="X352" s="13"/>
    </row>
    <row r="353" spans="18:24" x14ac:dyDescent="0.3">
      <c r="R353" s="22"/>
      <c r="S353" s="17"/>
      <c r="W353" s="13"/>
      <c r="X353" s="13"/>
    </row>
    <row r="354" spans="18:24" x14ac:dyDescent="0.3">
      <c r="R354" s="22"/>
      <c r="S354" s="17"/>
      <c r="W354" s="13"/>
      <c r="X354" s="13"/>
    </row>
    <row r="355" spans="18:24" x14ac:dyDescent="0.3">
      <c r="R355" s="22"/>
      <c r="S355" s="17"/>
      <c r="W355" s="13"/>
      <c r="X355" s="13"/>
    </row>
    <row r="356" spans="18:24" x14ac:dyDescent="0.3">
      <c r="R356" s="22"/>
      <c r="S356" s="17"/>
      <c r="W356" s="13"/>
      <c r="X356" s="13"/>
    </row>
    <row r="357" spans="18:24" x14ac:dyDescent="0.3">
      <c r="R357" s="22"/>
      <c r="S357" s="17"/>
      <c r="W357" s="13"/>
      <c r="X357" s="13"/>
    </row>
    <row r="358" spans="18:24" x14ac:dyDescent="0.3">
      <c r="R358" s="22"/>
      <c r="S358" s="17"/>
      <c r="W358" s="13"/>
      <c r="X358" s="13"/>
    </row>
    <row r="359" spans="18:24" x14ac:dyDescent="0.3">
      <c r="R359" s="22"/>
      <c r="S359" s="17"/>
      <c r="W359" s="13"/>
      <c r="X359" s="13"/>
    </row>
    <row r="360" spans="18:24" x14ac:dyDescent="0.3">
      <c r="R360" s="22"/>
      <c r="S360" s="17"/>
      <c r="W360" s="13"/>
      <c r="X360" s="13"/>
    </row>
    <row r="361" spans="18:24" x14ac:dyDescent="0.3">
      <c r="R361" s="22"/>
      <c r="S361" s="17"/>
      <c r="W361" s="13"/>
      <c r="X361" s="13"/>
    </row>
    <row r="362" spans="18:24" x14ac:dyDescent="0.3">
      <c r="R362" s="22"/>
      <c r="S362" s="17"/>
      <c r="W362" s="13"/>
      <c r="X362" s="13"/>
    </row>
    <row r="363" spans="18:24" x14ac:dyDescent="0.3">
      <c r="R363" s="22"/>
      <c r="S363" s="17"/>
      <c r="W363" s="13"/>
      <c r="X363" s="13"/>
    </row>
    <row r="364" spans="18:24" x14ac:dyDescent="0.3">
      <c r="R364" s="22"/>
      <c r="S364" s="17"/>
      <c r="W364" s="13"/>
      <c r="X364" s="13"/>
    </row>
    <row r="365" spans="18:24" x14ac:dyDescent="0.3">
      <c r="R365" s="22"/>
      <c r="S365" s="17"/>
      <c r="W365" s="13"/>
      <c r="X365" s="13"/>
    </row>
    <row r="366" spans="18:24" x14ac:dyDescent="0.3">
      <c r="R366" s="22"/>
      <c r="S366" s="17"/>
      <c r="W366" s="13"/>
      <c r="X366" s="13"/>
    </row>
    <row r="367" spans="18:24" x14ac:dyDescent="0.3">
      <c r="R367" s="22"/>
      <c r="S367" s="17"/>
      <c r="W367" s="13"/>
      <c r="X367" s="13"/>
    </row>
    <row r="368" spans="18:24" x14ac:dyDescent="0.3">
      <c r="R368" s="22"/>
      <c r="S368" s="17"/>
      <c r="W368" s="13"/>
      <c r="X368" s="13"/>
    </row>
    <row r="369" spans="18:24" x14ac:dyDescent="0.3">
      <c r="R369" s="22"/>
      <c r="S369" s="17"/>
      <c r="W369" s="13"/>
      <c r="X369" s="13"/>
    </row>
    <row r="370" spans="18:24" x14ac:dyDescent="0.3">
      <c r="R370" s="22"/>
      <c r="S370" s="17"/>
      <c r="W370" s="13"/>
      <c r="X370" s="13"/>
    </row>
    <row r="371" spans="18:24" x14ac:dyDescent="0.3">
      <c r="R371" s="22"/>
      <c r="S371" s="17"/>
      <c r="W371" s="13"/>
      <c r="X371" s="13"/>
    </row>
    <row r="372" spans="18:24" x14ac:dyDescent="0.3">
      <c r="R372" s="22"/>
      <c r="S372" s="17"/>
      <c r="W372" s="13"/>
      <c r="X372" s="13"/>
    </row>
    <row r="373" spans="18:24" x14ac:dyDescent="0.3">
      <c r="R373" s="22"/>
      <c r="S373" s="17"/>
      <c r="W373" s="13"/>
      <c r="X373" s="13"/>
    </row>
    <row r="374" spans="18:24" x14ac:dyDescent="0.3">
      <c r="R374" s="22"/>
      <c r="S374" s="17"/>
      <c r="W374" s="13"/>
      <c r="X374" s="13"/>
    </row>
    <row r="375" spans="18:24" x14ac:dyDescent="0.3">
      <c r="R375" s="22"/>
      <c r="S375" s="17"/>
      <c r="W375" s="13"/>
      <c r="X375" s="13"/>
    </row>
    <row r="376" spans="18:24" x14ac:dyDescent="0.3">
      <c r="R376" s="22"/>
      <c r="S376" s="17"/>
      <c r="W376" s="13"/>
      <c r="X376" s="13"/>
    </row>
    <row r="377" spans="18:24" x14ac:dyDescent="0.3">
      <c r="R377" s="22"/>
      <c r="S377" s="17"/>
      <c r="W377" s="13"/>
      <c r="X377" s="13"/>
    </row>
    <row r="378" spans="18:24" x14ac:dyDescent="0.3">
      <c r="R378" s="22"/>
      <c r="S378" s="17"/>
      <c r="W378" s="13"/>
      <c r="X378" s="13"/>
    </row>
    <row r="379" spans="18:24" x14ac:dyDescent="0.3">
      <c r="R379" s="22"/>
      <c r="S379" s="17"/>
      <c r="W379" s="13"/>
      <c r="X379" s="13"/>
    </row>
    <row r="380" spans="18:24" x14ac:dyDescent="0.3">
      <c r="R380" s="22"/>
      <c r="S380" s="17"/>
      <c r="W380" s="13"/>
      <c r="X380" s="13"/>
    </row>
    <row r="381" spans="18:24" x14ac:dyDescent="0.3">
      <c r="R381" s="22"/>
      <c r="S381" s="17"/>
      <c r="W381" s="13"/>
      <c r="X381" s="13"/>
    </row>
    <row r="382" spans="18:24" x14ac:dyDescent="0.3">
      <c r="R382" s="22"/>
      <c r="S382" s="17"/>
      <c r="W382" s="13"/>
      <c r="X382" s="13"/>
    </row>
    <row r="383" spans="18:24" x14ac:dyDescent="0.3">
      <c r="R383" s="22"/>
      <c r="S383" s="17"/>
      <c r="W383" s="13"/>
      <c r="X383" s="13"/>
    </row>
    <row r="384" spans="18:24" x14ac:dyDescent="0.3">
      <c r="R384" s="22"/>
      <c r="S384" s="17"/>
      <c r="W384" s="13"/>
      <c r="X384" s="13"/>
    </row>
    <row r="385" spans="18:24" x14ac:dyDescent="0.3">
      <c r="R385" s="22"/>
      <c r="S385" s="17"/>
      <c r="W385" s="13"/>
      <c r="X385" s="13"/>
    </row>
    <row r="386" spans="18:24" x14ac:dyDescent="0.3">
      <c r="R386" s="22"/>
      <c r="S386" s="17"/>
      <c r="W386" s="13"/>
      <c r="X386" s="13"/>
    </row>
    <row r="387" spans="18:24" x14ac:dyDescent="0.3">
      <c r="R387" s="22"/>
      <c r="S387" s="17"/>
      <c r="W387" s="13"/>
      <c r="X387" s="13"/>
    </row>
    <row r="388" spans="18:24" x14ac:dyDescent="0.3">
      <c r="R388" s="22"/>
      <c r="S388" s="17"/>
      <c r="W388" s="13"/>
      <c r="X388" s="13"/>
    </row>
    <row r="389" spans="18:24" x14ac:dyDescent="0.3">
      <c r="R389" s="22"/>
      <c r="S389" s="17"/>
      <c r="W389" s="13"/>
      <c r="X389" s="13"/>
    </row>
    <row r="390" spans="18:24" x14ac:dyDescent="0.3">
      <c r="W390" s="13"/>
      <c r="X390" s="13"/>
    </row>
    <row r="391" spans="18:24" x14ac:dyDescent="0.3">
      <c r="W391" s="13"/>
      <c r="X39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C115"/>
  <sheetViews>
    <sheetView workbookViewId="0">
      <selection activeCell="D7" sqref="D7"/>
    </sheetView>
  </sheetViews>
  <sheetFormatPr defaultRowHeight="14.4" x14ac:dyDescent="0.3"/>
  <cols>
    <col min="4" max="4" width="16.44140625" customWidth="1"/>
    <col min="23" max="23" width="9.44140625" bestFit="1" customWidth="1"/>
  </cols>
  <sheetData>
    <row r="1" spans="1:29" ht="72" x14ac:dyDescent="0.3">
      <c r="A1" s="1" t="s">
        <v>25</v>
      </c>
      <c r="B1" s="1" t="s">
        <v>24</v>
      </c>
      <c r="C1" s="1" t="s">
        <v>245</v>
      </c>
      <c r="D1" s="1" t="s">
        <v>23</v>
      </c>
      <c r="E1" s="1" t="s">
        <v>22</v>
      </c>
      <c r="F1" s="1" t="s">
        <v>34</v>
      </c>
      <c r="G1" s="11" t="s">
        <v>21</v>
      </c>
      <c r="H1" s="1" t="s">
        <v>20</v>
      </c>
      <c r="I1" s="1" t="s">
        <v>19</v>
      </c>
      <c r="J1" s="1" t="s">
        <v>26</v>
      </c>
      <c r="K1" s="1" t="s">
        <v>18</v>
      </c>
      <c r="L1" s="1" t="s">
        <v>17</v>
      </c>
      <c r="M1" s="1" t="s">
        <v>16</v>
      </c>
      <c r="N1" s="1" t="s">
        <v>15</v>
      </c>
      <c r="O1" s="14" t="s">
        <v>14</v>
      </c>
      <c r="P1" s="1" t="s">
        <v>13</v>
      </c>
      <c r="Q1" s="1" t="s">
        <v>32</v>
      </c>
      <c r="R1" s="11" t="s">
        <v>33</v>
      </c>
      <c r="S1" s="9" t="s">
        <v>12</v>
      </c>
      <c r="T1" s="1" t="s">
        <v>36</v>
      </c>
      <c r="U1" s="1" t="s">
        <v>61</v>
      </c>
      <c r="V1" s="1" t="s">
        <v>11</v>
      </c>
      <c r="W1" s="9" t="s">
        <v>30</v>
      </c>
      <c r="X1" s="9" t="s">
        <v>35</v>
      </c>
      <c r="Y1" s="1" t="s">
        <v>27</v>
      </c>
      <c r="Z1" s="14" t="s">
        <v>10</v>
      </c>
      <c r="AA1" s="1" t="s">
        <v>9</v>
      </c>
      <c r="AB1" s="1" t="s">
        <v>9</v>
      </c>
    </row>
    <row r="2" spans="1:29" x14ac:dyDescent="0.3">
      <c r="A2" s="3">
        <v>1</v>
      </c>
      <c r="B2" s="3" t="s">
        <v>193</v>
      </c>
      <c r="C2" s="52" t="s">
        <v>253</v>
      </c>
      <c r="D2" s="27" t="s">
        <v>197</v>
      </c>
      <c r="E2" s="3"/>
      <c r="F2" s="3"/>
      <c r="G2" s="22"/>
      <c r="H2" s="3"/>
      <c r="I2" s="3"/>
      <c r="J2" s="3"/>
      <c r="K2" s="3"/>
      <c r="L2" s="3"/>
      <c r="M2" s="3"/>
      <c r="N2" s="3"/>
      <c r="O2" s="3"/>
      <c r="P2" s="3"/>
      <c r="Q2" s="15"/>
      <c r="R2" s="26"/>
      <c r="S2" s="46" t="s">
        <v>2</v>
      </c>
      <c r="T2" s="3">
        <v>29.29</v>
      </c>
      <c r="U2" s="15"/>
      <c r="V2" s="3"/>
      <c r="W2" s="13">
        <f>T2*3</f>
        <v>87.87</v>
      </c>
      <c r="X2" s="19"/>
      <c r="Y2" s="8"/>
      <c r="Z2" s="3"/>
      <c r="AA2" s="45" t="s">
        <v>195</v>
      </c>
      <c r="AB2">
        <v>1</v>
      </c>
      <c r="AC2" s="45" t="s">
        <v>194</v>
      </c>
    </row>
    <row r="3" spans="1:29" x14ac:dyDescent="0.3">
      <c r="A3" s="3">
        <v>1</v>
      </c>
      <c r="B3" s="3"/>
      <c r="C3" s="3"/>
      <c r="D3" s="3"/>
      <c r="E3" s="3"/>
      <c r="F3" s="3"/>
      <c r="G3" s="22"/>
      <c r="H3" s="3"/>
      <c r="I3" s="3"/>
      <c r="J3" s="3"/>
      <c r="K3" s="3"/>
      <c r="L3" s="3"/>
      <c r="M3" s="3"/>
      <c r="N3" s="3"/>
      <c r="O3" s="3"/>
      <c r="P3" s="3"/>
      <c r="Q3" s="15"/>
      <c r="R3" s="26"/>
      <c r="S3" s="46" t="s">
        <v>31</v>
      </c>
      <c r="T3" s="3">
        <v>0.27</v>
      </c>
      <c r="U3" s="3"/>
      <c r="V3" s="3"/>
      <c r="W3" s="13">
        <f t="shared" ref="W3:W66" si="0">T3*3</f>
        <v>0.81</v>
      </c>
      <c r="X3" s="19"/>
      <c r="Y3" s="8"/>
      <c r="Z3" s="3"/>
      <c r="AA3" s="45" t="s">
        <v>195</v>
      </c>
      <c r="AB3" s="3">
        <v>1</v>
      </c>
      <c r="AC3" s="45" t="s">
        <v>194</v>
      </c>
    </row>
    <row r="4" spans="1:29" x14ac:dyDescent="0.3">
      <c r="A4" s="3">
        <v>1</v>
      </c>
      <c r="B4" s="3"/>
      <c r="C4" s="3"/>
      <c r="D4" s="3"/>
      <c r="E4" s="3"/>
      <c r="F4" s="3"/>
      <c r="G4" s="22"/>
      <c r="H4" s="3"/>
      <c r="I4" s="3"/>
      <c r="J4" s="3"/>
      <c r="K4" s="3"/>
      <c r="L4" s="3"/>
      <c r="M4" s="3"/>
      <c r="N4" s="3"/>
      <c r="O4" s="3"/>
      <c r="P4" s="3"/>
      <c r="Q4" s="15"/>
      <c r="R4" s="26"/>
      <c r="S4" s="46" t="s">
        <v>29</v>
      </c>
      <c r="T4" s="3" t="s">
        <v>121</v>
      </c>
      <c r="U4" s="3"/>
      <c r="V4" s="3"/>
      <c r="W4" s="13"/>
      <c r="X4" s="19"/>
      <c r="Y4" s="8"/>
      <c r="Z4" s="3"/>
      <c r="AA4" s="45" t="s">
        <v>195</v>
      </c>
      <c r="AB4" s="3">
        <v>1</v>
      </c>
      <c r="AC4" s="45" t="s">
        <v>194</v>
      </c>
    </row>
    <row r="5" spans="1:29" x14ac:dyDescent="0.3">
      <c r="S5" s="47" t="s">
        <v>4</v>
      </c>
      <c r="T5">
        <v>149.13999999999999</v>
      </c>
      <c r="W5" s="13">
        <f t="shared" si="0"/>
        <v>447.41999999999996</v>
      </c>
      <c r="AA5" s="45" t="s">
        <v>195</v>
      </c>
      <c r="AB5">
        <v>1</v>
      </c>
      <c r="AC5" s="45" t="s">
        <v>194</v>
      </c>
    </row>
    <row r="6" spans="1:29" x14ac:dyDescent="0.3">
      <c r="S6" s="47" t="s">
        <v>71</v>
      </c>
      <c r="T6" s="48">
        <v>166.7</v>
      </c>
      <c r="W6" s="13">
        <f t="shared" si="0"/>
        <v>500.09999999999997</v>
      </c>
      <c r="AA6" s="45" t="s">
        <v>195</v>
      </c>
      <c r="AB6">
        <v>1</v>
      </c>
      <c r="AC6" s="45" t="s">
        <v>194</v>
      </c>
    </row>
    <row r="7" spans="1:29" x14ac:dyDescent="0.3">
      <c r="S7" s="47" t="s">
        <v>37</v>
      </c>
      <c r="T7" s="48">
        <v>1.1599999999999999</v>
      </c>
      <c r="W7" s="13">
        <f t="shared" si="0"/>
        <v>3.4799999999999995</v>
      </c>
      <c r="AA7" s="45" t="s">
        <v>195</v>
      </c>
      <c r="AB7">
        <v>1</v>
      </c>
      <c r="AC7" s="45" t="s">
        <v>194</v>
      </c>
    </row>
    <row r="8" spans="1:29" x14ac:dyDescent="0.3">
      <c r="S8" s="47" t="s">
        <v>5</v>
      </c>
      <c r="T8" s="48">
        <v>1.08</v>
      </c>
      <c r="W8" s="13">
        <f t="shared" si="0"/>
        <v>3.24</v>
      </c>
      <c r="AA8" s="45" t="s">
        <v>195</v>
      </c>
      <c r="AB8">
        <v>1</v>
      </c>
      <c r="AC8" s="45" t="s">
        <v>194</v>
      </c>
    </row>
    <row r="9" spans="1:29" x14ac:dyDescent="0.3">
      <c r="S9" s="46" t="s">
        <v>2</v>
      </c>
      <c r="T9" s="48">
        <v>23.4</v>
      </c>
      <c r="W9" s="13">
        <f t="shared" si="0"/>
        <v>70.199999999999989</v>
      </c>
      <c r="AA9" s="45" t="s">
        <v>195</v>
      </c>
      <c r="AB9">
        <v>4</v>
      </c>
      <c r="AC9" s="45" t="s">
        <v>194</v>
      </c>
    </row>
    <row r="10" spans="1:29" x14ac:dyDescent="0.3">
      <c r="S10" s="46" t="s">
        <v>31</v>
      </c>
      <c r="T10" t="s">
        <v>121</v>
      </c>
      <c r="W10" s="13"/>
      <c r="AA10" s="45" t="s">
        <v>195</v>
      </c>
      <c r="AB10">
        <v>4</v>
      </c>
      <c r="AC10" s="45" t="s">
        <v>194</v>
      </c>
    </row>
    <row r="11" spans="1:29" x14ac:dyDescent="0.3">
      <c r="S11" s="46" t="s">
        <v>29</v>
      </c>
      <c r="T11" t="s">
        <v>121</v>
      </c>
      <c r="W11" s="13"/>
      <c r="AA11" s="45" t="s">
        <v>195</v>
      </c>
      <c r="AB11">
        <v>4</v>
      </c>
      <c r="AC11" s="45" t="s">
        <v>194</v>
      </c>
    </row>
    <row r="12" spans="1:29" x14ac:dyDescent="0.3">
      <c r="S12" s="47" t="s">
        <v>4</v>
      </c>
      <c r="T12" s="48">
        <v>178.1</v>
      </c>
      <c r="W12" s="13">
        <f t="shared" si="0"/>
        <v>534.29999999999995</v>
      </c>
      <c r="AA12" s="45" t="s">
        <v>195</v>
      </c>
      <c r="AB12">
        <v>4</v>
      </c>
      <c r="AC12" s="45" t="s">
        <v>194</v>
      </c>
    </row>
    <row r="13" spans="1:29" x14ac:dyDescent="0.3">
      <c r="S13" s="47" t="s">
        <v>71</v>
      </c>
      <c r="T13" s="48">
        <v>144.59</v>
      </c>
      <c r="W13" s="13">
        <f t="shared" si="0"/>
        <v>433.77</v>
      </c>
      <c r="AA13" s="45" t="s">
        <v>195</v>
      </c>
      <c r="AB13">
        <v>4</v>
      </c>
      <c r="AC13" s="45" t="s">
        <v>194</v>
      </c>
    </row>
    <row r="14" spans="1:29" x14ac:dyDescent="0.3">
      <c r="S14" s="47" t="s">
        <v>37</v>
      </c>
      <c r="T14" t="s">
        <v>121</v>
      </c>
      <c r="W14" s="13"/>
      <c r="AA14" s="45" t="s">
        <v>195</v>
      </c>
      <c r="AB14">
        <v>4</v>
      </c>
      <c r="AC14" s="45" t="s">
        <v>194</v>
      </c>
    </row>
    <row r="15" spans="1:29" x14ac:dyDescent="0.3">
      <c r="S15" s="47" t="s">
        <v>5</v>
      </c>
      <c r="T15">
        <v>2.83</v>
      </c>
      <c r="W15" s="13">
        <f t="shared" si="0"/>
        <v>8.49</v>
      </c>
      <c r="AA15" s="45" t="s">
        <v>195</v>
      </c>
      <c r="AB15">
        <v>4</v>
      </c>
      <c r="AC15" s="45" t="s">
        <v>194</v>
      </c>
    </row>
    <row r="16" spans="1:29" x14ac:dyDescent="0.3">
      <c r="S16" s="46" t="s">
        <v>2</v>
      </c>
      <c r="T16">
        <v>26.94</v>
      </c>
      <c r="W16" s="13">
        <f t="shared" si="0"/>
        <v>80.820000000000007</v>
      </c>
      <c r="AA16" s="45" t="s">
        <v>195</v>
      </c>
      <c r="AB16">
        <v>6</v>
      </c>
      <c r="AC16" s="45" t="s">
        <v>194</v>
      </c>
    </row>
    <row r="17" spans="19:29" x14ac:dyDescent="0.3">
      <c r="S17" s="46" t="s">
        <v>31</v>
      </c>
      <c r="T17">
        <v>0.16</v>
      </c>
      <c r="W17" s="13">
        <f t="shared" si="0"/>
        <v>0.48</v>
      </c>
      <c r="AA17" s="45" t="s">
        <v>195</v>
      </c>
      <c r="AB17">
        <v>6</v>
      </c>
      <c r="AC17" s="45" t="s">
        <v>194</v>
      </c>
    </row>
    <row r="18" spans="19:29" x14ac:dyDescent="0.3">
      <c r="S18" s="46" t="s">
        <v>29</v>
      </c>
      <c r="T18">
        <v>0.12</v>
      </c>
      <c r="W18" s="13">
        <f t="shared" si="0"/>
        <v>0.36</v>
      </c>
      <c r="AA18" s="45" t="s">
        <v>195</v>
      </c>
      <c r="AB18">
        <v>6</v>
      </c>
      <c r="AC18" s="45" t="s">
        <v>194</v>
      </c>
    </row>
    <row r="19" spans="19:29" x14ac:dyDescent="0.3">
      <c r="S19" s="47" t="s">
        <v>4</v>
      </c>
      <c r="T19">
        <v>174.5</v>
      </c>
      <c r="W19" s="13">
        <f t="shared" si="0"/>
        <v>523.5</v>
      </c>
      <c r="AA19" s="45" t="s">
        <v>195</v>
      </c>
      <c r="AB19">
        <v>6</v>
      </c>
      <c r="AC19" s="45" t="s">
        <v>194</v>
      </c>
    </row>
    <row r="20" spans="19:29" x14ac:dyDescent="0.3">
      <c r="S20" s="47" t="s">
        <v>71</v>
      </c>
      <c r="T20">
        <v>7.28</v>
      </c>
      <c r="W20" s="13">
        <f t="shared" si="0"/>
        <v>21.84</v>
      </c>
      <c r="AA20" s="45" t="s">
        <v>195</v>
      </c>
      <c r="AB20">
        <v>6</v>
      </c>
      <c r="AC20" s="45" t="s">
        <v>194</v>
      </c>
    </row>
    <row r="21" spans="19:29" x14ac:dyDescent="0.3">
      <c r="S21" s="47" t="s">
        <v>37</v>
      </c>
      <c r="T21">
        <v>5.0999999999999996</v>
      </c>
      <c r="W21" s="13">
        <f t="shared" si="0"/>
        <v>15.299999999999999</v>
      </c>
      <c r="AA21" s="45" t="s">
        <v>195</v>
      </c>
      <c r="AB21">
        <v>6</v>
      </c>
      <c r="AC21" s="45" t="s">
        <v>194</v>
      </c>
    </row>
    <row r="22" spans="19:29" x14ac:dyDescent="0.3">
      <c r="S22" s="47" t="s">
        <v>5</v>
      </c>
      <c r="T22">
        <v>1.0900000000000001</v>
      </c>
      <c r="W22" s="13">
        <f t="shared" si="0"/>
        <v>3.2700000000000005</v>
      </c>
      <c r="AA22" s="45" t="s">
        <v>195</v>
      </c>
      <c r="AB22">
        <v>6</v>
      </c>
      <c r="AC22" s="45" t="s">
        <v>194</v>
      </c>
    </row>
    <row r="23" spans="19:29" x14ac:dyDescent="0.3">
      <c r="S23" s="46" t="s">
        <v>2</v>
      </c>
      <c r="T23">
        <v>2.99</v>
      </c>
      <c r="W23" s="13">
        <f t="shared" si="0"/>
        <v>8.9700000000000006</v>
      </c>
      <c r="AA23" s="45" t="s">
        <v>196</v>
      </c>
      <c r="AB23">
        <v>7</v>
      </c>
      <c r="AC23" s="45" t="s">
        <v>194</v>
      </c>
    </row>
    <row r="24" spans="19:29" x14ac:dyDescent="0.3">
      <c r="S24" s="46" t="s">
        <v>31</v>
      </c>
      <c r="T24">
        <v>0.01</v>
      </c>
      <c r="W24" s="13">
        <f t="shared" si="0"/>
        <v>0.03</v>
      </c>
      <c r="AA24" s="45" t="s">
        <v>196</v>
      </c>
      <c r="AB24">
        <v>7</v>
      </c>
      <c r="AC24" s="45" t="s">
        <v>194</v>
      </c>
    </row>
    <row r="25" spans="19:29" x14ac:dyDescent="0.3">
      <c r="S25" s="46" t="s">
        <v>29</v>
      </c>
      <c r="T25">
        <v>0.02</v>
      </c>
      <c r="W25" s="13">
        <f t="shared" si="0"/>
        <v>0.06</v>
      </c>
      <c r="AA25" s="45" t="s">
        <v>196</v>
      </c>
      <c r="AB25">
        <v>7</v>
      </c>
      <c r="AC25" s="45" t="s">
        <v>194</v>
      </c>
    </row>
    <row r="26" spans="19:29" x14ac:dyDescent="0.3">
      <c r="S26" s="47" t="s">
        <v>4</v>
      </c>
      <c r="T26">
        <v>55.14</v>
      </c>
      <c r="W26" s="13">
        <f t="shared" si="0"/>
        <v>165.42000000000002</v>
      </c>
      <c r="AA26" s="45" t="s">
        <v>196</v>
      </c>
      <c r="AB26">
        <v>7</v>
      </c>
      <c r="AC26" s="45" t="s">
        <v>194</v>
      </c>
    </row>
    <row r="27" spans="19:29" x14ac:dyDescent="0.3">
      <c r="S27" s="47" t="s">
        <v>71</v>
      </c>
      <c r="T27">
        <v>0.52</v>
      </c>
      <c r="W27" s="13">
        <f t="shared" si="0"/>
        <v>1.56</v>
      </c>
      <c r="AA27" s="45" t="s">
        <v>196</v>
      </c>
      <c r="AB27">
        <v>7</v>
      </c>
      <c r="AC27" s="45" t="s">
        <v>194</v>
      </c>
    </row>
    <row r="28" spans="19:29" x14ac:dyDescent="0.3">
      <c r="S28" s="47" t="s">
        <v>37</v>
      </c>
      <c r="T28">
        <v>0.03</v>
      </c>
      <c r="W28" s="13">
        <f t="shared" si="0"/>
        <v>0.09</v>
      </c>
      <c r="AA28" s="45" t="s">
        <v>196</v>
      </c>
      <c r="AB28">
        <v>7</v>
      </c>
      <c r="AC28" s="45" t="s">
        <v>194</v>
      </c>
    </row>
    <row r="29" spans="19:29" x14ac:dyDescent="0.3">
      <c r="S29" s="47" t="s">
        <v>5</v>
      </c>
      <c r="T29" t="s">
        <v>121</v>
      </c>
      <c r="W29" s="13"/>
      <c r="AA29" s="45" t="s">
        <v>196</v>
      </c>
      <c r="AB29">
        <v>7</v>
      </c>
      <c r="AC29" s="45" t="s">
        <v>194</v>
      </c>
    </row>
    <row r="30" spans="19:29" x14ac:dyDescent="0.3">
      <c r="S30" s="46" t="s">
        <v>2</v>
      </c>
      <c r="T30">
        <v>41.61</v>
      </c>
      <c r="W30" s="13">
        <f t="shared" si="0"/>
        <v>124.83</v>
      </c>
      <c r="AA30" s="45" t="s">
        <v>195</v>
      </c>
      <c r="AB30">
        <v>8</v>
      </c>
      <c r="AC30" s="45" t="s">
        <v>194</v>
      </c>
    </row>
    <row r="31" spans="19:29" x14ac:dyDescent="0.3">
      <c r="S31" s="46" t="s">
        <v>31</v>
      </c>
      <c r="T31">
        <v>0.04</v>
      </c>
      <c r="W31" s="13">
        <f t="shared" si="0"/>
        <v>0.12</v>
      </c>
      <c r="AA31" s="45" t="s">
        <v>195</v>
      </c>
      <c r="AB31">
        <v>8</v>
      </c>
      <c r="AC31" s="45" t="s">
        <v>194</v>
      </c>
    </row>
    <row r="32" spans="19:29" x14ac:dyDescent="0.3">
      <c r="S32" s="46" t="s">
        <v>29</v>
      </c>
      <c r="T32">
        <v>0.14000000000000001</v>
      </c>
      <c r="W32" s="13">
        <f t="shared" si="0"/>
        <v>0.42000000000000004</v>
      </c>
      <c r="AA32" s="45" t="s">
        <v>195</v>
      </c>
      <c r="AB32">
        <v>8</v>
      </c>
      <c r="AC32" s="45" t="s">
        <v>194</v>
      </c>
    </row>
    <row r="33" spans="19:29" x14ac:dyDescent="0.3">
      <c r="S33" s="47" t="s">
        <v>4</v>
      </c>
      <c r="T33">
        <v>840.6</v>
      </c>
      <c r="W33" s="13">
        <f t="shared" si="0"/>
        <v>2521.8000000000002</v>
      </c>
      <c r="AA33" s="45" t="s">
        <v>195</v>
      </c>
      <c r="AB33">
        <v>8</v>
      </c>
      <c r="AC33" s="45" t="s">
        <v>194</v>
      </c>
    </row>
    <row r="34" spans="19:29" x14ac:dyDescent="0.3">
      <c r="S34" s="47" t="s">
        <v>71</v>
      </c>
      <c r="T34">
        <v>52.64</v>
      </c>
      <c r="W34" s="13">
        <f t="shared" si="0"/>
        <v>157.92000000000002</v>
      </c>
      <c r="AA34" s="45" t="s">
        <v>195</v>
      </c>
      <c r="AB34">
        <v>8</v>
      </c>
      <c r="AC34" s="45" t="s">
        <v>194</v>
      </c>
    </row>
    <row r="35" spans="19:29" x14ac:dyDescent="0.3">
      <c r="S35" s="47" t="s">
        <v>37</v>
      </c>
      <c r="T35">
        <v>1.41</v>
      </c>
      <c r="W35" s="13">
        <f t="shared" si="0"/>
        <v>4.2299999999999995</v>
      </c>
      <c r="AA35" s="45" t="s">
        <v>195</v>
      </c>
      <c r="AB35">
        <v>8</v>
      </c>
      <c r="AC35" s="45" t="s">
        <v>194</v>
      </c>
    </row>
    <row r="36" spans="19:29" x14ac:dyDescent="0.3">
      <c r="S36" s="47" t="s">
        <v>5</v>
      </c>
      <c r="T36" t="s">
        <v>121</v>
      </c>
      <c r="W36" s="13"/>
      <c r="AA36" s="45" t="s">
        <v>195</v>
      </c>
      <c r="AB36">
        <v>8</v>
      </c>
      <c r="AC36" s="45" t="s">
        <v>194</v>
      </c>
    </row>
    <row r="37" spans="19:29" x14ac:dyDescent="0.3">
      <c r="S37" s="46" t="s">
        <v>2</v>
      </c>
      <c r="T37">
        <v>3.75</v>
      </c>
      <c r="W37" s="13">
        <f t="shared" si="0"/>
        <v>11.25</v>
      </c>
      <c r="AA37" s="45" t="s">
        <v>196</v>
      </c>
      <c r="AB37">
        <v>9</v>
      </c>
      <c r="AC37" s="45" t="s">
        <v>194</v>
      </c>
    </row>
    <row r="38" spans="19:29" x14ac:dyDescent="0.3">
      <c r="S38" s="46" t="s">
        <v>31</v>
      </c>
      <c r="T38">
        <v>0</v>
      </c>
      <c r="W38" s="13">
        <f t="shared" si="0"/>
        <v>0</v>
      </c>
      <c r="AA38" s="45" t="s">
        <v>196</v>
      </c>
      <c r="AB38">
        <v>9</v>
      </c>
      <c r="AC38" s="45" t="s">
        <v>194</v>
      </c>
    </row>
    <row r="39" spans="19:29" x14ac:dyDescent="0.3">
      <c r="S39" s="46" t="s">
        <v>29</v>
      </c>
      <c r="T39">
        <v>0.02</v>
      </c>
      <c r="W39" s="13">
        <f t="shared" si="0"/>
        <v>0.06</v>
      </c>
      <c r="AA39" s="45" t="s">
        <v>196</v>
      </c>
      <c r="AB39">
        <v>9</v>
      </c>
      <c r="AC39" s="45" t="s">
        <v>194</v>
      </c>
    </row>
    <row r="40" spans="19:29" x14ac:dyDescent="0.3">
      <c r="S40" s="47" t="s">
        <v>4</v>
      </c>
      <c r="T40">
        <v>57.7</v>
      </c>
      <c r="W40" s="13">
        <f t="shared" si="0"/>
        <v>173.10000000000002</v>
      </c>
      <c r="AA40" s="45" t="s">
        <v>196</v>
      </c>
      <c r="AB40">
        <v>9</v>
      </c>
      <c r="AC40" s="45" t="s">
        <v>194</v>
      </c>
    </row>
    <row r="41" spans="19:29" x14ac:dyDescent="0.3">
      <c r="S41" s="47" t="s">
        <v>71</v>
      </c>
      <c r="T41">
        <v>0</v>
      </c>
      <c r="W41" s="13">
        <f t="shared" si="0"/>
        <v>0</v>
      </c>
      <c r="AA41" s="45" t="s">
        <v>196</v>
      </c>
      <c r="AB41">
        <v>9</v>
      </c>
      <c r="AC41" s="45" t="s">
        <v>194</v>
      </c>
    </row>
    <row r="42" spans="19:29" x14ac:dyDescent="0.3">
      <c r="S42" s="47" t="s">
        <v>37</v>
      </c>
      <c r="T42">
        <v>0.06</v>
      </c>
      <c r="W42" s="13">
        <f t="shared" si="0"/>
        <v>0.18</v>
      </c>
      <c r="AA42" s="45" t="s">
        <v>196</v>
      </c>
      <c r="AB42">
        <v>9</v>
      </c>
      <c r="AC42" s="45" t="s">
        <v>194</v>
      </c>
    </row>
    <row r="43" spans="19:29" x14ac:dyDescent="0.3">
      <c r="S43" s="47" t="s">
        <v>5</v>
      </c>
      <c r="T43" t="s">
        <v>121</v>
      </c>
      <c r="W43" s="13"/>
      <c r="AA43" s="45" t="s">
        <v>196</v>
      </c>
      <c r="AB43">
        <v>9</v>
      </c>
      <c r="AC43" s="45" t="s">
        <v>194</v>
      </c>
    </row>
    <row r="44" spans="19:29" x14ac:dyDescent="0.3">
      <c r="S44" s="46" t="s">
        <v>2</v>
      </c>
      <c r="T44">
        <v>23.72</v>
      </c>
      <c r="W44" s="13">
        <f t="shared" si="0"/>
        <v>71.16</v>
      </c>
      <c r="AA44" s="45" t="s">
        <v>195</v>
      </c>
      <c r="AB44">
        <v>12</v>
      </c>
      <c r="AC44" s="45" t="s">
        <v>194</v>
      </c>
    </row>
    <row r="45" spans="19:29" x14ac:dyDescent="0.3">
      <c r="S45" s="46" t="s">
        <v>31</v>
      </c>
      <c r="T45">
        <v>0.4</v>
      </c>
      <c r="W45" s="13">
        <f t="shared" si="0"/>
        <v>1.2000000000000002</v>
      </c>
      <c r="AA45" s="45" t="s">
        <v>195</v>
      </c>
      <c r="AB45">
        <v>12</v>
      </c>
      <c r="AC45" s="45" t="s">
        <v>194</v>
      </c>
    </row>
    <row r="46" spans="19:29" x14ac:dyDescent="0.3">
      <c r="S46" s="46" t="s">
        <v>29</v>
      </c>
      <c r="T46">
        <v>0.37</v>
      </c>
      <c r="W46" s="13">
        <f t="shared" si="0"/>
        <v>1.1099999999999999</v>
      </c>
      <c r="AA46" s="45" t="s">
        <v>195</v>
      </c>
      <c r="AB46">
        <v>12</v>
      </c>
      <c r="AC46" s="45" t="s">
        <v>194</v>
      </c>
    </row>
    <row r="47" spans="19:29" x14ac:dyDescent="0.3">
      <c r="S47" s="47" t="s">
        <v>4</v>
      </c>
      <c r="T47">
        <v>419</v>
      </c>
      <c r="W47" s="13">
        <f t="shared" si="0"/>
        <v>1257</v>
      </c>
      <c r="AA47" s="45" t="s">
        <v>195</v>
      </c>
      <c r="AB47">
        <v>12</v>
      </c>
      <c r="AC47" s="45" t="s">
        <v>194</v>
      </c>
    </row>
    <row r="48" spans="19:29" x14ac:dyDescent="0.3">
      <c r="S48" s="47" t="s">
        <v>71</v>
      </c>
      <c r="T48">
        <v>39.4</v>
      </c>
      <c r="W48" s="13">
        <f t="shared" si="0"/>
        <v>118.19999999999999</v>
      </c>
      <c r="AA48" s="45" t="s">
        <v>195</v>
      </c>
      <c r="AB48">
        <v>12</v>
      </c>
      <c r="AC48" s="45" t="s">
        <v>194</v>
      </c>
    </row>
    <row r="49" spans="19:29" x14ac:dyDescent="0.3">
      <c r="S49" s="47" t="s">
        <v>37</v>
      </c>
      <c r="T49">
        <v>10.9</v>
      </c>
      <c r="W49" s="13">
        <f t="shared" si="0"/>
        <v>32.700000000000003</v>
      </c>
      <c r="AA49" s="45" t="s">
        <v>195</v>
      </c>
      <c r="AB49">
        <v>12</v>
      </c>
      <c r="AC49" s="45" t="s">
        <v>194</v>
      </c>
    </row>
    <row r="50" spans="19:29" x14ac:dyDescent="0.3">
      <c r="S50" s="47" t="s">
        <v>5</v>
      </c>
      <c r="T50">
        <v>0.63</v>
      </c>
      <c r="W50" s="13">
        <f t="shared" si="0"/>
        <v>1.8900000000000001</v>
      </c>
      <c r="AA50" s="45" t="s">
        <v>195</v>
      </c>
      <c r="AB50">
        <v>12</v>
      </c>
      <c r="AC50" s="45" t="s">
        <v>194</v>
      </c>
    </row>
    <row r="51" spans="19:29" x14ac:dyDescent="0.3">
      <c r="S51" s="46" t="s">
        <v>2</v>
      </c>
      <c r="T51">
        <v>191.12</v>
      </c>
      <c r="W51" s="13">
        <f t="shared" si="0"/>
        <v>573.36</v>
      </c>
      <c r="AA51" s="45" t="s">
        <v>196</v>
      </c>
      <c r="AB51">
        <v>13</v>
      </c>
      <c r="AC51" s="45" t="s">
        <v>194</v>
      </c>
    </row>
    <row r="52" spans="19:29" x14ac:dyDescent="0.3">
      <c r="S52" s="46" t="s">
        <v>31</v>
      </c>
      <c r="T52">
        <v>0.09</v>
      </c>
      <c r="W52" s="13">
        <f t="shared" si="0"/>
        <v>0.27</v>
      </c>
      <c r="AA52" s="45" t="s">
        <v>196</v>
      </c>
      <c r="AB52">
        <v>13</v>
      </c>
      <c r="AC52" s="45" t="s">
        <v>194</v>
      </c>
    </row>
    <row r="53" spans="19:29" x14ac:dyDescent="0.3">
      <c r="S53" s="46" t="s">
        <v>29</v>
      </c>
      <c r="T53">
        <v>1.78</v>
      </c>
      <c r="W53" s="13">
        <f t="shared" si="0"/>
        <v>5.34</v>
      </c>
      <c r="AA53" s="45" t="s">
        <v>196</v>
      </c>
      <c r="AB53">
        <v>13</v>
      </c>
      <c r="AC53" s="45" t="s">
        <v>194</v>
      </c>
    </row>
    <row r="54" spans="19:29" x14ac:dyDescent="0.3">
      <c r="S54" s="47" t="s">
        <v>4</v>
      </c>
      <c r="T54">
        <v>195.17</v>
      </c>
      <c r="W54" s="13">
        <f t="shared" si="0"/>
        <v>585.51</v>
      </c>
      <c r="AA54" s="45" t="s">
        <v>196</v>
      </c>
      <c r="AB54">
        <v>13</v>
      </c>
      <c r="AC54" s="45" t="s">
        <v>194</v>
      </c>
    </row>
    <row r="55" spans="19:29" x14ac:dyDescent="0.3">
      <c r="S55" s="47" t="s">
        <v>71</v>
      </c>
      <c r="T55">
        <v>3.43</v>
      </c>
      <c r="W55" s="13">
        <f t="shared" si="0"/>
        <v>10.290000000000001</v>
      </c>
      <c r="AA55" s="45" t="s">
        <v>196</v>
      </c>
      <c r="AB55">
        <v>13</v>
      </c>
      <c r="AC55" s="45" t="s">
        <v>194</v>
      </c>
    </row>
    <row r="56" spans="19:29" x14ac:dyDescent="0.3">
      <c r="S56" s="47" t="s">
        <v>37</v>
      </c>
      <c r="T56">
        <v>1.06</v>
      </c>
      <c r="W56" s="13">
        <f t="shared" si="0"/>
        <v>3.18</v>
      </c>
      <c r="AA56" s="45" t="s">
        <v>196</v>
      </c>
      <c r="AB56">
        <v>13</v>
      </c>
      <c r="AC56" s="45" t="s">
        <v>194</v>
      </c>
    </row>
    <row r="57" spans="19:29" x14ac:dyDescent="0.3">
      <c r="S57" s="47" t="s">
        <v>5</v>
      </c>
      <c r="T57">
        <v>0.68</v>
      </c>
      <c r="W57" s="13">
        <f t="shared" si="0"/>
        <v>2.04</v>
      </c>
      <c r="AA57" s="45" t="s">
        <v>196</v>
      </c>
      <c r="AB57">
        <v>13</v>
      </c>
      <c r="AC57" s="45" t="s">
        <v>194</v>
      </c>
    </row>
    <row r="58" spans="19:29" x14ac:dyDescent="0.3">
      <c r="S58" s="46" t="s">
        <v>2</v>
      </c>
      <c r="T58">
        <v>21.26</v>
      </c>
      <c r="W58" s="13">
        <f t="shared" si="0"/>
        <v>63.78</v>
      </c>
      <c r="AA58" s="45" t="s">
        <v>196</v>
      </c>
      <c r="AB58">
        <v>14</v>
      </c>
      <c r="AC58" s="45" t="s">
        <v>194</v>
      </c>
    </row>
    <row r="59" spans="19:29" x14ac:dyDescent="0.3">
      <c r="S59" s="46" t="s">
        <v>31</v>
      </c>
      <c r="T59">
        <v>0</v>
      </c>
      <c r="W59" s="13">
        <f t="shared" si="0"/>
        <v>0</v>
      </c>
      <c r="AA59" s="45" t="s">
        <v>196</v>
      </c>
      <c r="AB59">
        <v>14</v>
      </c>
      <c r="AC59" s="45" t="s">
        <v>194</v>
      </c>
    </row>
    <row r="60" spans="19:29" x14ac:dyDescent="0.3">
      <c r="S60" s="46" t="s">
        <v>29</v>
      </c>
      <c r="T60" t="s">
        <v>121</v>
      </c>
      <c r="W60" s="13"/>
      <c r="AA60" s="45" t="s">
        <v>196</v>
      </c>
      <c r="AB60">
        <v>14</v>
      </c>
      <c r="AC60" s="45" t="s">
        <v>194</v>
      </c>
    </row>
    <row r="61" spans="19:29" x14ac:dyDescent="0.3">
      <c r="S61" s="47" t="s">
        <v>4</v>
      </c>
      <c r="T61">
        <v>284.27999999999997</v>
      </c>
      <c r="W61" s="13">
        <f t="shared" si="0"/>
        <v>852.83999999999992</v>
      </c>
      <c r="AA61" s="45" t="s">
        <v>196</v>
      </c>
      <c r="AB61">
        <v>14</v>
      </c>
      <c r="AC61" s="45" t="s">
        <v>194</v>
      </c>
    </row>
    <row r="62" spans="19:29" x14ac:dyDescent="0.3">
      <c r="S62" s="47" t="s">
        <v>71</v>
      </c>
      <c r="T62">
        <v>0</v>
      </c>
      <c r="W62" s="13">
        <f t="shared" si="0"/>
        <v>0</v>
      </c>
      <c r="AA62" s="45" t="s">
        <v>196</v>
      </c>
      <c r="AB62">
        <v>14</v>
      </c>
      <c r="AC62" s="45" t="s">
        <v>194</v>
      </c>
    </row>
    <row r="63" spans="19:29" x14ac:dyDescent="0.3">
      <c r="S63" s="47" t="s">
        <v>37</v>
      </c>
      <c r="T63" t="s">
        <v>121</v>
      </c>
      <c r="W63" s="13"/>
      <c r="AA63" s="45" t="s">
        <v>196</v>
      </c>
      <c r="AB63">
        <v>14</v>
      </c>
      <c r="AC63" s="45" t="s">
        <v>194</v>
      </c>
    </row>
    <row r="64" spans="19:29" x14ac:dyDescent="0.3">
      <c r="S64" s="47" t="s">
        <v>5</v>
      </c>
      <c r="T64" t="s">
        <v>121</v>
      </c>
      <c r="W64" s="13"/>
      <c r="AA64" s="45" t="s">
        <v>196</v>
      </c>
      <c r="AB64">
        <v>14</v>
      </c>
      <c r="AC64" s="45" t="s">
        <v>194</v>
      </c>
    </row>
    <row r="65" spans="19:29" x14ac:dyDescent="0.3">
      <c r="S65" s="46" t="s">
        <v>2</v>
      </c>
      <c r="T65">
        <v>16</v>
      </c>
      <c r="W65" s="13">
        <f t="shared" si="0"/>
        <v>48</v>
      </c>
      <c r="AA65" s="45" t="s">
        <v>196</v>
      </c>
      <c r="AB65">
        <v>15</v>
      </c>
      <c r="AC65" s="45" t="s">
        <v>194</v>
      </c>
    </row>
    <row r="66" spans="19:29" x14ac:dyDescent="0.3">
      <c r="S66" s="46" t="s">
        <v>31</v>
      </c>
      <c r="T66">
        <v>0</v>
      </c>
      <c r="W66" s="13">
        <f t="shared" si="0"/>
        <v>0</v>
      </c>
      <c r="AA66" s="45" t="s">
        <v>196</v>
      </c>
      <c r="AB66">
        <v>15</v>
      </c>
      <c r="AC66" s="45" t="s">
        <v>194</v>
      </c>
    </row>
    <row r="67" spans="19:29" x14ac:dyDescent="0.3">
      <c r="S67" s="46" t="s">
        <v>29</v>
      </c>
      <c r="T67" t="s">
        <v>121</v>
      </c>
      <c r="W67" s="13"/>
      <c r="AA67" s="45" t="s">
        <v>196</v>
      </c>
      <c r="AB67">
        <v>15</v>
      </c>
      <c r="AC67" s="45" t="s">
        <v>194</v>
      </c>
    </row>
    <row r="68" spans="19:29" x14ac:dyDescent="0.3">
      <c r="S68" s="47" t="s">
        <v>4</v>
      </c>
      <c r="T68">
        <v>162</v>
      </c>
      <c r="W68" s="13">
        <f t="shared" ref="W68:W99" si="1">T68*3</f>
        <v>486</v>
      </c>
      <c r="AA68" s="45" t="s">
        <v>196</v>
      </c>
      <c r="AB68">
        <v>15</v>
      </c>
      <c r="AC68" s="45" t="s">
        <v>194</v>
      </c>
    </row>
    <row r="69" spans="19:29" x14ac:dyDescent="0.3">
      <c r="S69" s="47" t="s">
        <v>71</v>
      </c>
      <c r="T69">
        <v>0</v>
      </c>
      <c r="W69" s="13">
        <f t="shared" si="1"/>
        <v>0</v>
      </c>
      <c r="AA69" s="45" t="s">
        <v>196</v>
      </c>
      <c r="AB69">
        <v>15</v>
      </c>
      <c r="AC69" s="45" t="s">
        <v>194</v>
      </c>
    </row>
    <row r="70" spans="19:29" x14ac:dyDescent="0.3">
      <c r="S70" s="47" t="s">
        <v>37</v>
      </c>
      <c r="T70">
        <v>0</v>
      </c>
      <c r="W70" s="13">
        <f t="shared" si="1"/>
        <v>0</v>
      </c>
      <c r="AA70" s="45" t="s">
        <v>196</v>
      </c>
      <c r="AB70">
        <v>15</v>
      </c>
      <c r="AC70" s="45" t="s">
        <v>194</v>
      </c>
    </row>
    <row r="71" spans="19:29" x14ac:dyDescent="0.3">
      <c r="S71" s="47" t="s">
        <v>5</v>
      </c>
      <c r="T71" t="s">
        <v>121</v>
      </c>
      <c r="W71" s="13"/>
      <c r="AA71" s="45" t="s">
        <v>196</v>
      </c>
      <c r="AB71">
        <v>15</v>
      </c>
      <c r="AC71" s="45" t="s">
        <v>194</v>
      </c>
    </row>
    <row r="72" spans="19:29" x14ac:dyDescent="0.3">
      <c r="S72" s="46" t="s">
        <v>2</v>
      </c>
      <c r="T72">
        <v>10.050000000000001</v>
      </c>
      <c r="W72" s="13">
        <f t="shared" si="1"/>
        <v>30.150000000000002</v>
      </c>
      <c r="AA72" s="45" t="s">
        <v>196</v>
      </c>
      <c r="AB72">
        <v>16</v>
      </c>
      <c r="AC72" s="45" t="s">
        <v>194</v>
      </c>
    </row>
    <row r="73" spans="19:29" x14ac:dyDescent="0.3">
      <c r="S73" s="46" t="s">
        <v>31</v>
      </c>
      <c r="T73">
        <v>0.05</v>
      </c>
      <c r="W73" s="13">
        <f t="shared" si="1"/>
        <v>0.15000000000000002</v>
      </c>
      <c r="AA73" s="45" t="s">
        <v>196</v>
      </c>
      <c r="AB73">
        <v>16</v>
      </c>
      <c r="AC73" s="45" t="s">
        <v>194</v>
      </c>
    </row>
    <row r="74" spans="19:29" x14ac:dyDescent="0.3">
      <c r="S74" s="46" t="s">
        <v>29</v>
      </c>
      <c r="T74">
        <v>0</v>
      </c>
      <c r="W74" s="13">
        <f t="shared" si="1"/>
        <v>0</v>
      </c>
      <c r="AA74" s="45" t="s">
        <v>196</v>
      </c>
      <c r="AB74">
        <v>16</v>
      </c>
      <c r="AC74" s="45" t="s">
        <v>194</v>
      </c>
    </row>
    <row r="75" spans="19:29" x14ac:dyDescent="0.3">
      <c r="S75" s="47" t="s">
        <v>4</v>
      </c>
      <c r="T75">
        <v>121.5</v>
      </c>
      <c r="W75" s="13">
        <f t="shared" si="1"/>
        <v>364.5</v>
      </c>
      <c r="AA75" s="45" t="s">
        <v>196</v>
      </c>
      <c r="AB75">
        <v>16</v>
      </c>
      <c r="AC75" s="45" t="s">
        <v>194</v>
      </c>
    </row>
    <row r="76" spans="19:29" x14ac:dyDescent="0.3">
      <c r="S76" s="47" t="s">
        <v>71</v>
      </c>
      <c r="T76">
        <v>37.909999999999997</v>
      </c>
      <c r="W76" s="13">
        <f t="shared" si="1"/>
        <v>113.72999999999999</v>
      </c>
      <c r="AA76" s="45" t="s">
        <v>196</v>
      </c>
      <c r="AB76">
        <v>16</v>
      </c>
      <c r="AC76" s="45" t="s">
        <v>194</v>
      </c>
    </row>
    <row r="77" spans="19:29" x14ac:dyDescent="0.3">
      <c r="S77" s="47" t="s">
        <v>37</v>
      </c>
      <c r="T77">
        <v>6.15</v>
      </c>
      <c r="W77" s="13">
        <f t="shared" si="1"/>
        <v>18.450000000000003</v>
      </c>
      <c r="AA77" s="45" t="s">
        <v>196</v>
      </c>
      <c r="AB77">
        <v>16</v>
      </c>
      <c r="AC77" s="45" t="s">
        <v>194</v>
      </c>
    </row>
    <row r="78" spans="19:29" x14ac:dyDescent="0.3">
      <c r="S78" s="47" t="s">
        <v>5</v>
      </c>
      <c r="T78">
        <v>0.34</v>
      </c>
      <c r="W78" s="13">
        <f t="shared" si="1"/>
        <v>1.02</v>
      </c>
      <c r="AA78" s="45" t="s">
        <v>196</v>
      </c>
      <c r="AB78">
        <v>16</v>
      </c>
      <c r="AC78" s="45" t="s">
        <v>194</v>
      </c>
    </row>
    <row r="79" spans="19:29" x14ac:dyDescent="0.3">
      <c r="S79" s="46" t="s">
        <v>2</v>
      </c>
      <c r="T79">
        <v>3.45</v>
      </c>
      <c r="W79" s="13">
        <f t="shared" si="1"/>
        <v>10.350000000000001</v>
      </c>
      <c r="AA79" s="45" t="s">
        <v>196</v>
      </c>
      <c r="AB79">
        <v>17</v>
      </c>
      <c r="AC79" s="45" t="s">
        <v>194</v>
      </c>
    </row>
    <row r="80" spans="19:29" x14ac:dyDescent="0.3">
      <c r="S80" s="46" t="s">
        <v>31</v>
      </c>
      <c r="T80">
        <v>0.01</v>
      </c>
      <c r="W80" s="13">
        <f t="shared" si="1"/>
        <v>0.03</v>
      </c>
      <c r="AA80" s="45" t="s">
        <v>196</v>
      </c>
      <c r="AB80">
        <v>17</v>
      </c>
      <c r="AC80" s="45" t="s">
        <v>194</v>
      </c>
    </row>
    <row r="81" spans="19:29" x14ac:dyDescent="0.3">
      <c r="S81" s="46" t="s">
        <v>29</v>
      </c>
      <c r="T81">
        <v>0.01</v>
      </c>
      <c r="W81" s="13">
        <f t="shared" si="1"/>
        <v>0.03</v>
      </c>
      <c r="AA81" s="45" t="s">
        <v>196</v>
      </c>
      <c r="AB81">
        <v>17</v>
      </c>
      <c r="AC81" s="45" t="s">
        <v>194</v>
      </c>
    </row>
    <row r="82" spans="19:29" x14ac:dyDescent="0.3">
      <c r="S82" s="47" t="s">
        <v>4</v>
      </c>
      <c r="T82">
        <v>47.88</v>
      </c>
      <c r="W82" s="13">
        <f t="shared" si="1"/>
        <v>143.64000000000001</v>
      </c>
      <c r="AA82" s="45" t="s">
        <v>196</v>
      </c>
      <c r="AB82">
        <v>17</v>
      </c>
      <c r="AC82" s="45" t="s">
        <v>194</v>
      </c>
    </row>
    <row r="83" spans="19:29" x14ac:dyDescent="0.3">
      <c r="S83" s="47" t="s">
        <v>71</v>
      </c>
      <c r="T83">
        <v>6.81</v>
      </c>
      <c r="W83" s="13">
        <f t="shared" si="1"/>
        <v>20.43</v>
      </c>
      <c r="AA83" s="45" t="s">
        <v>196</v>
      </c>
      <c r="AB83">
        <v>17</v>
      </c>
      <c r="AC83" s="45" t="s">
        <v>194</v>
      </c>
    </row>
    <row r="84" spans="19:29" x14ac:dyDescent="0.3">
      <c r="S84" s="47" t="s">
        <v>37</v>
      </c>
      <c r="T84">
        <v>0.11</v>
      </c>
      <c r="W84" s="13">
        <f t="shared" si="1"/>
        <v>0.33</v>
      </c>
      <c r="AA84" s="45" t="s">
        <v>196</v>
      </c>
      <c r="AB84">
        <v>17</v>
      </c>
      <c r="AC84" s="45" t="s">
        <v>194</v>
      </c>
    </row>
    <row r="85" spans="19:29" x14ac:dyDescent="0.3">
      <c r="S85" s="47" t="s">
        <v>5</v>
      </c>
      <c r="T85">
        <v>0.38</v>
      </c>
      <c r="W85" s="13">
        <f t="shared" si="1"/>
        <v>1.1400000000000001</v>
      </c>
      <c r="AA85" s="45" t="s">
        <v>196</v>
      </c>
      <c r="AB85">
        <v>17</v>
      </c>
      <c r="AC85" s="45" t="s">
        <v>194</v>
      </c>
    </row>
    <row r="86" spans="19:29" x14ac:dyDescent="0.3">
      <c r="S86" s="46" t="s">
        <v>2</v>
      </c>
      <c r="T86">
        <v>3</v>
      </c>
      <c r="W86" s="13">
        <f t="shared" si="1"/>
        <v>9</v>
      </c>
      <c r="AA86" s="45" t="s">
        <v>196</v>
      </c>
      <c r="AB86">
        <v>18</v>
      </c>
      <c r="AC86" s="45" t="s">
        <v>194</v>
      </c>
    </row>
    <row r="87" spans="19:29" x14ac:dyDescent="0.3">
      <c r="S87" s="46" t="s">
        <v>31</v>
      </c>
      <c r="T87">
        <v>2</v>
      </c>
      <c r="W87" s="13">
        <f t="shared" si="1"/>
        <v>6</v>
      </c>
      <c r="AA87" s="45" t="s">
        <v>196</v>
      </c>
      <c r="AB87">
        <v>18</v>
      </c>
      <c r="AC87" s="45" t="s">
        <v>194</v>
      </c>
    </row>
    <row r="88" spans="19:29" x14ac:dyDescent="0.3">
      <c r="S88" s="46" t="s">
        <v>29</v>
      </c>
      <c r="T88" t="s">
        <v>121</v>
      </c>
      <c r="W88" s="13"/>
      <c r="AA88" s="45" t="s">
        <v>196</v>
      </c>
      <c r="AB88">
        <v>18</v>
      </c>
      <c r="AC88" s="45" t="s">
        <v>194</v>
      </c>
    </row>
    <row r="89" spans="19:29" x14ac:dyDescent="0.3">
      <c r="S89" s="47" t="s">
        <v>4</v>
      </c>
      <c r="T89">
        <v>72</v>
      </c>
      <c r="W89" s="13">
        <f t="shared" si="1"/>
        <v>216</v>
      </c>
      <c r="AA89" s="45" t="s">
        <v>196</v>
      </c>
      <c r="AB89">
        <v>18</v>
      </c>
      <c r="AC89" s="45" t="s">
        <v>194</v>
      </c>
    </row>
    <row r="90" spans="19:29" x14ac:dyDescent="0.3">
      <c r="S90" s="47" t="s">
        <v>71</v>
      </c>
      <c r="T90">
        <v>53</v>
      </c>
      <c r="W90" s="13">
        <f t="shared" si="1"/>
        <v>159</v>
      </c>
      <c r="AA90" s="45" t="s">
        <v>196</v>
      </c>
      <c r="AB90">
        <v>18</v>
      </c>
      <c r="AC90" s="45" t="s">
        <v>194</v>
      </c>
    </row>
    <row r="91" spans="19:29" x14ac:dyDescent="0.3">
      <c r="S91" s="47" t="s">
        <v>37</v>
      </c>
      <c r="T91">
        <v>0</v>
      </c>
      <c r="W91" s="13">
        <f t="shared" si="1"/>
        <v>0</v>
      </c>
      <c r="AA91" s="45" t="s">
        <v>196</v>
      </c>
      <c r="AB91">
        <v>18</v>
      </c>
      <c r="AC91" s="45" t="s">
        <v>194</v>
      </c>
    </row>
    <row r="92" spans="19:29" x14ac:dyDescent="0.3">
      <c r="S92" s="47" t="s">
        <v>5</v>
      </c>
      <c r="T92">
        <v>7</v>
      </c>
      <c r="W92" s="13">
        <f t="shared" si="1"/>
        <v>21</v>
      </c>
      <c r="AA92" s="45" t="s">
        <v>196</v>
      </c>
      <c r="AB92">
        <v>18</v>
      </c>
      <c r="AC92" s="45" t="s">
        <v>194</v>
      </c>
    </row>
    <row r="93" spans="19:29" x14ac:dyDescent="0.3">
      <c r="S93" s="46" t="s">
        <v>2</v>
      </c>
      <c r="T93">
        <v>2</v>
      </c>
      <c r="W93" s="13">
        <f t="shared" si="1"/>
        <v>6</v>
      </c>
      <c r="AA93" s="45" t="s">
        <v>196</v>
      </c>
      <c r="AB93">
        <v>19</v>
      </c>
      <c r="AC93" s="45" t="s">
        <v>194</v>
      </c>
    </row>
    <row r="94" spans="19:29" x14ac:dyDescent="0.3">
      <c r="S94" s="46" t="s">
        <v>31</v>
      </c>
      <c r="T94">
        <v>0</v>
      </c>
      <c r="W94" s="13">
        <f t="shared" si="1"/>
        <v>0</v>
      </c>
      <c r="AA94" s="45" t="s">
        <v>196</v>
      </c>
      <c r="AB94">
        <v>19</v>
      </c>
      <c r="AC94" s="45" t="s">
        <v>194</v>
      </c>
    </row>
    <row r="95" spans="19:29" x14ac:dyDescent="0.3">
      <c r="S95" s="46" t="s">
        <v>29</v>
      </c>
      <c r="T95" t="s">
        <v>121</v>
      </c>
      <c r="W95" s="13"/>
      <c r="AA95" s="45" t="s">
        <v>196</v>
      </c>
      <c r="AB95">
        <v>19</v>
      </c>
      <c r="AC95" s="45" t="s">
        <v>194</v>
      </c>
    </row>
    <row r="96" spans="19:29" x14ac:dyDescent="0.3">
      <c r="S96" s="47" t="s">
        <v>4</v>
      </c>
      <c r="T96">
        <v>50</v>
      </c>
      <c r="W96" s="13">
        <f t="shared" si="1"/>
        <v>150</v>
      </c>
      <c r="AA96" s="45" t="s">
        <v>196</v>
      </c>
      <c r="AB96">
        <v>19</v>
      </c>
      <c r="AC96" s="45" t="s">
        <v>194</v>
      </c>
    </row>
    <row r="97" spans="19:29" x14ac:dyDescent="0.3">
      <c r="S97" s="47" t="s">
        <v>71</v>
      </c>
      <c r="T97">
        <v>27</v>
      </c>
      <c r="W97" s="13">
        <f t="shared" si="1"/>
        <v>81</v>
      </c>
      <c r="AA97" s="45" t="s">
        <v>196</v>
      </c>
      <c r="AB97">
        <v>19</v>
      </c>
      <c r="AC97" s="45" t="s">
        <v>194</v>
      </c>
    </row>
    <row r="98" spans="19:29" x14ac:dyDescent="0.3">
      <c r="S98" s="47" t="s">
        <v>37</v>
      </c>
      <c r="T98">
        <v>0</v>
      </c>
      <c r="W98" s="13">
        <f t="shared" si="1"/>
        <v>0</v>
      </c>
      <c r="AA98" s="45" t="s">
        <v>196</v>
      </c>
      <c r="AB98">
        <v>19</v>
      </c>
      <c r="AC98" s="45" t="s">
        <v>194</v>
      </c>
    </row>
    <row r="99" spans="19:29" x14ac:dyDescent="0.3">
      <c r="S99" s="47" t="s">
        <v>5</v>
      </c>
      <c r="T99">
        <v>0</v>
      </c>
      <c r="W99" s="13">
        <f t="shared" si="1"/>
        <v>0</v>
      </c>
      <c r="AA99" s="45" t="s">
        <v>196</v>
      </c>
      <c r="AB99">
        <v>19</v>
      </c>
      <c r="AC99" s="45" t="s">
        <v>194</v>
      </c>
    </row>
    <row r="100" spans="19:29" x14ac:dyDescent="0.3">
      <c r="AA100" s="45"/>
    </row>
    <row r="101" spans="19:29" x14ac:dyDescent="0.3">
      <c r="AA101" s="45"/>
    </row>
    <row r="102" spans="19:29" x14ac:dyDescent="0.3">
      <c r="S102" s="46" t="s">
        <v>2</v>
      </c>
      <c r="T102">
        <f>AVERAGE(T2,T9,T16,T30,T44)</f>
        <v>28.991999999999997</v>
      </c>
      <c r="W102" s="49">
        <f>T102*3</f>
        <v>86.975999999999999</v>
      </c>
      <c r="AA102" s="45" t="s">
        <v>79</v>
      </c>
    </row>
    <row r="103" spans="19:29" x14ac:dyDescent="0.3">
      <c r="S103" s="46" t="s">
        <v>31</v>
      </c>
      <c r="T103">
        <f t="shared" ref="T103:T108" si="2">AVERAGE(T3,T10,T17,T31,T45)</f>
        <v>0.21750000000000003</v>
      </c>
      <c r="W103" s="49">
        <f t="shared" ref="W103:W115" si="3">T103*3</f>
        <v>0.65250000000000008</v>
      </c>
      <c r="AA103" s="45" t="s">
        <v>79</v>
      </c>
    </row>
    <row r="104" spans="19:29" x14ac:dyDescent="0.3">
      <c r="S104" s="46" t="s">
        <v>29</v>
      </c>
      <c r="T104">
        <f t="shared" si="2"/>
        <v>0.21</v>
      </c>
      <c r="W104" s="49">
        <f t="shared" si="3"/>
        <v>0.63</v>
      </c>
      <c r="AA104" s="45" t="s">
        <v>79</v>
      </c>
    </row>
    <row r="105" spans="19:29" x14ac:dyDescent="0.3">
      <c r="S105" s="47" t="s">
        <v>4</v>
      </c>
      <c r="T105">
        <f t="shared" si="2"/>
        <v>352.26800000000003</v>
      </c>
      <c r="W105" s="49">
        <f t="shared" si="3"/>
        <v>1056.8040000000001</v>
      </c>
      <c r="AA105" s="45" t="s">
        <v>79</v>
      </c>
    </row>
    <row r="106" spans="19:29" x14ac:dyDescent="0.3">
      <c r="S106" s="47" t="s">
        <v>71</v>
      </c>
      <c r="T106">
        <f t="shared" si="2"/>
        <v>82.121999999999986</v>
      </c>
      <c r="W106" s="49">
        <f t="shared" si="3"/>
        <v>246.36599999999996</v>
      </c>
      <c r="AA106" s="45" t="s">
        <v>79</v>
      </c>
    </row>
    <row r="107" spans="19:29" x14ac:dyDescent="0.3">
      <c r="S107" s="47" t="s">
        <v>37</v>
      </c>
      <c r="T107">
        <f t="shared" si="2"/>
        <v>4.6425000000000001</v>
      </c>
      <c r="W107" s="49">
        <f t="shared" si="3"/>
        <v>13.9275</v>
      </c>
      <c r="AA107" s="45" t="s">
        <v>79</v>
      </c>
    </row>
    <row r="108" spans="19:29" x14ac:dyDescent="0.3">
      <c r="S108" s="47" t="s">
        <v>5</v>
      </c>
      <c r="T108">
        <f t="shared" si="2"/>
        <v>1.4075</v>
      </c>
      <c r="W108" s="49">
        <f t="shared" si="3"/>
        <v>4.2225000000000001</v>
      </c>
      <c r="AA108" s="45" t="s">
        <v>79</v>
      </c>
    </row>
    <row r="109" spans="19:29" x14ac:dyDescent="0.3">
      <c r="S109" s="46" t="s">
        <v>2</v>
      </c>
      <c r="T109">
        <f>AVERAGE(T23,T37,T51,T58,T65,T72,T79,T86,T93)</f>
        <v>28.18</v>
      </c>
      <c r="W109" s="49">
        <f t="shared" si="3"/>
        <v>84.539999999999992</v>
      </c>
      <c r="AA109" s="45" t="s">
        <v>105</v>
      </c>
    </row>
    <row r="110" spans="19:29" x14ac:dyDescent="0.3">
      <c r="S110" s="46" t="s">
        <v>31</v>
      </c>
      <c r="T110">
        <f t="shared" ref="T110:T115" si="4">AVERAGE(T24,T38,T52,T59,T66,T73,T80,T87,T94)</f>
        <v>0.24000000000000002</v>
      </c>
      <c r="W110" s="49">
        <f t="shared" si="3"/>
        <v>0.72000000000000008</v>
      </c>
      <c r="AA110" s="45" t="s">
        <v>105</v>
      </c>
    </row>
    <row r="111" spans="19:29" x14ac:dyDescent="0.3">
      <c r="S111" s="46" t="s">
        <v>29</v>
      </c>
      <c r="T111">
        <f t="shared" si="4"/>
        <v>0.36599999999999999</v>
      </c>
      <c r="W111" s="49">
        <f t="shared" si="3"/>
        <v>1.0979999999999999</v>
      </c>
      <c r="AA111" s="45" t="s">
        <v>105</v>
      </c>
    </row>
    <row r="112" spans="19:29" x14ac:dyDescent="0.3">
      <c r="S112" s="47" t="s">
        <v>4</v>
      </c>
      <c r="T112">
        <f t="shared" si="4"/>
        <v>116.18555555555557</v>
      </c>
      <c r="W112" s="49">
        <f t="shared" si="3"/>
        <v>348.55666666666673</v>
      </c>
      <c r="AA112" s="45" t="s">
        <v>105</v>
      </c>
    </row>
    <row r="113" spans="19:27" x14ac:dyDescent="0.3">
      <c r="S113" s="47" t="s">
        <v>71</v>
      </c>
      <c r="T113">
        <f t="shared" si="4"/>
        <v>14.296666666666669</v>
      </c>
      <c r="W113" s="49">
        <f t="shared" si="3"/>
        <v>42.890000000000008</v>
      </c>
      <c r="AA113" s="45" t="s">
        <v>105</v>
      </c>
    </row>
    <row r="114" spans="19:27" x14ac:dyDescent="0.3">
      <c r="S114" s="47" t="s">
        <v>37</v>
      </c>
      <c r="T114">
        <f t="shared" si="4"/>
        <v>0.92625000000000013</v>
      </c>
      <c r="W114" s="49">
        <f t="shared" si="3"/>
        <v>2.7787500000000005</v>
      </c>
      <c r="AA114" s="45" t="s">
        <v>105</v>
      </c>
    </row>
    <row r="115" spans="19:27" x14ac:dyDescent="0.3">
      <c r="S115" s="47" t="s">
        <v>5</v>
      </c>
      <c r="T115">
        <f t="shared" si="4"/>
        <v>1.6800000000000002</v>
      </c>
      <c r="W115" s="49">
        <f t="shared" si="3"/>
        <v>5.0400000000000009</v>
      </c>
      <c r="AA115" s="45" t="s">
        <v>105</v>
      </c>
    </row>
  </sheetData>
  <hyperlinks>
    <hyperlink ref="C2" r:id="rId1" tooltip="Persistent link using digital object identifier" xr:uid="{99BD34D9-CBEE-4EF8-8ACF-42E03AB117B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</sheetPr>
  <dimension ref="A1:AC115"/>
  <sheetViews>
    <sheetView topLeftCell="H10" workbookViewId="0">
      <selection activeCell="U26" sqref="U26"/>
    </sheetView>
  </sheetViews>
  <sheetFormatPr defaultRowHeight="14.4" x14ac:dyDescent="0.3"/>
  <cols>
    <col min="2" max="3" width="13.5546875" customWidth="1"/>
    <col min="4" max="4" width="16.44140625" customWidth="1"/>
    <col min="23" max="23" width="9.44140625" bestFit="1" customWidth="1"/>
    <col min="26" max="26" width="14.44140625" customWidth="1"/>
    <col min="27" max="27" width="10.88671875" style="4" customWidth="1"/>
  </cols>
  <sheetData>
    <row r="1" spans="1:29" ht="72" x14ac:dyDescent="0.3">
      <c r="A1" s="1" t="s">
        <v>25</v>
      </c>
      <c r="B1" s="1" t="s">
        <v>24</v>
      </c>
      <c r="C1" s="1"/>
      <c r="D1" s="1" t="s">
        <v>23</v>
      </c>
      <c r="E1" s="1" t="s">
        <v>22</v>
      </c>
      <c r="F1" s="1" t="s">
        <v>34</v>
      </c>
      <c r="G1" s="11" t="s">
        <v>21</v>
      </c>
      <c r="H1" s="1" t="s">
        <v>20</v>
      </c>
      <c r="I1" s="1" t="s">
        <v>19</v>
      </c>
      <c r="J1" s="1" t="s">
        <v>26</v>
      </c>
      <c r="K1" s="1" t="s">
        <v>18</v>
      </c>
      <c r="L1" s="1" t="s">
        <v>17</v>
      </c>
      <c r="M1" s="1" t="s">
        <v>16</v>
      </c>
      <c r="N1" s="1" t="s">
        <v>15</v>
      </c>
      <c r="O1" s="14" t="s">
        <v>14</v>
      </c>
      <c r="P1" s="1" t="s">
        <v>13</v>
      </c>
      <c r="Q1" s="1" t="s">
        <v>32</v>
      </c>
      <c r="R1" s="11" t="s">
        <v>33</v>
      </c>
      <c r="S1" s="9" t="s">
        <v>12</v>
      </c>
      <c r="T1" s="1" t="s">
        <v>36</v>
      </c>
      <c r="U1" s="1" t="s">
        <v>61</v>
      </c>
      <c r="V1" s="1" t="s">
        <v>11</v>
      </c>
      <c r="W1" s="9" t="s">
        <v>30</v>
      </c>
      <c r="X1" s="9" t="s">
        <v>35</v>
      </c>
      <c r="Y1" s="1" t="s">
        <v>27</v>
      </c>
      <c r="Z1" s="14" t="s">
        <v>10</v>
      </c>
      <c r="AA1" s="53" t="s">
        <v>9</v>
      </c>
    </row>
    <row r="2" spans="1:29" x14ac:dyDescent="0.3">
      <c r="A2" s="3"/>
      <c r="B2" s="3" t="s">
        <v>199</v>
      </c>
      <c r="C2" s="52" t="s">
        <v>254</v>
      </c>
      <c r="D2" s="27" t="s">
        <v>200</v>
      </c>
      <c r="E2" s="3"/>
      <c r="F2" s="3"/>
      <c r="G2" s="22"/>
      <c r="I2" s="3"/>
      <c r="J2" s="3" t="s">
        <v>201</v>
      </c>
      <c r="K2" s="3"/>
      <c r="L2" s="3"/>
      <c r="M2" s="3"/>
      <c r="N2" s="3"/>
      <c r="O2" s="3"/>
      <c r="P2" s="3"/>
      <c r="Q2" s="15"/>
      <c r="R2" s="26"/>
      <c r="S2" s="46" t="s">
        <v>29</v>
      </c>
      <c r="T2" s="3"/>
      <c r="U2" s="15"/>
      <c r="V2" s="3"/>
      <c r="W2" s="13">
        <f>1694.7*0.0012</f>
        <v>2.0336399999999997</v>
      </c>
      <c r="X2" s="19"/>
      <c r="Y2" s="8"/>
      <c r="Z2" s="3"/>
      <c r="AA2" s="27"/>
      <c r="AB2" s="45"/>
      <c r="AC2" t="s">
        <v>211</v>
      </c>
    </row>
    <row r="3" spans="1:29" x14ac:dyDescent="0.3">
      <c r="A3" s="3"/>
      <c r="B3" s="3"/>
      <c r="C3" s="3"/>
      <c r="D3" s="3"/>
      <c r="E3" s="3"/>
      <c r="F3" s="3"/>
      <c r="G3" s="22"/>
      <c r="I3" s="3"/>
      <c r="J3" s="3" t="s">
        <v>201</v>
      </c>
      <c r="K3" s="3"/>
      <c r="L3" s="3"/>
      <c r="M3" s="3"/>
      <c r="N3" s="3"/>
      <c r="O3" s="3"/>
      <c r="P3" s="3"/>
      <c r="Q3" s="15"/>
      <c r="R3" s="26"/>
      <c r="S3" s="46" t="s">
        <v>4</v>
      </c>
      <c r="T3" s="3"/>
      <c r="U3" s="3"/>
      <c r="V3" s="3"/>
      <c r="W3" s="13">
        <f>1671.01*0.1529+1671.01*(0.0648*Conversion_factors!C12)</f>
        <v>1013.467565</v>
      </c>
      <c r="X3" s="19"/>
      <c r="Y3" s="8"/>
      <c r="AA3" s="27" t="s">
        <v>202</v>
      </c>
      <c r="AB3" s="45"/>
    </row>
    <row r="4" spans="1:29" x14ac:dyDescent="0.3">
      <c r="A4" s="3"/>
      <c r="B4" s="3"/>
      <c r="C4" s="3"/>
      <c r="D4" s="3"/>
      <c r="E4" s="3"/>
      <c r="F4" s="3"/>
      <c r="G4" s="22"/>
      <c r="H4" s="3"/>
      <c r="I4" s="3"/>
      <c r="J4" s="3" t="s">
        <v>201</v>
      </c>
      <c r="K4" s="3"/>
      <c r="L4" s="3"/>
      <c r="M4" s="3"/>
      <c r="N4" s="3"/>
      <c r="O4" s="3"/>
      <c r="P4" s="3"/>
      <c r="Q4" s="15"/>
      <c r="R4" s="26"/>
      <c r="S4" s="46" t="s">
        <v>37</v>
      </c>
      <c r="T4" s="3"/>
      <c r="U4" s="3"/>
      <c r="V4" s="3"/>
      <c r="W4" s="13">
        <f>1671.01*0.0019</f>
        <v>3.174919</v>
      </c>
      <c r="X4" s="19"/>
      <c r="Y4" s="8"/>
      <c r="Z4" s="3"/>
      <c r="AA4" s="27"/>
      <c r="AB4" s="45"/>
    </row>
    <row r="5" spans="1:29" x14ac:dyDescent="0.3">
      <c r="J5" s="3" t="s">
        <v>201</v>
      </c>
      <c r="S5" s="47" t="s">
        <v>31</v>
      </c>
      <c r="W5" s="13">
        <f>1671.01*0.0004</f>
        <v>0.668404</v>
      </c>
      <c r="AA5" s="54" t="s">
        <v>204</v>
      </c>
      <c r="AB5" s="45"/>
    </row>
    <row r="6" spans="1:29" x14ac:dyDescent="0.3">
      <c r="J6" s="3" t="s">
        <v>201</v>
      </c>
      <c r="S6" s="47" t="s">
        <v>70</v>
      </c>
      <c r="T6" s="48"/>
      <c r="W6" s="13">
        <f>1671.01*0.0832</f>
        <v>139.028032</v>
      </c>
      <c r="AA6" s="27"/>
      <c r="AB6" s="45"/>
    </row>
    <row r="7" spans="1:29" x14ac:dyDescent="0.3">
      <c r="J7" s="3" t="s">
        <v>201</v>
      </c>
      <c r="S7" s="47" t="s">
        <v>2</v>
      </c>
      <c r="T7" s="48"/>
      <c r="W7" s="13">
        <f>1671.01*0.0306</f>
        <v>51.132905999999998</v>
      </c>
      <c r="AA7" s="27"/>
      <c r="AB7" s="45"/>
    </row>
    <row r="8" spans="1:29" x14ac:dyDescent="0.3">
      <c r="J8" s="3" t="s">
        <v>201</v>
      </c>
      <c r="S8" s="47" t="s">
        <v>5</v>
      </c>
      <c r="T8" s="48"/>
      <c r="W8" s="13">
        <f>1671.01*0.0073</f>
        <v>12.198373</v>
      </c>
      <c r="AA8" s="27"/>
      <c r="AB8" s="45"/>
    </row>
    <row r="9" spans="1:29" x14ac:dyDescent="0.3">
      <c r="J9" s="3" t="s">
        <v>205</v>
      </c>
      <c r="S9" s="46" t="s">
        <v>29</v>
      </c>
      <c r="T9" s="48"/>
      <c r="W9" s="13">
        <f>1694.7*0.0009</f>
        <v>1.5252300000000001</v>
      </c>
      <c r="AA9" s="27"/>
      <c r="AB9" s="45"/>
    </row>
    <row r="10" spans="1:29" x14ac:dyDescent="0.3">
      <c r="J10" s="3" t="s">
        <v>205</v>
      </c>
      <c r="S10" s="46" t="s">
        <v>4</v>
      </c>
      <c r="W10" s="13">
        <f>1694.7*0.0951+1694.7*(0.071*Conversion_factors!C12)</f>
        <v>1003.4318699999999</v>
      </c>
      <c r="AA10" s="27" t="s">
        <v>206</v>
      </c>
      <c r="AB10" s="45"/>
    </row>
    <row r="11" spans="1:29" x14ac:dyDescent="0.3">
      <c r="J11" s="3" t="s">
        <v>205</v>
      </c>
      <c r="S11" s="46" t="s">
        <v>37</v>
      </c>
      <c r="W11" s="13">
        <f>1694.7*0.0009</f>
        <v>1.5252300000000001</v>
      </c>
      <c r="AA11" s="27"/>
      <c r="AB11" s="45"/>
    </row>
    <row r="12" spans="1:29" x14ac:dyDescent="0.3">
      <c r="J12" s="3" t="s">
        <v>205</v>
      </c>
      <c r="S12" s="47" t="s">
        <v>31</v>
      </c>
      <c r="T12" s="48"/>
      <c r="W12" s="13">
        <f>1694.7*0.0004</f>
        <v>0.67788000000000004</v>
      </c>
      <c r="AA12" s="54" t="s">
        <v>204</v>
      </c>
      <c r="AB12" s="45"/>
    </row>
    <row r="13" spans="1:29" x14ac:dyDescent="0.3">
      <c r="J13" s="3" t="s">
        <v>205</v>
      </c>
      <c r="S13" s="47" t="s">
        <v>70</v>
      </c>
      <c r="T13" s="48"/>
      <c r="W13" s="13">
        <f>1694.7*0.0819</f>
        <v>138.79593</v>
      </c>
      <c r="AA13" s="27"/>
      <c r="AB13" s="45"/>
    </row>
    <row r="14" spans="1:29" x14ac:dyDescent="0.3">
      <c r="J14" s="3" t="s">
        <v>205</v>
      </c>
      <c r="S14" s="47" t="s">
        <v>2</v>
      </c>
      <c r="W14" s="13">
        <f>1694.7*0.0315</f>
        <v>53.383050000000004</v>
      </c>
      <c r="AA14" s="27"/>
      <c r="AB14" s="45"/>
    </row>
    <row r="15" spans="1:29" x14ac:dyDescent="0.3">
      <c r="J15" s="3" t="s">
        <v>205</v>
      </c>
      <c r="S15" s="47" t="s">
        <v>5</v>
      </c>
      <c r="W15" s="13">
        <f>1694.7*0.0077</f>
        <v>13.049190000000001</v>
      </c>
      <c r="AA15" s="27"/>
      <c r="AB15" s="45"/>
    </row>
    <row r="16" spans="1:29" x14ac:dyDescent="0.3">
      <c r="J16" s="3" t="s">
        <v>207</v>
      </c>
      <c r="S16" s="46" t="s">
        <v>29</v>
      </c>
      <c r="W16" s="13">
        <f>1839.59*0.003</f>
        <v>5.51877</v>
      </c>
      <c r="AA16" s="27"/>
      <c r="AB16" s="45"/>
    </row>
    <row r="17" spans="10:28" x14ac:dyDescent="0.3">
      <c r="J17" s="3" t="s">
        <v>207</v>
      </c>
      <c r="S17" s="46" t="s">
        <v>4</v>
      </c>
      <c r="W17" s="13">
        <f>1839.59*0.0064+1839.59*(0.077*Conversion_factors!C12)</f>
        <v>1003.3123860000001</v>
      </c>
      <c r="AA17" s="27" t="s">
        <v>206</v>
      </c>
      <c r="AB17" s="45"/>
    </row>
    <row r="18" spans="10:28" x14ac:dyDescent="0.3">
      <c r="J18" s="3" t="s">
        <v>207</v>
      </c>
      <c r="S18" s="46" t="s">
        <v>37</v>
      </c>
      <c r="W18" s="13">
        <f>1839.59*0.0058</f>
        <v>10.669621999999999</v>
      </c>
      <c r="AA18" s="27"/>
      <c r="AB18" s="45"/>
    </row>
    <row r="19" spans="10:28" x14ac:dyDescent="0.3">
      <c r="J19" s="3" t="s">
        <v>207</v>
      </c>
      <c r="S19" s="47" t="s">
        <v>31</v>
      </c>
      <c r="W19" s="13">
        <f>1839.59*0.0046</f>
        <v>8.4621139999999997</v>
      </c>
      <c r="AA19" s="54" t="s">
        <v>204</v>
      </c>
      <c r="AB19" s="45"/>
    </row>
    <row r="20" spans="10:28" x14ac:dyDescent="0.3">
      <c r="J20" s="3" t="s">
        <v>207</v>
      </c>
      <c r="S20" s="47" t="s">
        <v>70</v>
      </c>
      <c r="W20" s="13">
        <f>1839.59*0.0628</f>
        <v>115.52625199999999</v>
      </c>
      <c r="AA20" s="27"/>
      <c r="AB20" s="45"/>
    </row>
    <row r="21" spans="10:28" x14ac:dyDescent="0.3">
      <c r="J21" s="3" t="s">
        <v>207</v>
      </c>
      <c r="S21" s="47" t="s">
        <v>2</v>
      </c>
      <c r="W21" s="13">
        <f>1839.59*0.0267</f>
        <v>49.117052999999999</v>
      </c>
      <c r="AA21" s="27"/>
      <c r="AB21" s="45"/>
    </row>
    <row r="22" spans="10:28" x14ac:dyDescent="0.3">
      <c r="J22" s="3" t="s">
        <v>207</v>
      </c>
      <c r="S22" s="47" t="s">
        <v>5</v>
      </c>
      <c r="W22" s="13">
        <f>1839.59*0.0059</f>
        <v>10.853581</v>
      </c>
      <c r="AA22" s="27"/>
      <c r="AB22" s="45"/>
    </row>
    <row r="23" spans="10:28" x14ac:dyDescent="0.3">
      <c r="S23" s="46"/>
      <c r="W23" s="13"/>
      <c r="AA23" s="27"/>
      <c r="AB23" s="45"/>
    </row>
    <row r="24" spans="10:28" x14ac:dyDescent="0.3">
      <c r="S24" s="46" t="s">
        <v>29</v>
      </c>
      <c r="W24" s="13">
        <f>AVERAGE(W2,W9,W16)</f>
        <v>3.0258799999999995</v>
      </c>
      <c r="AA24" s="27" t="s">
        <v>146</v>
      </c>
      <c r="AB24" s="45"/>
    </row>
    <row r="25" spans="10:28" x14ac:dyDescent="0.3">
      <c r="S25" s="46" t="s">
        <v>4</v>
      </c>
      <c r="W25" s="13">
        <f t="shared" ref="W25:W30" si="0">AVERAGE(W3,W10,W17)</f>
        <v>1006.7372736666666</v>
      </c>
      <c r="AA25" s="27" t="s">
        <v>146</v>
      </c>
      <c r="AB25" s="45"/>
    </row>
    <row r="26" spans="10:28" x14ac:dyDescent="0.3">
      <c r="S26" s="46" t="s">
        <v>37</v>
      </c>
      <c r="W26" s="13">
        <f t="shared" si="0"/>
        <v>5.1232569999999997</v>
      </c>
      <c r="AA26" s="27" t="s">
        <v>146</v>
      </c>
      <c r="AB26" s="45"/>
    </row>
    <row r="27" spans="10:28" x14ac:dyDescent="0.3">
      <c r="S27" s="47" t="s">
        <v>31</v>
      </c>
      <c r="W27" s="13">
        <f t="shared" si="0"/>
        <v>3.269466</v>
      </c>
      <c r="AA27" s="27" t="s">
        <v>146</v>
      </c>
      <c r="AB27" s="45"/>
    </row>
    <row r="28" spans="10:28" x14ac:dyDescent="0.3">
      <c r="S28" s="47" t="s">
        <v>70</v>
      </c>
      <c r="W28" s="13">
        <f t="shared" si="0"/>
        <v>131.116738</v>
      </c>
      <c r="AA28" s="27" t="s">
        <v>146</v>
      </c>
      <c r="AB28" s="45"/>
    </row>
    <row r="29" spans="10:28" x14ac:dyDescent="0.3">
      <c r="S29" s="47" t="s">
        <v>2</v>
      </c>
      <c r="W29" s="13">
        <f t="shared" si="0"/>
        <v>51.211003000000005</v>
      </c>
      <c r="AA29" s="27" t="s">
        <v>146</v>
      </c>
      <c r="AB29" s="45"/>
    </row>
    <row r="30" spans="10:28" x14ac:dyDescent="0.3">
      <c r="S30" s="47" t="s">
        <v>5</v>
      </c>
      <c r="W30" s="13">
        <f t="shared" si="0"/>
        <v>12.033714666666667</v>
      </c>
      <c r="AA30" s="27" t="s">
        <v>146</v>
      </c>
      <c r="AB30" s="45"/>
    </row>
    <row r="31" spans="10:28" x14ac:dyDescent="0.3">
      <c r="S31" s="46"/>
      <c r="W31" s="13"/>
      <c r="AA31" s="27"/>
      <c r="AB31" s="45"/>
    </row>
    <row r="32" spans="10:28" x14ac:dyDescent="0.3">
      <c r="S32" s="46"/>
      <c r="W32" s="13"/>
      <c r="AA32" s="27"/>
      <c r="AB32" s="45"/>
    </row>
    <row r="33" spans="19:28" x14ac:dyDescent="0.3">
      <c r="S33" s="47"/>
      <c r="W33" s="13"/>
      <c r="AA33" s="27"/>
      <c r="AB33" s="45"/>
    </row>
    <row r="34" spans="19:28" x14ac:dyDescent="0.3">
      <c r="S34" s="47"/>
      <c r="W34" s="13"/>
      <c r="AA34" s="27"/>
      <c r="AB34" s="45"/>
    </row>
    <row r="35" spans="19:28" x14ac:dyDescent="0.3">
      <c r="S35" s="47"/>
      <c r="W35" s="13"/>
      <c r="AA35" s="27"/>
      <c r="AB35" s="45"/>
    </row>
    <row r="36" spans="19:28" x14ac:dyDescent="0.3">
      <c r="S36" s="47"/>
      <c r="W36" s="13"/>
      <c r="AA36" s="27"/>
      <c r="AB36" s="45"/>
    </row>
    <row r="37" spans="19:28" x14ac:dyDescent="0.3">
      <c r="S37" s="46"/>
      <c r="W37" s="13"/>
      <c r="AA37" s="27"/>
      <c r="AB37" s="45"/>
    </row>
    <row r="38" spans="19:28" x14ac:dyDescent="0.3">
      <c r="S38" s="46"/>
      <c r="W38" s="13"/>
      <c r="AA38" s="27"/>
      <c r="AB38" s="45"/>
    </row>
    <row r="39" spans="19:28" x14ac:dyDescent="0.3">
      <c r="S39" s="46"/>
      <c r="W39" s="13"/>
      <c r="AA39" s="27"/>
      <c r="AB39" s="45"/>
    </row>
    <row r="40" spans="19:28" x14ac:dyDescent="0.3">
      <c r="S40" s="47"/>
      <c r="W40" s="13"/>
      <c r="AA40" s="27"/>
      <c r="AB40" s="45"/>
    </row>
    <row r="41" spans="19:28" x14ac:dyDescent="0.3">
      <c r="S41" s="47"/>
      <c r="W41" s="13"/>
      <c r="AA41" s="27"/>
      <c r="AB41" s="45"/>
    </row>
    <row r="42" spans="19:28" x14ac:dyDescent="0.3">
      <c r="S42" s="47"/>
      <c r="W42" s="13"/>
      <c r="AA42" s="27"/>
      <c r="AB42" s="45"/>
    </row>
    <row r="43" spans="19:28" x14ac:dyDescent="0.3">
      <c r="S43" s="47"/>
      <c r="W43" s="13"/>
      <c r="AA43" s="27"/>
      <c r="AB43" s="45"/>
    </row>
    <row r="44" spans="19:28" x14ac:dyDescent="0.3">
      <c r="S44" s="46"/>
      <c r="W44" s="13"/>
      <c r="AA44" s="27"/>
      <c r="AB44" s="45"/>
    </row>
    <row r="45" spans="19:28" x14ac:dyDescent="0.3">
      <c r="S45" s="46"/>
      <c r="W45" s="13"/>
      <c r="AA45" s="27"/>
      <c r="AB45" s="45"/>
    </row>
    <row r="46" spans="19:28" x14ac:dyDescent="0.3">
      <c r="S46" s="46"/>
      <c r="W46" s="13"/>
      <c r="AA46" s="27"/>
      <c r="AB46" s="45"/>
    </row>
    <row r="47" spans="19:28" x14ac:dyDescent="0.3">
      <c r="S47" s="47"/>
      <c r="W47" s="13"/>
      <c r="AA47" s="27"/>
      <c r="AB47" s="45"/>
    </row>
    <row r="48" spans="19:28" x14ac:dyDescent="0.3">
      <c r="S48" s="47"/>
      <c r="W48" s="13"/>
      <c r="AA48" s="27"/>
      <c r="AB48" s="45"/>
    </row>
    <row r="49" spans="19:28" x14ac:dyDescent="0.3">
      <c r="S49" s="47"/>
      <c r="W49" s="13"/>
      <c r="AA49" s="27"/>
      <c r="AB49" s="45"/>
    </row>
    <row r="50" spans="19:28" x14ac:dyDescent="0.3">
      <c r="S50" s="47"/>
      <c r="W50" s="13"/>
      <c r="AA50" s="27"/>
      <c r="AB50" s="45"/>
    </row>
    <row r="51" spans="19:28" x14ac:dyDescent="0.3">
      <c r="S51" s="46"/>
      <c r="W51" s="13"/>
      <c r="AA51" s="27"/>
      <c r="AB51" s="45"/>
    </row>
    <row r="52" spans="19:28" x14ac:dyDescent="0.3">
      <c r="S52" s="46"/>
      <c r="W52" s="13"/>
      <c r="AA52" s="27"/>
      <c r="AB52" s="45"/>
    </row>
    <row r="53" spans="19:28" x14ac:dyDescent="0.3">
      <c r="S53" s="46"/>
      <c r="W53" s="13"/>
      <c r="AA53" s="27"/>
      <c r="AB53" s="45"/>
    </row>
    <row r="54" spans="19:28" x14ac:dyDescent="0.3">
      <c r="S54" s="47"/>
      <c r="W54" s="13"/>
      <c r="AA54" s="27"/>
      <c r="AB54" s="45"/>
    </row>
    <row r="55" spans="19:28" x14ac:dyDescent="0.3">
      <c r="S55" s="47"/>
      <c r="W55" s="13"/>
      <c r="AA55" s="27"/>
      <c r="AB55" s="45"/>
    </row>
    <row r="56" spans="19:28" x14ac:dyDescent="0.3">
      <c r="S56" s="47"/>
      <c r="W56" s="13"/>
      <c r="AA56" s="27"/>
      <c r="AB56" s="45"/>
    </row>
    <row r="57" spans="19:28" x14ac:dyDescent="0.3">
      <c r="S57" s="47"/>
      <c r="W57" s="13"/>
      <c r="AA57" s="27"/>
      <c r="AB57" s="45"/>
    </row>
    <row r="58" spans="19:28" x14ac:dyDescent="0.3">
      <c r="S58" s="46"/>
      <c r="W58" s="13"/>
      <c r="AA58" s="27"/>
      <c r="AB58" s="45"/>
    </row>
    <row r="59" spans="19:28" x14ac:dyDescent="0.3">
      <c r="S59" s="46"/>
      <c r="W59" s="13"/>
      <c r="AA59" s="27"/>
      <c r="AB59" s="45"/>
    </row>
    <row r="60" spans="19:28" x14ac:dyDescent="0.3">
      <c r="S60" s="46"/>
      <c r="W60" s="13"/>
      <c r="AA60" s="27"/>
      <c r="AB60" s="45"/>
    </row>
    <row r="61" spans="19:28" x14ac:dyDescent="0.3">
      <c r="S61" s="47"/>
      <c r="W61" s="13"/>
      <c r="AA61" s="27"/>
      <c r="AB61" s="45"/>
    </row>
    <row r="62" spans="19:28" x14ac:dyDescent="0.3">
      <c r="S62" s="47"/>
      <c r="W62" s="13"/>
      <c r="AA62" s="27"/>
      <c r="AB62" s="45"/>
    </row>
    <row r="63" spans="19:28" x14ac:dyDescent="0.3">
      <c r="S63" s="47"/>
      <c r="W63" s="13"/>
      <c r="AA63" s="27"/>
      <c r="AB63" s="45"/>
    </row>
    <row r="64" spans="19:28" x14ac:dyDescent="0.3">
      <c r="S64" s="47"/>
      <c r="W64" s="13"/>
      <c r="AA64" s="27"/>
      <c r="AB64" s="45"/>
    </row>
    <row r="65" spans="19:28" x14ac:dyDescent="0.3">
      <c r="S65" s="46"/>
      <c r="W65" s="13"/>
      <c r="AA65" s="27"/>
      <c r="AB65" s="45"/>
    </row>
    <row r="66" spans="19:28" x14ac:dyDescent="0.3">
      <c r="S66" s="46"/>
      <c r="W66" s="13"/>
      <c r="AA66" s="27"/>
      <c r="AB66" s="45"/>
    </row>
    <row r="67" spans="19:28" x14ac:dyDescent="0.3">
      <c r="S67" s="46"/>
      <c r="W67" s="13"/>
      <c r="AA67" s="27"/>
      <c r="AB67" s="45"/>
    </row>
    <row r="68" spans="19:28" x14ac:dyDescent="0.3">
      <c r="S68" s="47"/>
      <c r="W68" s="13"/>
      <c r="AA68" s="27"/>
      <c r="AB68" s="45"/>
    </row>
    <row r="69" spans="19:28" x14ac:dyDescent="0.3">
      <c r="S69" s="47"/>
      <c r="W69" s="13"/>
      <c r="AA69" s="27"/>
      <c r="AB69" s="45"/>
    </row>
    <row r="70" spans="19:28" x14ac:dyDescent="0.3">
      <c r="S70" s="47"/>
      <c r="W70" s="13"/>
      <c r="AA70" s="27"/>
      <c r="AB70" s="45"/>
    </row>
    <row r="71" spans="19:28" x14ac:dyDescent="0.3">
      <c r="S71" s="47"/>
      <c r="W71" s="13"/>
      <c r="AA71" s="27"/>
      <c r="AB71" s="45"/>
    </row>
    <row r="72" spans="19:28" x14ac:dyDescent="0.3">
      <c r="S72" s="46"/>
      <c r="W72" s="13"/>
      <c r="AA72" s="27"/>
      <c r="AB72" s="45"/>
    </row>
    <row r="73" spans="19:28" x14ac:dyDescent="0.3">
      <c r="S73" s="46"/>
      <c r="W73" s="13"/>
      <c r="AA73" s="27"/>
      <c r="AB73" s="45"/>
    </row>
    <row r="74" spans="19:28" x14ac:dyDescent="0.3">
      <c r="S74" s="46"/>
      <c r="W74" s="13"/>
      <c r="AA74" s="27"/>
      <c r="AB74" s="45"/>
    </row>
    <row r="75" spans="19:28" x14ac:dyDescent="0.3">
      <c r="S75" s="47"/>
      <c r="W75" s="13"/>
      <c r="AA75" s="27"/>
      <c r="AB75" s="45"/>
    </row>
    <row r="76" spans="19:28" x14ac:dyDescent="0.3">
      <c r="S76" s="47"/>
      <c r="W76" s="13"/>
      <c r="AA76" s="27"/>
      <c r="AB76" s="45"/>
    </row>
    <row r="77" spans="19:28" x14ac:dyDescent="0.3">
      <c r="S77" s="47"/>
      <c r="W77" s="13"/>
      <c r="AA77" s="27"/>
      <c r="AB77" s="45"/>
    </row>
    <row r="78" spans="19:28" x14ac:dyDescent="0.3">
      <c r="S78" s="47"/>
      <c r="W78" s="13"/>
      <c r="AA78" s="27"/>
      <c r="AB78" s="45"/>
    </row>
    <row r="79" spans="19:28" x14ac:dyDescent="0.3">
      <c r="S79" s="46"/>
      <c r="W79" s="13"/>
      <c r="AA79" s="27"/>
      <c r="AB79" s="45"/>
    </row>
    <row r="80" spans="19:28" x14ac:dyDescent="0.3">
      <c r="S80" s="46"/>
      <c r="W80" s="13"/>
      <c r="AA80" s="27"/>
      <c r="AB80" s="45"/>
    </row>
    <row r="81" spans="19:28" x14ac:dyDescent="0.3">
      <c r="S81" s="46"/>
      <c r="W81" s="13"/>
      <c r="AA81" s="27"/>
      <c r="AB81" s="45"/>
    </row>
    <row r="82" spans="19:28" x14ac:dyDescent="0.3">
      <c r="S82" s="47"/>
      <c r="W82" s="13"/>
      <c r="AA82" s="27"/>
      <c r="AB82" s="45"/>
    </row>
    <row r="83" spans="19:28" x14ac:dyDescent="0.3">
      <c r="S83" s="47"/>
      <c r="W83" s="13"/>
      <c r="AA83" s="27"/>
      <c r="AB83" s="45"/>
    </row>
    <row r="84" spans="19:28" x14ac:dyDescent="0.3">
      <c r="S84" s="47"/>
      <c r="W84" s="13"/>
      <c r="AA84" s="27"/>
      <c r="AB84" s="45"/>
    </row>
    <row r="85" spans="19:28" x14ac:dyDescent="0.3">
      <c r="S85" s="47"/>
      <c r="W85" s="13"/>
      <c r="AA85" s="27"/>
      <c r="AB85" s="45"/>
    </row>
    <row r="86" spans="19:28" x14ac:dyDescent="0.3">
      <c r="S86" s="46"/>
      <c r="W86" s="13"/>
      <c r="AA86" s="27"/>
      <c r="AB86" s="45"/>
    </row>
    <row r="87" spans="19:28" x14ac:dyDescent="0.3">
      <c r="S87" s="46"/>
      <c r="W87" s="13"/>
      <c r="AA87" s="27"/>
      <c r="AB87" s="45"/>
    </row>
    <row r="88" spans="19:28" x14ac:dyDescent="0.3">
      <c r="S88" s="46"/>
      <c r="W88" s="13"/>
      <c r="AA88" s="27"/>
      <c r="AB88" s="45"/>
    </row>
    <row r="89" spans="19:28" x14ac:dyDescent="0.3">
      <c r="S89" s="47"/>
      <c r="W89" s="13"/>
      <c r="AA89" s="27"/>
      <c r="AB89" s="45"/>
    </row>
    <row r="90" spans="19:28" x14ac:dyDescent="0.3">
      <c r="S90" s="47"/>
      <c r="W90" s="13"/>
      <c r="AA90" s="27"/>
      <c r="AB90" s="45"/>
    </row>
    <row r="91" spans="19:28" x14ac:dyDescent="0.3">
      <c r="S91" s="47"/>
      <c r="W91" s="13"/>
      <c r="AA91" s="27"/>
      <c r="AB91" s="45"/>
    </row>
    <row r="92" spans="19:28" x14ac:dyDescent="0.3">
      <c r="S92" s="47"/>
      <c r="W92" s="13"/>
      <c r="AA92" s="27"/>
      <c r="AB92" s="45"/>
    </row>
    <row r="93" spans="19:28" x14ac:dyDescent="0.3">
      <c r="S93" s="46"/>
      <c r="W93" s="13"/>
      <c r="AA93" s="27"/>
      <c r="AB93" s="45"/>
    </row>
    <row r="94" spans="19:28" x14ac:dyDescent="0.3">
      <c r="S94" s="46"/>
      <c r="W94" s="13"/>
      <c r="AA94" s="27"/>
      <c r="AB94" s="45"/>
    </row>
    <row r="95" spans="19:28" x14ac:dyDescent="0.3">
      <c r="S95" s="46"/>
      <c r="W95" s="13"/>
      <c r="AA95" s="27"/>
      <c r="AB95" s="45"/>
    </row>
    <row r="96" spans="19:28" x14ac:dyDescent="0.3">
      <c r="S96" s="47"/>
      <c r="W96" s="13"/>
      <c r="AA96" s="27"/>
      <c r="AB96" s="45"/>
    </row>
    <row r="97" spans="19:28" x14ac:dyDescent="0.3">
      <c r="S97" s="47"/>
      <c r="W97" s="13"/>
      <c r="AA97" s="27"/>
      <c r="AB97" s="45"/>
    </row>
    <row r="98" spans="19:28" x14ac:dyDescent="0.3">
      <c r="S98" s="47"/>
      <c r="W98" s="13"/>
      <c r="AA98" s="27"/>
      <c r="AB98" s="45"/>
    </row>
    <row r="99" spans="19:28" x14ac:dyDescent="0.3">
      <c r="S99" s="47"/>
      <c r="W99" s="13"/>
      <c r="AA99" s="27"/>
      <c r="AB99" s="45"/>
    </row>
    <row r="100" spans="19:28" x14ac:dyDescent="0.3">
      <c r="AA100" s="27"/>
    </row>
    <row r="101" spans="19:28" x14ac:dyDescent="0.3">
      <c r="AA101" s="27"/>
    </row>
    <row r="102" spans="19:28" x14ac:dyDescent="0.3">
      <c r="S102" s="46"/>
      <c r="W102" s="49"/>
      <c r="AA102" s="27"/>
    </row>
    <row r="103" spans="19:28" x14ac:dyDescent="0.3">
      <c r="S103" s="46"/>
      <c r="W103" s="49"/>
      <c r="AA103" s="27"/>
    </row>
    <row r="104" spans="19:28" x14ac:dyDescent="0.3">
      <c r="S104" s="46"/>
      <c r="W104" s="49"/>
      <c r="AA104" s="27"/>
    </row>
    <row r="105" spans="19:28" x14ac:dyDescent="0.3">
      <c r="S105" s="47"/>
      <c r="W105" s="49"/>
      <c r="AA105" s="27"/>
    </row>
    <row r="106" spans="19:28" x14ac:dyDescent="0.3">
      <c r="S106" s="47"/>
      <c r="W106" s="49"/>
      <c r="AA106" s="27"/>
    </row>
    <row r="107" spans="19:28" x14ac:dyDescent="0.3">
      <c r="S107" s="47"/>
      <c r="W107" s="49"/>
      <c r="AA107" s="27"/>
    </row>
    <row r="108" spans="19:28" x14ac:dyDescent="0.3">
      <c r="S108" s="47"/>
      <c r="W108" s="49"/>
      <c r="AA108" s="27"/>
    </row>
    <row r="109" spans="19:28" x14ac:dyDescent="0.3">
      <c r="S109" s="46"/>
      <c r="W109" s="49"/>
      <c r="AA109" s="27"/>
    </row>
    <row r="110" spans="19:28" x14ac:dyDescent="0.3">
      <c r="S110" s="46"/>
      <c r="W110" s="49"/>
      <c r="AA110" s="27"/>
    </row>
    <row r="111" spans="19:28" x14ac:dyDescent="0.3">
      <c r="S111" s="46"/>
      <c r="W111" s="49"/>
      <c r="AA111" s="27"/>
    </row>
    <row r="112" spans="19:28" x14ac:dyDescent="0.3">
      <c r="S112" s="47"/>
      <c r="W112" s="49"/>
      <c r="AA112" s="27"/>
    </row>
    <row r="113" spans="19:27" x14ac:dyDescent="0.3">
      <c r="S113" s="47"/>
      <c r="W113" s="49"/>
      <c r="AA113" s="27"/>
    </row>
    <row r="114" spans="19:27" x14ac:dyDescent="0.3">
      <c r="S114" s="47"/>
      <c r="W114" s="49"/>
      <c r="AA114" s="27"/>
    </row>
    <row r="115" spans="19:27" x14ac:dyDescent="0.3">
      <c r="S115" s="47"/>
      <c r="W115" s="49"/>
      <c r="AA115" s="27"/>
    </row>
  </sheetData>
  <hyperlinks>
    <hyperlink ref="C2" r:id="rId1" tooltip="Persistent link using digital object identifier" xr:uid="{8B0702B0-FA8D-4B84-8732-F8AAB7C3EDC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E4DC-A3B2-486C-8852-3A358972CEC6}">
  <sheetPr>
    <tabColor theme="4" tint="0.79998168889431442"/>
  </sheetPr>
  <dimension ref="A1:AA51"/>
  <sheetViews>
    <sheetView workbookViewId="0">
      <selection activeCell="C2" sqref="C2"/>
    </sheetView>
  </sheetViews>
  <sheetFormatPr defaultRowHeight="14.4" x14ac:dyDescent="0.3"/>
  <cols>
    <col min="4" max="4" width="10.88671875" customWidth="1"/>
  </cols>
  <sheetData>
    <row r="1" spans="1:27" ht="72" x14ac:dyDescent="0.3">
      <c r="A1" s="1" t="s">
        <v>25</v>
      </c>
      <c r="B1" s="1" t="s">
        <v>24</v>
      </c>
      <c r="C1" s="1" t="s">
        <v>245</v>
      </c>
      <c r="D1" s="1" t="s">
        <v>23</v>
      </c>
      <c r="E1" s="1" t="s">
        <v>22</v>
      </c>
      <c r="F1" s="1" t="s">
        <v>34</v>
      </c>
      <c r="G1" s="11" t="s">
        <v>21</v>
      </c>
      <c r="H1" s="1" t="s">
        <v>20</v>
      </c>
      <c r="I1" s="1" t="s">
        <v>19</v>
      </c>
      <c r="J1" s="1" t="s">
        <v>26</v>
      </c>
      <c r="K1" s="1" t="s">
        <v>18</v>
      </c>
      <c r="L1" s="1" t="s">
        <v>17</v>
      </c>
      <c r="M1" s="1" t="s">
        <v>16</v>
      </c>
      <c r="N1" s="1" t="s">
        <v>15</v>
      </c>
      <c r="O1" s="14" t="s">
        <v>14</v>
      </c>
      <c r="P1" s="1" t="s">
        <v>13</v>
      </c>
      <c r="Q1" s="1" t="s">
        <v>32</v>
      </c>
      <c r="R1" s="11" t="s">
        <v>33</v>
      </c>
      <c r="S1" s="9" t="s">
        <v>12</v>
      </c>
      <c r="T1" s="1" t="s">
        <v>36</v>
      </c>
      <c r="U1" s="1" t="s">
        <v>61</v>
      </c>
      <c r="V1" s="1" t="s">
        <v>11</v>
      </c>
      <c r="W1" s="9" t="s">
        <v>30</v>
      </c>
      <c r="X1" s="9" t="s">
        <v>35</v>
      </c>
      <c r="Y1" s="1" t="s">
        <v>27</v>
      </c>
      <c r="Z1" s="14" t="s">
        <v>10</v>
      </c>
      <c r="AA1" s="53" t="s">
        <v>9</v>
      </c>
    </row>
    <row r="2" spans="1:27" x14ac:dyDescent="0.3">
      <c r="B2" t="s">
        <v>212</v>
      </c>
      <c r="D2" t="s">
        <v>215</v>
      </c>
      <c r="E2" t="s">
        <v>214</v>
      </c>
      <c r="J2" t="s">
        <v>213</v>
      </c>
      <c r="S2" t="s">
        <v>218</v>
      </c>
      <c r="W2">
        <v>186</v>
      </c>
      <c r="AA2" t="s">
        <v>216</v>
      </c>
    </row>
    <row r="3" spans="1:27" x14ac:dyDescent="0.3">
      <c r="B3" t="s">
        <v>212</v>
      </c>
      <c r="D3" t="s">
        <v>215</v>
      </c>
      <c r="E3" t="s">
        <v>214</v>
      </c>
      <c r="J3" t="s">
        <v>213</v>
      </c>
      <c r="S3" t="s">
        <v>4</v>
      </c>
      <c r="W3">
        <v>898</v>
      </c>
      <c r="AA3" t="s">
        <v>216</v>
      </c>
    </row>
    <row r="4" spans="1:27" x14ac:dyDescent="0.3">
      <c r="B4" t="s">
        <v>212</v>
      </c>
      <c r="D4" t="s">
        <v>215</v>
      </c>
      <c r="E4" t="s">
        <v>214</v>
      </c>
      <c r="J4" t="s">
        <v>213</v>
      </c>
      <c r="S4" t="s">
        <v>71</v>
      </c>
      <c r="W4">
        <v>39</v>
      </c>
      <c r="AA4" t="s">
        <v>216</v>
      </c>
    </row>
    <row r="5" spans="1:27" x14ac:dyDescent="0.3">
      <c r="B5" t="s">
        <v>212</v>
      </c>
      <c r="D5" t="s">
        <v>215</v>
      </c>
      <c r="E5" t="s">
        <v>214</v>
      </c>
      <c r="J5" t="s">
        <v>213</v>
      </c>
      <c r="S5" t="s">
        <v>217</v>
      </c>
      <c r="W5">
        <v>14</v>
      </c>
      <c r="AA5" t="s">
        <v>216</v>
      </c>
    </row>
    <row r="6" spans="1:27" x14ac:dyDescent="0.3">
      <c r="B6" t="s">
        <v>212</v>
      </c>
      <c r="D6" t="s">
        <v>215</v>
      </c>
      <c r="E6" t="s">
        <v>214</v>
      </c>
      <c r="J6" t="s">
        <v>213</v>
      </c>
      <c r="S6" t="s">
        <v>5</v>
      </c>
      <c r="W6">
        <v>2</v>
      </c>
      <c r="AA6" t="s">
        <v>216</v>
      </c>
    </row>
    <row r="7" spans="1:27" x14ac:dyDescent="0.3">
      <c r="B7" t="s">
        <v>212</v>
      </c>
      <c r="D7" t="s">
        <v>215</v>
      </c>
      <c r="E7" t="s">
        <v>214</v>
      </c>
      <c r="J7" t="s">
        <v>213</v>
      </c>
      <c r="S7" t="s">
        <v>219</v>
      </c>
      <c r="W7">
        <v>19</v>
      </c>
      <c r="AA7" t="s">
        <v>216</v>
      </c>
    </row>
    <row r="8" spans="1:27" x14ac:dyDescent="0.3">
      <c r="B8" t="s">
        <v>212</v>
      </c>
      <c r="D8" t="s">
        <v>215</v>
      </c>
      <c r="E8" t="s">
        <v>214</v>
      </c>
      <c r="J8" t="s">
        <v>213</v>
      </c>
      <c r="S8" t="s">
        <v>220</v>
      </c>
      <c r="W8">
        <v>0</v>
      </c>
      <c r="AA8" t="s">
        <v>216</v>
      </c>
    </row>
    <row r="9" spans="1:27" x14ac:dyDescent="0.3">
      <c r="B9" t="s">
        <v>212</v>
      </c>
      <c r="D9" t="s">
        <v>215</v>
      </c>
      <c r="E9" t="s">
        <v>214</v>
      </c>
      <c r="J9" t="s">
        <v>213</v>
      </c>
      <c r="S9" t="s">
        <v>222</v>
      </c>
      <c r="W9">
        <v>1</v>
      </c>
      <c r="AA9" t="s">
        <v>216</v>
      </c>
    </row>
    <row r="10" spans="1:27" x14ac:dyDescent="0.3">
      <c r="B10" t="s">
        <v>212</v>
      </c>
      <c r="D10" t="s">
        <v>215</v>
      </c>
      <c r="E10" t="s">
        <v>214</v>
      </c>
      <c r="J10" t="s">
        <v>213</v>
      </c>
      <c r="S10" t="s">
        <v>223</v>
      </c>
      <c r="W10">
        <v>554</v>
      </c>
      <c r="AA10" t="s">
        <v>216</v>
      </c>
    </row>
    <row r="11" spans="1:27" x14ac:dyDescent="0.3">
      <c r="B11" t="s">
        <v>212</v>
      </c>
      <c r="D11" t="s">
        <v>215</v>
      </c>
      <c r="E11" t="s">
        <v>214</v>
      </c>
      <c r="J11" t="s">
        <v>213</v>
      </c>
      <c r="S11" t="s">
        <v>221</v>
      </c>
      <c r="W11">
        <v>156</v>
      </c>
      <c r="AA11" t="s">
        <v>216</v>
      </c>
    </row>
    <row r="12" spans="1:27" x14ac:dyDescent="0.3">
      <c r="B12" t="s">
        <v>212</v>
      </c>
      <c r="D12" t="s">
        <v>225</v>
      </c>
      <c r="E12" t="s">
        <v>214</v>
      </c>
      <c r="J12" t="s">
        <v>224</v>
      </c>
      <c r="S12" t="s">
        <v>218</v>
      </c>
      <c r="W12">
        <v>239</v>
      </c>
      <c r="AA12" t="s">
        <v>216</v>
      </c>
    </row>
    <row r="13" spans="1:27" x14ac:dyDescent="0.3">
      <c r="B13" t="s">
        <v>212</v>
      </c>
      <c r="D13" t="s">
        <v>225</v>
      </c>
      <c r="E13" t="s">
        <v>214</v>
      </c>
      <c r="J13" t="s">
        <v>224</v>
      </c>
      <c r="S13" t="s">
        <v>4</v>
      </c>
      <c r="W13">
        <v>1200</v>
      </c>
      <c r="AA13" t="s">
        <v>216</v>
      </c>
    </row>
    <row r="14" spans="1:27" x14ac:dyDescent="0.3">
      <c r="B14" t="s">
        <v>212</v>
      </c>
      <c r="D14" t="s">
        <v>225</v>
      </c>
      <c r="E14" t="s">
        <v>214</v>
      </c>
      <c r="J14" t="s">
        <v>224</v>
      </c>
      <c r="S14" t="s">
        <v>71</v>
      </c>
      <c r="W14">
        <v>313</v>
      </c>
      <c r="AA14" t="s">
        <v>216</v>
      </c>
    </row>
    <row r="15" spans="1:27" x14ac:dyDescent="0.3">
      <c r="B15" t="s">
        <v>212</v>
      </c>
      <c r="D15" t="s">
        <v>225</v>
      </c>
      <c r="E15" t="s">
        <v>214</v>
      </c>
      <c r="J15" t="s">
        <v>224</v>
      </c>
      <c r="S15" t="s">
        <v>217</v>
      </c>
      <c r="W15">
        <v>19</v>
      </c>
      <c r="AA15" t="s">
        <v>216</v>
      </c>
    </row>
    <row r="16" spans="1:27" x14ac:dyDescent="0.3">
      <c r="B16" t="s">
        <v>212</v>
      </c>
      <c r="D16" t="s">
        <v>225</v>
      </c>
      <c r="E16" t="s">
        <v>214</v>
      </c>
      <c r="J16" t="s">
        <v>224</v>
      </c>
      <c r="S16" t="s">
        <v>5</v>
      </c>
      <c r="W16">
        <v>29</v>
      </c>
      <c r="AA16" t="s">
        <v>216</v>
      </c>
    </row>
    <row r="17" spans="2:27" x14ac:dyDescent="0.3">
      <c r="B17" t="s">
        <v>212</v>
      </c>
      <c r="D17" t="s">
        <v>225</v>
      </c>
      <c r="E17" t="s">
        <v>214</v>
      </c>
      <c r="J17" t="s">
        <v>224</v>
      </c>
      <c r="S17" t="s">
        <v>219</v>
      </c>
      <c r="W17">
        <v>40</v>
      </c>
      <c r="AA17" t="s">
        <v>216</v>
      </c>
    </row>
    <row r="18" spans="2:27" x14ac:dyDescent="0.3">
      <c r="B18" t="s">
        <v>212</v>
      </c>
      <c r="D18" t="s">
        <v>225</v>
      </c>
      <c r="E18" t="s">
        <v>214</v>
      </c>
      <c r="J18" t="s">
        <v>224</v>
      </c>
      <c r="S18" t="s">
        <v>220</v>
      </c>
      <c r="W18">
        <v>12</v>
      </c>
      <c r="AA18" t="s">
        <v>216</v>
      </c>
    </row>
    <row r="19" spans="2:27" x14ac:dyDescent="0.3">
      <c r="B19" t="s">
        <v>212</v>
      </c>
      <c r="D19" t="s">
        <v>225</v>
      </c>
      <c r="E19" t="s">
        <v>214</v>
      </c>
      <c r="J19" t="s">
        <v>224</v>
      </c>
      <c r="S19" t="s">
        <v>222</v>
      </c>
      <c r="W19">
        <v>3</v>
      </c>
      <c r="AA19" t="s">
        <v>216</v>
      </c>
    </row>
    <row r="20" spans="2:27" x14ac:dyDescent="0.3">
      <c r="B20" t="s">
        <v>212</v>
      </c>
      <c r="D20" t="s">
        <v>225</v>
      </c>
      <c r="E20" t="s">
        <v>214</v>
      </c>
      <c r="J20" t="s">
        <v>224</v>
      </c>
      <c r="S20" t="s">
        <v>223</v>
      </c>
      <c r="W20">
        <v>673</v>
      </c>
      <c r="AA20" t="s">
        <v>216</v>
      </c>
    </row>
    <row r="21" spans="2:27" x14ac:dyDescent="0.3">
      <c r="B21" t="s">
        <v>212</v>
      </c>
      <c r="D21" t="s">
        <v>225</v>
      </c>
      <c r="E21" t="s">
        <v>214</v>
      </c>
      <c r="J21" t="s">
        <v>224</v>
      </c>
      <c r="S21" t="s">
        <v>221</v>
      </c>
      <c r="W21">
        <v>133</v>
      </c>
      <c r="AA21" t="s">
        <v>216</v>
      </c>
    </row>
    <row r="22" spans="2:27" x14ac:dyDescent="0.3">
      <c r="B22" t="s">
        <v>212</v>
      </c>
      <c r="D22" t="s">
        <v>226</v>
      </c>
      <c r="E22" t="s">
        <v>214</v>
      </c>
      <c r="J22" t="s">
        <v>227</v>
      </c>
      <c r="S22" t="s">
        <v>218</v>
      </c>
      <c r="W22">
        <v>169</v>
      </c>
      <c r="AA22" t="s">
        <v>216</v>
      </c>
    </row>
    <row r="23" spans="2:27" x14ac:dyDescent="0.3">
      <c r="B23" t="s">
        <v>212</v>
      </c>
      <c r="D23" t="s">
        <v>226</v>
      </c>
      <c r="E23" t="s">
        <v>214</v>
      </c>
      <c r="J23" t="s">
        <v>227</v>
      </c>
      <c r="S23" t="s">
        <v>4</v>
      </c>
      <c r="W23">
        <v>1120</v>
      </c>
      <c r="AA23" t="s">
        <v>216</v>
      </c>
    </row>
    <row r="24" spans="2:27" x14ac:dyDescent="0.3">
      <c r="B24" t="s">
        <v>212</v>
      </c>
      <c r="D24" t="s">
        <v>226</v>
      </c>
      <c r="E24" t="s">
        <v>214</v>
      </c>
      <c r="J24" t="s">
        <v>227</v>
      </c>
      <c r="S24" t="s">
        <v>71</v>
      </c>
      <c r="W24">
        <v>95</v>
      </c>
      <c r="AA24" t="s">
        <v>216</v>
      </c>
    </row>
    <row r="25" spans="2:27" x14ac:dyDescent="0.3">
      <c r="B25" t="s">
        <v>212</v>
      </c>
      <c r="D25" t="s">
        <v>226</v>
      </c>
      <c r="E25" t="s">
        <v>214</v>
      </c>
      <c r="J25" t="s">
        <v>227</v>
      </c>
      <c r="S25" t="s">
        <v>217</v>
      </c>
      <c r="W25">
        <v>6</v>
      </c>
      <c r="AA25" t="s">
        <v>216</v>
      </c>
    </row>
    <row r="26" spans="2:27" x14ac:dyDescent="0.3">
      <c r="B26" t="s">
        <v>212</v>
      </c>
      <c r="D26" t="s">
        <v>226</v>
      </c>
      <c r="E26" t="s">
        <v>214</v>
      </c>
      <c r="J26" t="s">
        <v>227</v>
      </c>
      <c r="S26" t="s">
        <v>5</v>
      </c>
      <c r="W26">
        <v>20</v>
      </c>
      <c r="AA26" t="s">
        <v>216</v>
      </c>
    </row>
    <row r="27" spans="2:27" x14ac:dyDescent="0.3">
      <c r="B27" t="s">
        <v>212</v>
      </c>
      <c r="D27" t="s">
        <v>226</v>
      </c>
      <c r="E27" t="s">
        <v>214</v>
      </c>
      <c r="J27" t="s">
        <v>227</v>
      </c>
      <c r="S27" t="s">
        <v>219</v>
      </c>
      <c r="W27">
        <v>25</v>
      </c>
      <c r="AA27" t="s">
        <v>216</v>
      </c>
    </row>
    <row r="28" spans="2:27" x14ac:dyDescent="0.3">
      <c r="B28" t="s">
        <v>212</v>
      </c>
      <c r="D28" t="s">
        <v>226</v>
      </c>
      <c r="E28" t="s">
        <v>214</v>
      </c>
      <c r="J28" t="s">
        <v>227</v>
      </c>
      <c r="S28" t="s">
        <v>220</v>
      </c>
      <c r="W28">
        <v>12</v>
      </c>
      <c r="AA28" t="s">
        <v>216</v>
      </c>
    </row>
    <row r="29" spans="2:27" x14ac:dyDescent="0.3">
      <c r="B29" t="s">
        <v>212</v>
      </c>
      <c r="D29" t="s">
        <v>226</v>
      </c>
      <c r="E29" t="s">
        <v>214</v>
      </c>
      <c r="J29" t="s">
        <v>227</v>
      </c>
      <c r="S29" t="s">
        <v>222</v>
      </c>
      <c r="W29">
        <v>1</v>
      </c>
      <c r="AA29" t="s">
        <v>216</v>
      </c>
    </row>
    <row r="30" spans="2:27" x14ac:dyDescent="0.3">
      <c r="B30" t="s">
        <v>212</v>
      </c>
      <c r="D30" t="s">
        <v>226</v>
      </c>
      <c r="E30" t="s">
        <v>214</v>
      </c>
      <c r="J30" t="s">
        <v>227</v>
      </c>
      <c r="S30" t="s">
        <v>223</v>
      </c>
      <c r="W30">
        <v>658</v>
      </c>
      <c r="AA30" t="s">
        <v>216</v>
      </c>
    </row>
    <row r="31" spans="2:27" x14ac:dyDescent="0.3">
      <c r="B31" t="s">
        <v>212</v>
      </c>
      <c r="D31" t="s">
        <v>226</v>
      </c>
      <c r="E31" t="s">
        <v>214</v>
      </c>
      <c r="J31" t="s">
        <v>227</v>
      </c>
      <c r="S31" t="s">
        <v>221</v>
      </c>
      <c r="W31">
        <v>104</v>
      </c>
      <c r="AA31" t="s">
        <v>216</v>
      </c>
    </row>
    <row r="32" spans="2:27" x14ac:dyDescent="0.3">
      <c r="B32" t="s">
        <v>212</v>
      </c>
      <c r="D32" t="s">
        <v>228</v>
      </c>
      <c r="E32" t="s">
        <v>214</v>
      </c>
      <c r="J32" t="s">
        <v>229</v>
      </c>
      <c r="S32" t="s">
        <v>218</v>
      </c>
      <c r="W32">
        <v>189</v>
      </c>
      <c r="AA32" t="s">
        <v>216</v>
      </c>
    </row>
    <row r="33" spans="2:27" x14ac:dyDescent="0.3">
      <c r="B33" t="s">
        <v>212</v>
      </c>
      <c r="D33" t="s">
        <v>228</v>
      </c>
      <c r="E33" t="s">
        <v>214</v>
      </c>
      <c r="J33" t="s">
        <v>229</v>
      </c>
      <c r="S33" t="s">
        <v>4</v>
      </c>
      <c r="W33">
        <v>873</v>
      </c>
      <c r="AA33" t="s">
        <v>216</v>
      </c>
    </row>
    <row r="34" spans="2:27" x14ac:dyDescent="0.3">
      <c r="B34" t="s">
        <v>212</v>
      </c>
      <c r="D34" t="s">
        <v>228</v>
      </c>
      <c r="E34" t="s">
        <v>214</v>
      </c>
      <c r="J34" t="s">
        <v>229</v>
      </c>
      <c r="S34" t="s">
        <v>71</v>
      </c>
      <c r="W34">
        <v>343</v>
      </c>
      <c r="AA34" t="s">
        <v>216</v>
      </c>
    </row>
    <row r="35" spans="2:27" x14ac:dyDescent="0.3">
      <c r="B35" t="s">
        <v>212</v>
      </c>
      <c r="D35" t="s">
        <v>228</v>
      </c>
      <c r="E35" t="s">
        <v>214</v>
      </c>
      <c r="J35" t="s">
        <v>229</v>
      </c>
      <c r="S35" t="s">
        <v>217</v>
      </c>
      <c r="W35">
        <v>19</v>
      </c>
      <c r="AA35" t="s">
        <v>216</v>
      </c>
    </row>
    <row r="36" spans="2:27" x14ac:dyDescent="0.3">
      <c r="B36" t="s">
        <v>212</v>
      </c>
      <c r="D36" t="s">
        <v>228</v>
      </c>
      <c r="E36" t="s">
        <v>214</v>
      </c>
      <c r="J36" t="s">
        <v>229</v>
      </c>
      <c r="S36" t="s">
        <v>5</v>
      </c>
      <c r="W36">
        <v>22</v>
      </c>
      <c r="AA36" t="s">
        <v>216</v>
      </c>
    </row>
    <row r="37" spans="2:27" x14ac:dyDescent="0.3">
      <c r="B37" t="s">
        <v>212</v>
      </c>
      <c r="D37" t="s">
        <v>228</v>
      </c>
      <c r="E37" t="s">
        <v>214</v>
      </c>
      <c r="J37" t="s">
        <v>229</v>
      </c>
      <c r="S37" t="s">
        <v>219</v>
      </c>
      <c r="W37">
        <v>31</v>
      </c>
      <c r="AA37" t="s">
        <v>216</v>
      </c>
    </row>
    <row r="38" spans="2:27" x14ac:dyDescent="0.3">
      <c r="B38" t="s">
        <v>212</v>
      </c>
      <c r="D38" t="s">
        <v>228</v>
      </c>
      <c r="E38" t="s">
        <v>214</v>
      </c>
      <c r="J38" t="s">
        <v>229</v>
      </c>
      <c r="S38" t="s">
        <v>220</v>
      </c>
      <c r="W38">
        <v>5</v>
      </c>
      <c r="AA38" t="s">
        <v>216</v>
      </c>
    </row>
    <row r="39" spans="2:27" x14ac:dyDescent="0.3">
      <c r="B39" t="s">
        <v>212</v>
      </c>
      <c r="D39" t="s">
        <v>228</v>
      </c>
      <c r="E39" t="s">
        <v>214</v>
      </c>
      <c r="J39" t="s">
        <v>229</v>
      </c>
      <c r="S39" t="s">
        <v>222</v>
      </c>
      <c r="W39">
        <v>2</v>
      </c>
      <c r="AA39" t="s">
        <v>216</v>
      </c>
    </row>
    <row r="40" spans="2:27" x14ac:dyDescent="0.3">
      <c r="B40" t="s">
        <v>212</v>
      </c>
      <c r="D40" t="s">
        <v>228</v>
      </c>
      <c r="E40" t="s">
        <v>214</v>
      </c>
      <c r="J40" t="s">
        <v>229</v>
      </c>
      <c r="S40" t="s">
        <v>223</v>
      </c>
      <c r="W40">
        <v>136</v>
      </c>
      <c r="AA40" t="s">
        <v>216</v>
      </c>
    </row>
    <row r="41" spans="2:27" x14ac:dyDescent="0.3">
      <c r="B41" t="s">
        <v>212</v>
      </c>
      <c r="D41" t="s">
        <v>228</v>
      </c>
      <c r="E41" t="s">
        <v>214</v>
      </c>
      <c r="J41" t="s">
        <v>229</v>
      </c>
      <c r="S41" t="s">
        <v>221</v>
      </c>
      <c r="W41">
        <v>91</v>
      </c>
      <c r="AA41" t="s">
        <v>216</v>
      </c>
    </row>
    <row r="42" spans="2:27" x14ac:dyDescent="0.3">
      <c r="B42" t="s">
        <v>212</v>
      </c>
      <c r="D42" t="s">
        <v>231</v>
      </c>
      <c r="E42" t="s">
        <v>214</v>
      </c>
      <c r="J42" t="s">
        <v>230</v>
      </c>
      <c r="S42" t="s">
        <v>218</v>
      </c>
      <c r="W42">
        <v>275</v>
      </c>
      <c r="AA42" t="s">
        <v>216</v>
      </c>
    </row>
    <row r="43" spans="2:27" x14ac:dyDescent="0.3">
      <c r="B43" t="s">
        <v>212</v>
      </c>
      <c r="D43" t="s">
        <v>231</v>
      </c>
      <c r="E43" t="s">
        <v>214</v>
      </c>
      <c r="J43" t="s">
        <v>230</v>
      </c>
      <c r="S43" t="s">
        <v>4</v>
      </c>
      <c r="W43">
        <v>1073</v>
      </c>
      <c r="AA43" t="s">
        <v>216</v>
      </c>
    </row>
    <row r="44" spans="2:27" x14ac:dyDescent="0.3">
      <c r="B44" t="s">
        <v>212</v>
      </c>
      <c r="D44" t="s">
        <v>231</v>
      </c>
      <c r="E44" t="s">
        <v>214</v>
      </c>
      <c r="J44" t="s">
        <v>230</v>
      </c>
      <c r="S44" t="s">
        <v>71</v>
      </c>
      <c r="W44">
        <v>431</v>
      </c>
      <c r="AA44" t="s">
        <v>216</v>
      </c>
    </row>
    <row r="45" spans="2:27" x14ac:dyDescent="0.3">
      <c r="B45" t="s">
        <v>212</v>
      </c>
      <c r="D45" t="s">
        <v>231</v>
      </c>
      <c r="E45" t="s">
        <v>214</v>
      </c>
      <c r="J45" t="s">
        <v>230</v>
      </c>
      <c r="S45" t="s">
        <v>217</v>
      </c>
      <c r="W45">
        <v>21</v>
      </c>
      <c r="AA45" t="s">
        <v>216</v>
      </c>
    </row>
    <row r="46" spans="2:27" x14ac:dyDescent="0.3">
      <c r="B46" t="s">
        <v>212</v>
      </c>
      <c r="D46" t="s">
        <v>231</v>
      </c>
      <c r="E46" t="s">
        <v>214</v>
      </c>
      <c r="J46" t="s">
        <v>230</v>
      </c>
      <c r="S46" t="s">
        <v>5</v>
      </c>
      <c r="W46">
        <v>25</v>
      </c>
      <c r="AA46" t="s">
        <v>216</v>
      </c>
    </row>
    <row r="47" spans="2:27" x14ac:dyDescent="0.3">
      <c r="B47" t="s">
        <v>212</v>
      </c>
      <c r="D47" t="s">
        <v>231</v>
      </c>
      <c r="E47" t="s">
        <v>214</v>
      </c>
      <c r="J47" t="s">
        <v>230</v>
      </c>
      <c r="S47" t="s">
        <v>219</v>
      </c>
      <c r="W47">
        <v>34</v>
      </c>
      <c r="AA47" t="s">
        <v>216</v>
      </c>
    </row>
    <row r="48" spans="2:27" x14ac:dyDescent="0.3">
      <c r="B48" t="s">
        <v>212</v>
      </c>
      <c r="D48" t="s">
        <v>231</v>
      </c>
      <c r="E48" t="s">
        <v>214</v>
      </c>
      <c r="J48" t="s">
        <v>230</v>
      </c>
      <c r="S48" t="s">
        <v>220</v>
      </c>
      <c r="W48">
        <v>6</v>
      </c>
      <c r="AA48" t="s">
        <v>216</v>
      </c>
    </row>
    <row r="49" spans="2:27" x14ac:dyDescent="0.3">
      <c r="B49" t="s">
        <v>212</v>
      </c>
      <c r="D49" t="s">
        <v>231</v>
      </c>
      <c r="E49" t="s">
        <v>214</v>
      </c>
      <c r="J49" t="s">
        <v>230</v>
      </c>
      <c r="S49" t="s">
        <v>222</v>
      </c>
      <c r="W49">
        <v>1</v>
      </c>
      <c r="AA49" t="s">
        <v>216</v>
      </c>
    </row>
    <row r="50" spans="2:27" x14ac:dyDescent="0.3">
      <c r="B50" t="s">
        <v>212</v>
      </c>
      <c r="D50" t="s">
        <v>231</v>
      </c>
      <c r="E50" t="s">
        <v>214</v>
      </c>
      <c r="J50" t="s">
        <v>230</v>
      </c>
      <c r="S50" t="s">
        <v>223</v>
      </c>
      <c r="W50">
        <v>280</v>
      </c>
      <c r="AA50" t="s">
        <v>216</v>
      </c>
    </row>
    <row r="51" spans="2:27" x14ac:dyDescent="0.3">
      <c r="B51" t="s">
        <v>212</v>
      </c>
      <c r="D51" t="s">
        <v>231</v>
      </c>
      <c r="E51" t="s">
        <v>214</v>
      </c>
      <c r="J51" t="s">
        <v>230</v>
      </c>
      <c r="S51" t="s">
        <v>221</v>
      </c>
      <c r="W51">
        <v>122</v>
      </c>
      <c r="AA51" t="s">
        <v>216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08F3-DC6B-488B-AF52-C00372061B48}">
  <sheetPr>
    <tabColor theme="4" tint="0.79998168889431442"/>
  </sheetPr>
  <dimension ref="A1:AA5"/>
  <sheetViews>
    <sheetView workbookViewId="0">
      <selection activeCell="E4" sqref="E4"/>
    </sheetView>
  </sheetViews>
  <sheetFormatPr defaultRowHeight="14.4" x14ac:dyDescent="0.3"/>
  <cols>
    <col min="4" max="4" width="10.88671875" customWidth="1"/>
  </cols>
  <sheetData>
    <row r="1" spans="1:27" ht="72" x14ac:dyDescent="0.3">
      <c r="A1" s="1" t="s">
        <v>25</v>
      </c>
      <c r="B1" s="1" t="s">
        <v>24</v>
      </c>
      <c r="C1" s="1" t="s">
        <v>245</v>
      </c>
      <c r="D1" s="1" t="s">
        <v>23</v>
      </c>
      <c r="E1" s="1" t="s">
        <v>22</v>
      </c>
      <c r="F1" s="1" t="s">
        <v>34</v>
      </c>
      <c r="G1" s="11" t="s">
        <v>21</v>
      </c>
      <c r="H1" s="1" t="s">
        <v>20</v>
      </c>
      <c r="I1" s="1" t="s">
        <v>19</v>
      </c>
      <c r="J1" s="1" t="s">
        <v>26</v>
      </c>
      <c r="K1" s="1" t="s">
        <v>18</v>
      </c>
      <c r="L1" s="1" t="s">
        <v>17</v>
      </c>
      <c r="M1" s="1" t="s">
        <v>16</v>
      </c>
      <c r="N1" s="1" t="s">
        <v>15</v>
      </c>
      <c r="O1" s="14" t="s">
        <v>14</v>
      </c>
      <c r="P1" s="1" t="s">
        <v>13</v>
      </c>
      <c r="Q1" s="1" t="s">
        <v>32</v>
      </c>
      <c r="R1" s="11" t="s">
        <v>33</v>
      </c>
      <c r="S1" s="9" t="s">
        <v>12</v>
      </c>
      <c r="T1" s="1" t="s">
        <v>36</v>
      </c>
      <c r="U1" s="1" t="s">
        <v>61</v>
      </c>
      <c r="V1" s="1" t="s">
        <v>11</v>
      </c>
      <c r="W1" s="9" t="s">
        <v>30</v>
      </c>
      <c r="X1" s="9" t="s">
        <v>35</v>
      </c>
      <c r="Y1" s="1" t="s">
        <v>27</v>
      </c>
      <c r="Z1" s="14" t="s">
        <v>10</v>
      </c>
      <c r="AA1" s="53" t="s">
        <v>9</v>
      </c>
    </row>
    <row r="2" spans="1:27" x14ac:dyDescent="0.3">
      <c r="B2" t="s">
        <v>235</v>
      </c>
      <c r="C2" s="52" t="s">
        <v>255</v>
      </c>
      <c r="D2" t="s">
        <v>237</v>
      </c>
      <c r="E2" t="s">
        <v>236</v>
      </c>
      <c r="G2" t="s">
        <v>3</v>
      </c>
      <c r="S2" t="s">
        <v>71</v>
      </c>
      <c r="W2">
        <v>73</v>
      </c>
      <c r="AA2" t="s">
        <v>238</v>
      </c>
    </row>
    <row r="3" spans="1:27" x14ac:dyDescent="0.3">
      <c r="S3" t="s">
        <v>4</v>
      </c>
      <c r="W3">
        <f>234+234+234</f>
        <v>702</v>
      </c>
      <c r="AA3" t="s">
        <v>239</v>
      </c>
    </row>
    <row r="4" spans="1:27" x14ac:dyDescent="0.3">
      <c r="S4" t="s">
        <v>37</v>
      </c>
      <c r="W4">
        <v>31</v>
      </c>
      <c r="AA4" t="s">
        <v>238</v>
      </c>
    </row>
    <row r="5" spans="1:27" x14ac:dyDescent="0.3">
      <c r="S5" t="s">
        <v>2</v>
      </c>
      <c r="W5">
        <v>40</v>
      </c>
      <c r="AA5" t="s">
        <v>244</v>
      </c>
    </row>
  </sheetData>
  <hyperlinks>
    <hyperlink ref="C2" r:id="rId1" xr:uid="{D8DACC1A-5FAC-41FA-A268-6587B5D5606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2"/>
  <sheetViews>
    <sheetView workbookViewId="0">
      <selection activeCell="B14" sqref="B14"/>
    </sheetView>
  </sheetViews>
  <sheetFormatPr defaultRowHeight="14.4" x14ac:dyDescent="0.3"/>
  <cols>
    <col min="2" max="2" width="24.44140625" customWidth="1"/>
  </cols>
  <sheetData>
    <row r="1" spans="1:27" x14ac:dyDescent="0.3">
      <c r="A1" t="s">
        <v>74</v>
      </c>
      <c r="C1">
        <v>1.3080000000000001</v>
      </c>
    </row>
    <row r="2" spans="1:27" x14ac:dyDescent="0.3">
      <c r="A2" t="s">
        <v>75</v>
      </c>
      <c r="C2">
        <v>9.2903040000000006E-2</v>
      </c>
    </row>
    <row r="3" spans="1:27" x14ac:dyDescent="0.3">
      <c r="A3" t="s">
        <v>78</v>
      </c>
      <c r="C3">
        <f>6.55*(4.5*C4)</f>
        <v>13.369635105750001</v>
      </c>
      <c r="E3" t="s">
        <v>76</v>
      </c>
    </row>
    <row r="4" spans="1:27" x14ac:dyDescent="0.3">
      <c r="A4" t="s">
        <v>77</v>
      </c>
      <c r="C4">
        <v>0.45359237000000002</v>
      </c>
    </row>
    <row r="5" spans="1:27" x14ac:dyDescent="0.3">
      <c r="A5" t="s">
        <v>80</v>
      </c>
      <c r="C5">
        <v>10</v>
      </c>
      <c r="E5" t="s">
        <v>81</v>
      </c>
    </row>
    <row r="6" spans="1:27" x14ac:dyDescent="0.3">
      <c r="A6" t="s">
        <v>84</v>
      </c>
      <c r="C6">
        <v>10</v>
      </c>
      <c r="E6" s="52" t="s">
        <v>85</v>
      </c>
    </row>
    <row r="7" spans="1:27" x14ac:dyDescent="0.3">
      <c r="A7" t="s">
        <v>86</v>
      </c>
      <c r="C7" s="28">
        <f>27*C4</f>
        <v>12.24699399</v>
      </c>
      <c r="E7" t="s">
        <v>198</v>
      </c>
    </row>
    <row r="8" spans="1:27" x14ac:dyDescent="0.3">
      <c r="A8" t="s">
        <v>89</v>
      </c>
      <c r="C8">
        <v>3.6619999999999999</v>
      </c>
      <c r="E8" t="s">
        <v>91</v>
      </c>
      <c r="G8" s="52" t="s">
        <v>90</v>
      </c>
    </row>
    <row r="9" spans="1:27" x14ac:dyDescent="0.3">
      <c r="A9" t="s">
        <v>72</v>
      </c>
      <c r="C9">
        <v>2.8316846600000001E-2</v>
      </c>
    </row>
    <row r="10" spans="1:27" x14ac:dyDescent="0.3">
      <c r="A10" t="s">
        <v>94</v>
      </c>
      <c r="C10">
        <f>1/0.612</f>
        <v>1.6339869281045751</v>
      </c>
      <c r="E10" t="s">
        <v>95</v>
      </c>
    </row>
    <row r="11" spans="1:27" x14ac:dyDescent="0.3">
      <c r="A11" t="s">
        <v>98</v>
      </c>
      <c r="C11">
        <f>(3.4*Z11)*C2</f>
        <v>18.070385354691076</v>
      </c>
      <c r="E11" t="s">
        <v>99</v>
      </c>
      <c r="V11" t="s">
        <v>100</v>
      </c>
      <c r="W11">
        <f>0.23*0.076</f>
        <v>1.7479999999999999E-2</v>
      </c>
      <c r="X11" t="s">
        <v>101</v>
      </c>
      <c r="Z11" s="29">
        <f>1/W11</f>
        <v>57.208237986270028</v>
      </c>
      <c r="AA11" t="s">
        <v>102</v>
      </c>
    </row>
    <row r="12" spans="1:27" x14ac:dyDescent="0.3">
      <c r="A12" t="s">
        <v>208</v>
      </c>
      <c r="C12">
        <v>7</v>
      </c>
      <c r="E12" t="s">
        <v>210</v>
      </c>
      <c r="J12" t="s">
        <v>209</v>
      </c>
    </row>
  </sheetData>
  <hyperlinks>
    <hyperlink ref="E6" r:id="rId1" xr:uid="{00000000-0004-0000-0C00-000000000000}"/>
    <hyperlink ref="G8" r:id="rId2" xr:uid="{00000000-0004-0000-0C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55"/>
  <sheetViews>
    <sheetView topLeftCell="A7" workbookViewId="0">
      <selection activeCell="Z8" sqref="Z8"/>
    </sheetView>
  </sheetViews>
  <sheetFormatPr defaultRowHeight="14.4" x14ac:dyDescent="0.3"/>
  <cols>
    <col min="2" max="2" width="37.33203125" customWidth="1"/>
    <col min="18" max="18" width="18.5546875" customWidth="1"/>
  </cols>
  <sheetData>
    <row r="1" spans="1:28" x14ac:dyDescent="0.3">
      <c r="A1" t="s">
        <v>151</v>
      </c>
    </row>
    <row r="3" spans="1:28" x14ac:dyDescent="0.3">
      <c r="F3" t="s">
        <v>152</v>
      </c>
    </row>
    <row r="5" spans="1:28" x14ac:dyDescent="0.3">
      <c r="A5" s="39" t="s">
        <v>153</v>
      </c>
      <c r="B5" s="40"/>
      <c r="C5" s="39" t="s">
        <v>0</v>
      </c>
      <c r="D5" s="39" t="s">
        <v>154</v>
      </c>
      <c r="E5" s="39" t="s">
        <v>155</v>
      </c>
      <c r="F5" s="39" t="s">
        <v>156</v>
      </c>
      <c r="G5" s="39"/>
      <c r="H5" s="39"/>
      <c r="I5" s="39" t="s">
        <v>157</v>
      </c>
      <c r="J5" s="39"/>
      <c r="K5" s="39" t="s">
        <v>158</v>
      </c>
      <c r="L5" s="39"/>
      <c r="M5" s="39"/>
      <c r="N5" s="39"/>
      <c r="O5" s="39"/>
      <c r="P5" s="39"/>
      <c r="Q5" s="39" t="s">
        <v>159</v>
      </c>
      <c r="R5" s="40"/>
    </row>
    <row r="6" spans="1:28" x14ac:dyDescent="0.3">
      <c r="A6" t="s">
        <v>160</v>
      </c>
      <c r="C6">
        <v>10</v>
      </c>
      <c r="F6">
        <v>50</v>
      </c>
      <c r="I6">
        <f>C6</f>
        <v>10</v>
      </c>
      <c r="K6">
        <f t="shared" ref="K6:K17" si="0">I6*(F6/50)</f>
        <v>10</v>
      </c>
      <c r="M6" t="s">
        <v>2</v>
      </c>
    </row>
    <row r="7" spans="1:28" x14ac:dyDescent="0.3">
      <c r="A7" t="s">
        <v>161</v>
      </c>
      <c r="C7">
        <v>3.2</v>
      </c>
      <c r="F7">
        <v>30</v>
      </c>
      <c r="I7">
        <f>C7</f>
        <v>3.2</v>
      </c>
      <c r="K7">
        <f t="shared" si="0"/>
        <v>1.92</v>
      </c>
      <c r="M7" t="s">
        <v>2</v>
      </c>
    </row>
    <row r="8" spans="1:28" x14ac:dyDescent="0.3">
      <c r="A8" t="s">
        <v>162</v>
      </c>
      <c r="C8">
        <v>3</v>
      </c>
      <c r="F8">
        <v>20</v>
      </c>
      <c r="I8">
        <f>C8</f>
        <v>3</v>
      </c>
      <c r="K8">
        <f t="shared" si="0"/>
        <v>1.2000000000000002</v>
      </c>
      <c r="M8" t="s">
        <v>29</v>
      </c>
    </row>
    <row r="9" spans="1:28" x14ac:dyDescent="0.3">
      <c r="A9" t="s">
        <v>163</v>
      </c>
      <c r="C9">
        <v>4.5</v>
      </c>
      <c r="F9">
        <v>20</v>
      </c>
      <c r="I9">
        <f>C9</f>
        <v>4.5</v>
      </c>
      <c r="K9">
        <f t="shared" si="0"/>
        <v>1.8</v>
      </c>
      <c r="M9" t="s">
        <v>37</v>
      </c>
    </row>
    <row r="10" spans="1:28" x14ac:dyDescent="0.3">
      <c r="A10" t="s">
        <v>164</v>
      </c>
      <c r="E10" s="41">
        <v>6.0000000000000001E-3</v>
      </c>
      <c r="F10">
        <v>50</v>
      </c>
      <c r="I10">
        <f>Q10*E10</f>
        <v>2.4</v>
      </c>
      <c r="K10">
        <f t="shared" si="0"/>
        <v>2.4</v>
      </c>
      <c r="M10" t="s">
        <v>5</v>
      </c>
      <c r="Q10">
        <v>400</v>
      </c>
      <c r="R10" t="s">
        <v>165</v>
      </c>
      <c r="S10" t="s">
        <v>166</v>
      </c>
    </row>
    <row r="11" spans="1:28" x14ac:dyDescent="0.3">
      <c r="A11" t="s">
        <v>167</v>
      </c>
      <c r="E11" s="41">
        <v>0.3</v>
      </c>
      <c r="F11">
        <v>50</v>
      </c>
      <c r="I11">
        <f t="shared" ref="I11:I17" si="1">Q11*E11</f>
        <v>696</v>
      </c>
      <c r="K11">
        <f t="shared" si="0"/>
        <v>696</v>
      </c>
      <c r="M11" t="s">
        <v>4</v>
      </c>
      <c r="Q11">
        <v>2320</v>
      </c>
      <c r="R11" t="s">
        <v>165</v>
      </c>
      <c r="S11" t="s">
        <v>166</v>
      </c>
      <c r="Z11">
        <v>0.3</v>
      </c>
      <c r="AB11" t="s">
        <v>266</v>
      </c>
    </row>
    <row r="12" spans="1:28" x14ac:dyDescent="0.3">
      <c r="A12" t="s">
        <v>168</v>
      </c>
      <c r="E12">
        <v>4.4999999999999998E-2</v>
      </c>
      <c r="F12">
        <v>20</v>
      </c>
      <c r="I12">
        <f t="shared" si="1"/>
        <v>18</v>
      </c>
      <c r="K12">
        <f t="shared" si="0"/>
        <v>7.2</v>
      </c>
      <c r="M12" t="s">
        <v>5</v>
      </c>
      <c r="Q12">
        <v>400</v>
      </c>
      <c r="R12" t="s">
        <v>165</v>
      </c>
      <c r="W12" s="42" t="s">
        <v>0</v>
      </c>
    </row>
    <row r="13" spans="1:28" x14ac:dyDescent="0.3">
      <c r="A13" t="s">
        <v>169</v>
      </c>
      <c r="E13">
        <v>0.03</v>
      </c>
      <c r="F13">
        <v>30</v>
      </c>
      <c r="I13">
        <f t="shared" si="1"/>
        <v>12</v>
      </c>
      <c r="K13">
        <f t="shared" si="0"/>
        <v>7.1999999999999993</v>
      </c>
      <c r="M13" t="s">
        <v>5</v>
      </c>
      <c r="Q13">
        <v>400</v>
      </c>
      <c r="R13" t="s">
        <v>165</v>
      </c>
      <c r="V13" s="42" t="s">
        <v>2</v>
      </c>
      <c r="W13">
        <f>SUMIF($M$6:$M$17, V13,$K$6:$K$17)</f>
        <v>11.92</v>
      </c>
      <c r="Z13">
        <f>W13*$Z$11</f>
        <v>3.5760000000000001</v>
      </c>
      <c r="AB13" s="30">
        <f>Z13+Z30</f>
        <v>26.06</v>
      </c>
    </row>
    <row r="14" spans="1:28" x14ac:dyDescent="0.3">
      <c r="A14" t="s">
        <v>170</v>
      </c>
      <c r="E14" s="28">
        <v>0.02</v>
      </c>
      <c r="F14">
        <v>50</v>
      </c>
      <c r="I14">
        <f t="shared" si="1"/>
        <v>8</v>
      </c>
      <c r="K14">
        <f t="shared" si="0"/>
        <v>8</v>
      </c>
      <c r="M14" t="s">
        <v>5</v>
      </c>
      <c r="Q14">
        <v>400</v>
      </c>
      <c r="R14" t="s">
        <v>165</v>
      </c>
      <c r="V14" s="42" t="s">
        <v>29</v>
      </c>
      <c r="W14">
        <f>SUMIF($M$6:$M$17, V14,$K$6:$K$17)</f>
        <v>1.2000000000000002</v>
      </c>
      <c r="Z14">
        <f t="shared" ref="Z14:Z17" si="2">W14*$Z$11</f>
        <v>0.36000000000000004</v>
      </c>
      <c r="AB14" s="30">
        <f t="shared" ref="AB14:AB17" si="3">Z14+Z31</f>
        <v>1.2000000000000002</v>
      </c>
    </row>
    <row r="15" spans="1:28" x14ac:dyDescent="0.3">
      <c r="A15" t="s">
        <v>171</v>
      </c>
      <c r="E15" s="28">
        <v>0.04</v>
      </c>
      <c r="F15">
        <v>50</v>
      </c>
      <c r="I15">
        <f t="shared" si="1"/>
        <v>16</v>
      </c>
      <c r="K15">
        <f t="shared" si="0"/>
        <v>16</v>
      </c>
      <c r="M15" t="s">
        <v>5</v>
      </c>
      <c r="Q15">
        <v>400</v>
      </c>
      <c r="R15" t="s">
        <v>165</v>
      </c>
      <c r="V15" s="42" t="s">
        <v>37</v>
      </c>
      <c r="W15">
        <f>SUMIF($M$6:$M$17, V15,$K$6:$K$17)</f>
        <v>1.8</v>
      </c>
      <c r="Z15">
        <f t="shared" si="2"/>
        <v>0.54</v>
      </c>
      <c r="AB15" s="30">
        <f t="shared" si="3"/>
        <v>1.8</v>
      </c>
    </row>
    <row r="16" spans="1:28" x14ac:dyDescent="0.3">
      <c r="A16" t="s">
        <v>172</v>
      </c>
      <c r="E16" s="28">
        <v>0.03</v>
      </c>
      <c r="F16">
        <v>50</v>
      </c>
      <c r="I16">
        <f t="shared" si="1"/>
        <v>12</v>
      </c>
      <c r="K16">
        <f t="shared" si="0"/>
        <v>12</v>
      </c>
      <c r="M16" t="s">
        <v>5</v>
      </c>
      <c r="Q16">
        <v>400</v>
      </c>
      <c r="R16" t="s">
        <v>165</v>
      </c>
      <c r="V16" s="42" t="s">
        <v>5</v>
      </c>
      <c r="W16">
        <f>SUMIF($M$6:$M$17, V16,$K$6:$K$17)</f>
        <v>60.8</v>
      </c>
      <c r="Z16">
        <f t="shared" si="2"/>
        <v>18.239999999999998</v>
      </c>
      <c r="AB16" s="30">
        <f t="shared" si="3"/>
        <v>18.239999999999998</v>
      </c>
    </row>
    <row r="17" spans="1:28" x14ac:dyDescent="0.3">
      <c r="A17" t="s">
        <v>173</v>
      </c>
      <c r="E17" s="28">
        <v>0.02</v>
      </c>
      <c r="F17">
        <v>50</v>
      </c>
      <c r="I17">
        <f t="shared" si="1"/>
        <v>8</v>
      </c>
      <c r="K17">
        <f t="shared" si="0"/>
        <v>8</v>
      </c>
      <c r="M17" t="s">
        <v>5</v>
      </c>
      <c r="Q17">
        <v>400</v>
      </c>
      <c r="R17" t="s">
        <v>165</v>
      </c>
      <c r="V17" s="42" t="s">
        <v>4</v>
      </c>
      <c r="W17">
        <f>SUMIF($M$6:$M$17, V17,$K$6:$K$17)</f>
        <v>696</v>
      </c>
      <c r="Z17">
        <f t="shared" si="2"/>
        <v>208.79999999999998</v>
      </c>
      <c r="AB17" s="30">
        <f t="shared" si="3"/>
        <v>784.55727999999988</v>
      </c>
    </row>
    <row r="19" spans="1:28" x14ac:dyDescent="0.3">
      <c r="A19" t="s">
        <v>174</v>
      </c>
    </row>
    <row r="20" spans="1:28" x14ac:dyDescent="0.3">
      <c r="A20" t="s">
        <v>175</v>
      </c>
      <c r="C20">
        <v>6.6</v>
      </c>
      <c r="F20">
        <v>20</v>
      </c>
    </row>
    <row r="21" spans="1:28" x14ac:dyDescent="0.3">
      <c r="A21" t="s">
        <v>176</v>
      </c>
      <c r="C21" s="41">
        <v>6.6</v>
      </c>
      <c r="F21">
        <v>20</v>
      </c>
    </row>
    <row r="22" spans="1:28" x14ac:dyDescent="0.3">
      <c r="A22" t="s">
        <v>177</v>
      </c>
      <c r="C22">
        <v>5.4</v>
      </c>
      <c r="F22">
        <v>20</v>
      </c>
    </row>
    <row r="25" spans="1:28" x14ac:dyDescent="0.3">
      <c r="A25" s="39" t="s">
        <v>178</v>
      </c>
      <c r="B25" s="40"/>
      <c r="C25" s="39" t="s">
        <v>0</v>
      </c>
      <c r="D25" s="39" t="s">
        <v>154</v>
      </c>
      <c r="E25" s="39" t="s">
        <v>155</v>
      </c>
      <c r="F25" s="39" t="s">
        <v>156</v>
      </c>
      <c r="G25" s="39"/>
      <c r="H25" s="39"/>
      <c r="I25" s="39" t="s">
        <v>157</v>
      </c>
      <c r="J25" s="39"/>
      <c r="K25" s="39" t="s">
        <v>158</v>
      </c>
      <c r="L25" s="39"/>
      <c r="M25" s="39"/>
      <c r="N25" s="39"/>
      <c r="O25" s="39"/>
      <c r="P25" s="39"/>
      <c r="Q25" s="39" t="s">
        <v>159</v>
      </c>
      <c r="R25" s="40"/>
    </row>
    <row r="26" spans="1:28" x14ac:dyDescent="0.3">
      <c r="A26" t="s">
        <v>161</v>
      </c>
      <c r="C26">
        <v>3.2</v>
      </c>
      <c r="F26">
        <v>30</v>
      </c>
      <c r="I26">
        <f t="shared" ref="I26:I40" si="4">C26</f>
        <v>3.2</v>
      </c>
      <c r="K26">
        <f t="shared" ref="K26:K35" si="5">I26*(F26/50)</f>
        <v>1.92</v>
      </c>
      <c r="M26" t="s">
        <v>2</v>
      </c>
    </row>
    <row r="27" spans="1:28" x14ac:dyDescent="0.3">
      <c r="A27" t="s">
        <v>179</v>
      </c>
      <c r="C27">
        <v>33</v>
      </c>
      <c r="F27">
        <v>20</v>
      </c>
      <c r="I27">
        <f t="shared" si="4"/>
        <v>33</v>
      </c>
      <c r="K27">
        <f t="shared" si="5"/>
        <v>13.200000000000001</v>
      </c>
      <c r="M27" t="s">
        <v>4</v>
      </c>
    </row>
    <row r="28" spans="1:28" x14ac:dyDescent="0.3">
      <c r="A28" t="s">
        <v>162</v>
      </c>
      <c r="C28">
        <v>3</v>
      </c>
      <c r="F28">
        <v>20</v>
      </c>
      <c r="I28">
        <f t="shared" si="4"/>
        <v>3</v>
      </c>
      <c r="K28">
        <f t="shared" si="5"/>
        <v>1.2000000000000002</v>
      </c>
      <c r="M28" t="s">
        <v>29</v>
      </c>
      <c r="Z28">
        <v>0.7</v>
      </c>
    </row>
    <row r="29" spans="1:28" x14ac:dyDescent="0.3">
      <c r="A29" t="s">
        <v>163</v>
      </c>
      <c r="C29">
        <v>4.5</v>
      </c>
      <c r="F29">
        <v>20</v>
      </c>
      <c r="I29">
        <f t="shared" si="4"/>
        <v>4.5</v>
      </c>
      <c r="K29">
        <f t="shared" si="5"/>
        <v>1.8</v>
      </c>
      <c r="M29" t="s">
        <v>37</v>
      </c>
      <c r="W29" s="42" t="s">
        <v>0</v>
      </c>
    </row>
    <row r="30" spans="1:28" x14ac:dyDescent="0.3">
      <c r="A30" t="s">
        <v>180</v>
      </c>
      <c r="E30" s="41">
        <v>2.7200000000000002E-3</v>
      </c>
      <c r="F30">
        <v>50</v>
      </c>
      <c r="I30">
        <f>E30*Q30</f>
        <v>6.3104000000000005</v>
      </c>
      <c r="K30">
        <f t="shared" si="5"/>
        <v>6.3104000000000005</v>
      </c>
      <c r="M30" t="s">
        <v>4</v>
      </c>
      <c r="Q30">
        <v>2320</v>
      </c>
      <c r="R30" t="s">
        <v>165</v>
      </c>
      <c r="S30" t="s">
        <v>166</v>
      </c>
      <c r="V30" s="42" t="s">
        <v>2</v>
      </c>
      <c r="W30">
        <f t="shared" ref="W30:W35" si="6">SUMIF($M$26:$M$35, V30,$K$26:$K$35)</f>
        <v>32.119999999999997</v>
      </c>
      <c r="Z30">
        <f>W30*$Z$28</f>
        <v>22.483999999999998</v>
      </c>
    </row>
    <row r="31" spans="1:28" x14ac:dyDescent="0.3">
      <c r="A31" t="s">
        <v>181</v>
      </c>
      <c r="C31">
        <v>0.2</v>
      </c>
      <c r="F31">
        <v>50</v>
      </c>
      <c r="I31">
        <f t="shared" si="4"/>
        <v>0.2</v>
      </c>
      <c r="K31">
        <f t="shared" si="5"/>
        <v>0.2</v>
      </c>
      <c r="M31" t="s">
        <v>2</v>
      </c>
      <c r="V31" s="42" t="s">
        <v>29</v>
      </c>
      <c r="W31">
        <f t="shared" si="6"/>
        <v>1.2000000000000002</v>
      </c>
      <c r="Z31">
        <f t="shared" ref="Z31:Z35" si="7">W31*$Z$28</f>
        <v>0.84000000000000008</v>
      </c>
    </row>
    <row r="32" spans="1:28" x14ac:dyDescent="0.3">
      <c r="A32" t="s">
        <v>182</v>
      </c>
      <c r="C32">
        <v>30</v>
      </c>
      <c r="F32">
        <v>50</v>
      </c>
      <c r="I32">
        <f t="shared" si="4"/>
        <v>30</v>
      </c>
      <c r="K32">
        <f t="shared" si="5"/>
        <v>30</v>
      </c>
      <c r="M32" t="s">
        <v>2</v>
      </c>
      <c r="V32" s="42" t="s">
        <v>37</v>
      </c>
      <c r="W32">
        <f t="shared" si="6"/>
        <v>1.8</v>
      </c>
      <c r="Z32">
        <f t="shared" si="7"/>
        <v>1.26</v>
      </c>
    </row>
    <row r="33" spans="1:26" x14ac:dyDescent="0.3">
      <c r="A33" t="s">
        <v>183</v>
      </c>
      <c r="E33">
        <v>0.3</v>
      </c>
      <c r="F33">
        <v>50</v>
      </c>
      <c r="I33">
        <f>E33*Q33</f>
        <v>696</v>
      </c>
      <c r="K33">
        <f t="shared" si="5"/>
        <v>696</v>
      </c>
      <c r="M33" t="s">
        <v>4</v>
      </c>
      <c r="Q33">
        <v>2320</v>
      </c>
      <c r="V33" s="42" t="s">
        <v>5</v>
      </c>
      <c r="W33">
        <f t="shared" si="6"/>
        <v>0</v>
      </c>
      <c r="Z33">
        <f t="shared" si="7"/>
        <v>0</v>
      </c>
    </row>
    <row r="34" spans="1:26" x14ac:dyDescent="0.3">
      <c r="A34" t="s">
        <v>184</v>
      </c>
      <c r="C34">
        <v>21</v>
      </c>
      <c r="F34">
        <v>50</v>
      </c>
      <c r="I34">
        <f t="shared" si="4"/>
        <v>21</v>
      </c>
      <c r="K34">
        <f t="shared" si="5"/>
        <v>21</v>
      </c>
      <c r="M34" t="s">
        <v>7</v>
      </c>
      <c r="V34" s="42" t="s">
        <v>4</v>
      </c>
      <c r="W34" s="29">
        <f t="shared" si="6"/>
        <v>822.5104</v>
      </c>
      <c r="Z34">
        <f t="shared" si="7"/>
        <v>575.75727999999992</v>
      </c>
    </row>
    <row r="35" spans="1:26" x14ac:dyDescent="0.3">
      <c r="A35" t="s">
        <v>185</v>
      </c>
      <c r="C35" s="41">
        <v>107</v>
      </c>
      <c r="F35">
        <v>50</v>
      </c>
      <c r="I35">
        <f t="shared" si="4"/>
        <v>107</v>
      </c>
      <c r="K35">
        <f t="shared" si="5"/>
        <v>107</v>
      </c>
      <c r="M35" t="s">
        <v>4</v>
      </c>
      <c r="N35" t="s">
        <v>186</v>
      </c>
      <c r="V35" s="42" t="s">
        <v>7</v>
      </c>
      <c r="W35">
        <f t="shared" si="6"/>
        <v>21</v>
      </c>
    </row>
    <row r="37" spans="1:26" x14ac:dyDescent="0.3">
      <c r="A37" t="s">
        <v>174</v>
      </c>
    </row>
    <row r="38" spans="1:26" x14ac:dyDescent="0.3">
      <c r="A38" t="s">
        <v>175</v>
      </c>
      <c r="C38">
        <v>6.6</v>
      </c>
      <c r="F38">
        <v>20</v>
      </c>
      <c r="I38">
        <f t="shared" si="4"/>
        <v>6.6</v>
      </c>
    </row>
    <row r="39" spans="1:26" x14ac:dyDescent="0.3">
      <c r="A39" t="s">
        <v>176</v>
      </c>
      <c r="C39">
        <v>6.6</v>
      </c>
      <c r="F39">
        <v>20</v>
      </c>
      <c r="I39">
        <f t="shared" si="4"/>
        <v>6.6</v>
      </c>
    </row>
    <row r="40" spans="1:26" x14ac:dyDescent="0.3">
      <c r="A40" t="s">
        <v>177</v>
      </c>
      <c r="C40">
        <v>5.4</v>
      </c>
      <c r="F40">
        <v>20</v>
      </c>
      <c r="I40">
        <f t="shared" si="4"/>
        <v>5.4</v>
      </c>
    </row>
    <row r="44" spans="1:26" x14ac:dyDescent="0.3">
      <c r="A44" s="39" t="s">
        <v>187</v>
      </c>
      <c r="B44" s="43"/>
      <c r="C44" s="39" t="s">
        <v>0</v>
      </c>
      <c r="D44" s="39" t="s">
        <v>154</v>
      </c>
      <c r="E44" s="39" t="s">
        <v>155</v>
      </c>
      <c r="F44" s="39" t="s">
        <v>156</v>
      </c>
      <c r="G44" s="39"/>
      <c r="H44" s="39"/>
      <c r="I44" s="39" t="s">
        <v>157</v>
      </c>
      <c r="J44" s="39"/>
      <c r="K44" s="39" t="s">
        <v>188</v>
      </c>
      <c r="L44" s="39"/>
      <c r="M44" s="39"/>
      <c r="N44" s="39"/>
      <c r="O44" s="39"/>
      <c r="P44" s="39"/>
      <c r="Q44" s="39" t="s">
        <v>159</v>
      </c>
      <c r="R44" s="40"/>
    </row>
    <row r="45" spans="1:26" x14ac:dyDescent="0.3">
      <c r="A45" t="s">
        <v>189</v>
      </c>
      <c r="C45">
        <v>7.17</v>
      </c>
      <c r="K45">
        <f>C45</f>
        <v>7.17</v>
      </c>
      <c r="M45" t="s">
        <v>2</v>
      </c>
    </row>
    <row r="46" spans="1:26" x14ac:dyDescent="0.3">
      <c r="A46" t="s">
        <v>190</v>
      </c>
      <c r="E46" s="44">
        <v>9.2700000000000005E-2</v>
      </c>
      <c r="K46">
        <f>E46*Q46</f>
        <v>215.06400000000002</v>
      </c>
      <c r="M46" t="s">
        <v>4</v>
      </c>
      <c r="Q46">
        <v>2320</v>
      </c>
    </row>
    <row r="47" spans="1:26" x14ac:dyDescent="0.3">
      <c r="A47" t="s">
        <v>185</v>
      </c>
      <c r="C47">
        <v>178</v>
      </c>
      <c r="K47">
        <f>C47</f>
        <v>178</v>
      </c>
      <c r="M47" t="s">
        <v>4</v>
      </c>
      <c r="N47" t="s">
        <v>186</v>
      </c>
    </row>
    <row r="48" spans="1:26" x14ac:dyDescent="0.3">
      <c r="A48" t="s">
        <v>184</v>
      </c>
      <c r="C48">
        <v>61.7</v>
      </c>
      <c r="K48">
        <f>C48</f>
        <v>61.7</v>
      </c>
      <c r="M48" t="s">
        <v>7</v>
      </c>
      <c r="W48" s="42" t="s">
        <v>0</v>
      </c>
    </row>
    <row r="49" spans="1:23" x14ac:dyDescent="0.3">
      <c r="A49" t="s">
        <v>37</v>
      </c>
      <c r="C49">
        <v>3.08</v>
      </c>
      <c r="K49">
        <f>C49</f>
        <v>3.08</v>
      </c>
      <c r="M49" t="s">
        <v>37</v>
      </c>
      <c r="V49" s="42" t="s">
        <v>31</v>
      </c>
      <c r="W49" s="30">
        <f>SUMIF($M$45:$M$53, V49,$K$45:$K$53)</f>
        <v>8.48</v>
      </c>
    </row>
    <row r="50" spans="1:23" x14ac:dyDescent="0.3">
      <c r="A50" t="s">
        <v>5</v>
      </c>
      <c r="E50" s="44">
        <v>6.1699999999999998E-2</v>
      </c>
      <c r="K50">
        <f>E50*Q50</f>
        <v>24.68</v>
      </c>
      <c r="M50" t="s">
        <v>5</v>
      </c>
      <c r="Q50">
        <v>400</v>
      </c>
      <c r="V50" s="42" t="s">
        <v>2</v>
      </c>
      <c r="W50" s="30">
        <f t="shared" ref="W50:W55" si="8">SUMIF($M$45:$M$53, V50,$K$45:$K$53)</f>
        <v>24.17</v>
      </c>
    </row>
    <row r="51" spans="1:23" x14ac:dyDescent="0.3">
      <c r="A51" t="s">
        <v>2</v>
      </c>
      <c r="C51">
        <v>17</v>
      </c>
      <c r="K51">
        <f>C51</f>
        <v>17</v>
      </c>
      <c r="M51" t="s">
        <v>2</v>
      </c>
      <c r="V51" s="42" t="s">
        <v>29</v>
      </c>
      <c r="W51" s="30">
        <f t="shared" si="8"/>
        <v>8.48</v>
      </c>
    </row>
    <row r="52" spans="1:23" x14ac:dyDescent="0.3">
      <c r="A52" t="s">
        <v>29</v>
      </c>
      <c r="C52">
        <v>8.48</v>
      </c>
      <c r="K52">
        <f>C52</f>
        <v>8.48</v>
      </c>
      <c r="M52" t="s">
        <v>29</v>
      </c>
      <c r="V52" s="42" t="s">
        <v>37</v>
      </c>
      <c r="W52" s="30">
        <f t="shared" si="8"/>
        <v>3.08</v>
      </c>
    </row>
    <row r="53" spans="1:23" x14ac:dyDescent="0.3">
      <c r="A53" t="s">
        <v>31</v>
      </c>
      <c r="C53">
        <v>8.48</v>
      </c>
      <c r="K53">
        <f>C53</f>
        <v>8.48</v>
      </c>
      <c r="M53" t="s">
        <v>31</v>
      </c>
      <c r="V53" s="42" t="s">
        <v>5</v>
      </c>
      <c r="W53" s="30">
        <f t="shared" si="8"/>
        <v>24.68</v>
      </c>
    </row>
    <row r="54" spans="1:23" x14ac:dyDescent="0.3">
      <c r="A54" t="s">
        <v>191</v>
      </c>
      <c r="C54">
        <v>1.3</v>
      </c>
      <c r="K54">
        <f>C54</f>
        <v>1.3</v>
      </c>
      <c r="V54" s="42" t="s">
        <v>4</v>
      </c>
      <c r="W54" s="30">
        <f t="shared" si="8"/>
        <v>393.06400000000002</v>
      </c>
    </row>
    <row r="55" spans="1:23" x14ac:dyDescent="0.3">
      <c r="A55" t="s">
        <v>192</v>
      </c>
      <c r="C55">
        <v>0.92500000000000004</v>
      </c>
      <c r="K55">
        <f>C55</f>
        <v>0.92500000000000004</v>
      </c>
      <c r="V55" s="42" t="s">
        <v>7</v>
      </c>
      <c r="W55" s="30">
        <f t="shared" si="8"/>
        <v>61.7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7BD1-49B5-4439-B433-715E9104C6F6}">
  <dimension ref="A2:L31"/>
  <sheetViews>
    <sheetView topLeftCell="A16" zoomScale="130" zoomScaleNormal="130" workbookViewId="0">
      <selection activeCell="F21" sqref="F21"/>
    </sheetView>
  </sheetViews>
  <sheetFormatPr defaultRowHeight="14.4" x14ac:dyDescent="0.3"/>
  <cols>
    <col min="6" max="6" width="16.44140625" bestFit="1" customWidth="1"/>
    <col min="7" max="7" width="9.44140625" bestFit="1" customWidth="1"/>
    <col min="8" max="11" width="8.88671875" bestFit="1" customWidth="1"/>
  </cols>
  <sheetData>
    <row r="2" spans="2:12" x14ac:dyDescent="0.3">
      <c r="C2" t="s">
        <v>24</v>
      </c>
      <c r="D2" t="str">
        <f>COMPARE!A3</f>
        <v>Description --&gt;</v>
      </c>
      <c r="E2" t="str">
        <f>COMPARE!A4</f>
        <v>Regional Representation --&gt;</v>
      </c>
      <c r="F2" t="str">
        <f>COMPARE!A5</f>
        <v>Steel</v>
      </c>
      <c r="G2" t="str">
        <f>COMPARE!A6</f>
        <v>Concrete</v>
      </c>
      <c r="H2" t="str">
        <f>COMPARE!A7</f>
        <v>Aluminium</v>
      </c>
      <c r="I2" t="str">
        <f>COMPARE!A8</f>
        <v>Copper</v>
      </c>
      <c r="J2" t="str">
        <f>COMPARE!A9</f>
        <v>Wood</v>
      </c>
      <c r="K2" t="str">
        <f>COMPARE!A10</f>
        <v>Glass</v>
      </c>
    </row>
    <row r="3" spans="2:12" x14ac:dyDescent="0.3">
      <c r="B3" t="str">
        <f>COMPARE!B1</f>
        <v>Office</v>
      </c>
      <c r="C3" t="str">
        <f>COMPARE!B2</f>
        <v>Ecoinvent</v>
      </c>
      <c r="D3" t="str">
        <f>COMPARE!B3</f>
        <v>Multi-storey building</v>
      </c>
      <c r="E3" t="str">
        <f>COMPARE!B4</f>
        <v>-</v>
      </c>
      <c r="F3" s="29">
        <f>COMPARE!B5</f>
        <v>24.17</v>
      </c>
      <c r="G3" s="29">
        <f>COMPARE!B6</f>
        <v>393.06400000000002</v>
      </c>
      <c r="H3" s="30">
        <f>COMPARE!B7</f>
        <v>8.48</v>
      </c>
      <c r="I3" s="30">
        <f>COMPARE!B8</f>
        <v>8.48</v>
      </c>
      <c r="J3" s="30">
        <f>COMPARE!B9</f>
        <v>24.68</v>
      </c>
      <c r="K3" s="30">
        <f>COMPARE!B10</f>
        <v>3.08</v>
      </c>
      <c r="L3" s="29"/>
    </row>
    <row r="4" spans="2:12" x14ac:dyDescent="0.3">
      <c r="C4" t="str">
        <f>COMPARE!C2</f>
        <v>Kashkooli</v>
      </c>
      <c r="D4" t="str">
        <f>COMPARE!C3</f>
        <v>High-rise office building</v>
      </c>
      <c r="E4" t="str">
        <f>COMPARE!C4</f>
        <v>Mexico</v>
      </c>
      <c r="F4" s="29">
        <f>COMPARE!C5</f>
        <v>123.77532879818595</v>
      </c>
      <c r="G4" s="29">
        <f>COMPARE!C6</f>
        <v>424.5149659863946</v>
      </c>
      <c r="H4" s="30"/>
      <c r="I4" s="30">
        <f>COMPARE!C8</f>
        <v>2.6887074829931974</v>
      </c>
      <c r="J4" s="30">
        <f>COMPARE!C9</f>
        <v>3.018344671201814</v>
      </c>
      <c r="K4" s="30">
        <f>COMPARE!C10</f>
        <v>1.0291836734693878</v>
      </c>
      <c r="L4" s="29"/>
    </row>
    <row r="5" spans="2:12" x14ac:dyDescent="0.3">
      <c r="C5" t="str">
        <f>COMPARE!D2</f>
        <v>Kofoworola</v>
      </c>
      <c r="D5" t="str">
        <f>COMPARE!D3</f>
        <v>Typical office building</v>
      </c>
      <c r="E5" t="str">
        <f>COMPARE!D4</f>
        <v>Thailand</v>
      </c>
      <c r="F5" s="29">
        <f>COMPARE!D5</f>
        <v>255.68518518518519</v>
      </c>
      <c r="G5" s="29">
        <f>COMPARE!D6</f>
        <v>2117.5555555555557</v>
      </c>
      <c r="H5" s="30">
        <f>COMPARE!D7</f>
        <v>0.27777777777777779</v>
      </c>
      <c r="I5" s="30"/>
      <c r="J5" s="30">
        <f>COMPARE!D9</f>
        <v>1.4814814814814814</v>
      </c>
      <c r="K5" s="30">
        <f>COMPARE!D10</f>
        <v>9.6111111111111107</v>
      </c>
      <c r="L5" s="29"/>
    </row>
    <row r="6" spans="2:12" x14ac:dyDescent="0.3">
      <c r="C6" t="str">
        <f>COMPARE!E2</f>
        <v>Oka</v>
      </c>
      <c r="D6" t="str">
        <f>COMPARE!E3</f>
        <v>Offices</v>
      </c>
      <c r="E6" t="str">
        <f>COMPARE!E4</f>
        <v>Japan</v>
      </c>
      <c r="F6" s="29">
        <f>COMPARE!E5</f>
        <v>157.62833333333333</v>
      </c>
      <c r="G6" s="29"/>
      <c r="H6" s="30"/>
      <c r="I6" s="30"/>
      <c r="J6" s="30"/>
      <c r="K6" s="30"/>
      <c r="L6" s="29"/>
    </row>
    <row r="7" spans="2:12" x14ac:dyDescent="0.3">
      <c r="C7" t="str">
        <f>COMPARE!F2</f>
        <v>Reyna</v>
      </c>
      <c r="D7" t="str">
        <f>COMPARE!F3</f>
        <v>Offices (low &amp; high)</v>
      </c>
      <c r="E7" t="str">
        <f>COMPARE!F4</f>
        <v>USA</v>
      </c>
      <c r="F7" s="29">
        <f>COMPARE!F5</f>
        <v>41.701651617109775</v>
      </c>
      <c r="G7" s="29">
        <f>COMPARE!F6</f>
        <v>533.37582751078969</v>
      </c>
      <c r="H7" s="30">
        <f>COMPARE!F7</f>
        <v>9.6689881006949641</v>
      </c>
      <c r="I7" s="30"/>
      <c r="J7" s="30">
        <f>COMPARE!F9</f>
        <v>0.1812478688523608</v>
      </c>
      <c r="K7" s="30">
        <f>COMPARE!F10</f>
        <v>4.6199175824175818</v>
      </c>
      <c r="L7" s="29"/>
    </row>
    <row r="8" spans="2:12" x14ac:dyDescent="0.3">
      <c r="C8" t="str">
        <f>COMPARE!G2</f>
        <v>Schebek</v>
      </c>
      <c r="D8" t="str">
        <f>COMPARE!G3</f>
        <v>Offices</v>
      </c>
      <c r="E8" t="s">
        <v>121</v>
      </c>
      <c r="F8" s="29">
        <f>COMPARE!G5</f>
        <v>86.975999999999999</v>
      </c>
      <c r="G8" s="29">
        <f>COMPARE!G6</f>
        <v>1056.8040000000001</v>
      </c>
      <c r="H8" s="30">
        <f>COMPARE!G7</f>
        <v>0.63</v>
      </c>
      <c r="I8" s="30">
        <f>COMPARE!G8</f>
        <v>0.65250000000000008</v>
      </c>
      <c r="J8" s="30">
        <f>COMPARE!G9</f>
        <v>4.2225000000000001</v>
      </c>
      <c r="K8" s="30">
        <f>COMPARE!G10</f>
        <v>13.9275</v>
      </c>
      <c r="L8" s="29"/>
    </row>
    <row r="9" spans="2:12" x14ac:dyDescent="0.3">
      <c r="B9" t="str">
        <f>COMPARE!H1</f>
        <v>Retail</v>
      </c>
      <c r="C9" t="str">
        <f>COMPARE!H2</f>
        <v>Ecoinvent</v>
      </c>
      <c r="D9" t="str">
        <f>COMPARE!H3</f>
        <v>Hall-type building</v>
      </c>
      <c r="E9" t="str">
        <f>COMPARE!H4</f>
        <v>-</v>
      </c>
      <c r="F9" s="29">
        <f>COMPARE!H5</f>
        <v>26.06</v>
      </c>
      <c r="G9" s="29">
        <f>COMPARE!H6</f>
        <v>784.55727999999988</v>
      </c>
      <c r="H9" s="30">
        <f>COMPARE!H7</f>
        <v>1.2000000000000002</v>
      </c>
      <c r="I9" s="30"/>
      <c r="J9" s="30">
        <f>COMPARE!H9</f>
        <v>18.239999999999998</v>
      </c>
      <c r="K9" s="30">
        <f>COMPARE!H10</f>
        <v>1.8</v>
      </c>
      <c r="L9" s="29"/>
    </row>
    <row r="10" spans="2:12" x14ac:dyDescent="0.3">
      <c r="C10" t="str">
        <f>COMPARE!I2</f>
        <v>Reyna</v>
      </c>
      <c r="D10" t="str">
        <f>COMPARE!I3</f>
        <v>Warehouse, department store &amp; neighbourhood store</v>
      </c>
      <c r="E10" t="str">
        <f>COMPARE!I4</f>
        <v>USA</v>
      </c>
      <c r="F10" s="29">
        <f>COMPARE!I5</f>
        <v>82.599597758575882</v>
      </c>
      <c r="G10" s="29">
        <f>COMPARE!I6</f>
        <v>658.34124257272117</v>
      </c>
      <c r="H10" s="30">
        <f>COMPARE!I7</f>
        <v>2.0979354229901346</v>
      </c>
      <c r="I10" s="30"/>
      <c r="J10" s="30"/>
      <c r="K10" s="30">
        <f>COMPARE!I10</f>
        <v>1.8540004278990159</v>
      </c>
      <c r="L10" s="29"/>
    </row>
    <row r="11" spans="2:12" x14ac:dyDescent="0.3">
      <c r="C11" t="str">
        <f>COMPARE!J2</f>
        <v>Schebek</v>
      </c>
      <c r="D11" t="str">
        <f>COMPARE!J3</f>
        <v>Warehouse</v>
      </c>
      <c r="E11" t="s">
        <v>121</v>
      </c>
      <c r="F11" s="29">
        <f>COMPARE!J5</f>
        <v>84.539999999999992</v>
      </c>
      <c r="G11" s="29">
        <f>COMPARE!J6</f>
        <v>348.55666666666673</v>
      </c>
      <c r="H11" s="30">
        <f>COMPARE!J7</f>
        <v>1.0979999999999999</v>
      </c>
      <c r="I11" s="30">
        <f>COMPARE!J8</f>
        <v>0.72000000000000008</v>
      </c>
      <c r="J11" s="30">
        <f>COMPARE!J9</f>
        <v>4.2225000000000001</v>
      </c>
      <c r="K11" s="30">
        <f>COMPARE!J10</f>
        <v>13.9275</v>
      </c>
      <c r="L11" s="29"/>
    </row>
    <row r="12" spans="2:12" x14ac:dyDescent="0.3">
      <c r="C12" t="str">
        <f>COMPARE!K2</f>
        <v>Gruhler*</v>
      </c>
      <c r="D12" t="str">
        <f>COMPARE!K3</f>
        <v>Wholesale &amp; Car-shop</v>
      </c>
      <c r="E12" t="str">
        <f>COMPARE!K4</f>
        <v>Germany</v>
      </c>
      <c r="F12" s="29">
        <f>COMPARE!K5</f>
        <v>120.9</v>
      </c>
      <c r="G12" s="29">
        <f>COMPARE!K6</f>
        <v>1009</v>
      </c>
      <c r="H12" s="30">
        <f>COMPARE!K7</f>
        <v>5.2</v>
      </c>
      <c r="I12" s="30">
        <f>COMPARE!K8</f>
        <v>3.9</v>
      </c>
      <c r="J12" s="30">
        <f>COMPARE!K9</f>
        <v>11</v>
      </c>
      <c r="K12" s="30"/>
      <c r="L12" s="29"/>
    </row>
    <row r="13" spans="2:12" x14ac:dyDescent="0.3">
      <c r="B13" t="str">
        <f>COMPARE!L1</f>
        <v>Hotel</v>
      </c>
      <c r="C13" t="str">
        <f>COMPARE!L2</f>
        <v>Reyna</v>
      </c>
      <c r="D13" t="str">
        <f>COMPARE!L3</f>
        <v>Hotel</v>
      </c>
      <c r="E13" t="str">
        <f>COMPARE!L4</f>
        <v>USA</v>
      </c>
      <c r="F13" s="29">
        <f>COMPARE!L5</f>
        <v>88.520007286928148</v>
      </c>
      <c r="G13" s="29">
        <f>COMPARE!L6</f>
        <v>92.952581763689608</v>
      </c>
      <c r="H13" s="30">
        <f>COMPARE!L7</f>
        <v>5.2304631358233911</v>
      </c>
      <c r="I13" s="30"/>
      <c r="J13" s="30"/>
      <c r="K13" s="30">
        <f>COMPARE!L10</f>
        <v>2.6933333333333338</v>
      </c>
      <c r="L13" s="29"/>
    </row>
    <row r="14" spans="2:12" x14ac:dyDescent="0.3">
      <c r="C14" t="str">
        <f>COMPARE!M2</f>
        <v>Rossello-Batle</v>
      </c>
      <c r="D14" t="str">
        <f>COMPARE!M3</f>
        <v>Hotel</v>
      </c>
      <c r="E14" t="str">
        <f>COMPARE!M4</f>
        <v>Spain</v>
      </c>
      <c r="F14" s="29">
        <f>COMPARE!M5</f>
        <v>51.211003000000005</v>
      </c>
      <c r="G14" s="29">
        <f>COMPARE!M6</f>
        <v>1006.7372736666666</v>
      </c>
      <c r="H14" s="30">
        <f>COMPARE!M7</f>
        <v>3.0258799999999995</v>
      </c>
      <c r="I14" s="30">
        <f>COMPARE!M8</f>
        <v>3.269466</v>
      </c>
      <c r="J14" s="30">
        <f>COMPARE!M9</f>
        <v>12.033714666666667</v>
      </c>
      <c r="K14" s="30">
        <f>COMPARE!M10</f>
        <v>5.1232569999999997</v>
      </c>
      <c r="L14" s="29"/>
    </row>
    <row r="15" spans="2:12" x14ac:dyDescent="0.3">
      <c r="C15" t="str">
        <f>COMPARE!N2</f>
        <v>Gruhler*</v>
      </c>
      <c r="D15" t="str">
        <f>COMPARE!N3</f>
        <v>Hotel/guesthouse</v>
      </c>
      <c r="E15" t="str">
        <f>COMPARE!N4</f>
        <v>Germany</v>
      </c>
      <c r="F15" s="29">
        <f>COMPARE!N5</f>
        <v>113.46000000000001</v>
      </c>
      <c r="G15" s="29">
        <f>COMPARE!N6</f>
        <v>1073</v>
      </c>
      <c r="H15" s="30">
        <f>COMPARE!N7</f>
        <v>4.88</v>
      </c>
      <c r="I15" s="30">
        <f>COMPARE!N8</f>
        <v>3.6599999999999997</v>
      </c>
      <c r="J15" s="30">
        <f>COMPARE!N9</f>
        <v>25</v>
      </c>
      <c r="K15" s="30"/>
      <c r="L15" s="29"/>
    </row>
    <row r="16" spans="2:12" x14ac:dyDescent="0.3">
      <c r="B16" t="str">
        <f>COMPARE!O1</f>
        <v>Govern</v>
      </c>
      <c r="C16" t="str">
        <f>COMPARE!O2</f>
        <v>Kumanayake</v>
      </c>
      <c r="D16" t="str">
        <f>COMPARE!O3</f>
        <v>University</v>
      </c>
      <c r="E16" t="str">
        <f>COMPARE!O4</f>
        <v>Sri Lanka</v>
      </c>
      <c r="F16" s="29">
        <f>COMPARE!O5</f>
        <v>131.99108138238574</v>
      </c>
      <c r="G16" s="29">
        <f>COMPARE!O6</f>
        <v>1542.5819397993312</v>
      </c>
      <c r="H16" s="30">
        <f>COMPARE!O7</f>
        <v>4.9832218506131545</v>
      </c>
      <c r="I16" s="30"/>
      <c r="J16" s="30"/>
      <c r="K16" s="30">
        <f>COMPARE!O10</f>
        <v>7.586666666666666</v>
      </c>
      <c r="L16" s="29"/>
    </row>
    <row r="17" spans="1:12" x14ac:dyDescent="0.3">
      <c r="C17" t="str">
        <f>COMPARE!P2</f>
        <v>Reyna</v>
      </c>
      <c r="D17" t="str">
        <f>COMPARE!P3</f>
        <v>School &amp; Hospital</v>
      </c>
      <c r="E17" t="str">
        <f>COMPARE!P4</f>
        <v>USA</v>
      </c>
      <c r="F17" s="29">
        <f>COMPARE!P5</f>
        <v>131.50915484780472</v>
      </c>
      <c r="G17" s="29">
        <f>COMPARE!P6</f>
        <v>835.32049822974261</v>
      </c>
      <c r="H17" s="30">
        <f>COMPARE!P7</f>
        <v>7.8612018723994321</v>
      </c>
      <c r="I17" s="30"/>
      <c r="J17" s="30"/>
      <c r="K17" s="30">
        <f>COMPARE!P10</f>
        <v>4.8694757468760175</v>
      </c>
      <c r="L17" s="29"/>
    </row>
    <row r="18" spans="1:12" x14ac:dyDescent="0.3">
      <c r="C18" t="str">
        <f>COMPARE!Q2</f>
        <v>Gruhler*</v>
      </c>
      <c r="D18" t="str">
        <f>COMPARE!Q3</f>
        <v>Nursing-home &amp; Emergency services</v>
      </c>
      <c r="E18" t="str">
        <f>COMPARE!Q4</f>
        <v>Germany</v>
      </c>
      <c r="F18" s="29">
        <f>COMPARE!Q5</f>
        <v>104.16000000000001</v>
      </c>
      <c r="G18" s="29">
        <f>COMPARE!Q6</f>
        <v>1036.5</v>
      </c>
      <c r="H18" s="30">
        <f>COMPARE!Q7</f>
        <v>4.4800000000000004</v>
      </c>
      <c r="I18" s="30">
        <f>COMPARE!Q8</f>
        <v>3.36</v>
      </c>
      <c r="J18" s="30">
        <f>COMPARE!Q9</f>
        <v>25.5</v>
      </c>
      <c r="K18" s="30"/>
      <c r="L18" s="29"/>
    </row>
    <row r="19" spans="1:12" x14ac:dyDescent="0.3">
      <c r="C19" t="str">
        <f>COMPARE!R2</f>
        <v>Marcellus‐Zamora</v>
      </c>
      <c r="D19" t="str">
        <f>COMPARE!R3</f>
        <v>Civic/Institutional</v>
      </c>
      <c r="E19" t="str">
        <f>COMPARE!R4</f>
        <v>USA</v>
      </c>
      <c r="F19" s="29">
        <f>COMPARE!R5</f>
        <v>40</v>
      </c>
      <c r="G19" s="29">
        <f>COMPARE!R6</f>
        <v>702</v>
      </c>
      <c r="H19" s="30"/>
      <c r="I19" s="30"/>
      <c r="J19" s="30"/>
      <c r="K19" s="30">
        <f>COMPARE!R10</f>
        <v>31</v>
      </c>
      <c r="L19" s="29"/>
    </row>
    <row r="20" spans="1:12" x14ac:dyDescent="0.3">
      <c r="B20" t="s">
        <v>241</v>
      </c>
      <c r="F20" s="30">
        <f t="shared" ref="F20:K20" si="0">AVERAGE(F3:F19)</f>
        <v>97.934549600559336</v>
      </c>
      <c r="G20" s="30">
        <f t="shared" si="0"/>
        <v>850.92886448447234</v>
      </c>
      <c r="H20" s="30">
        <f t="shared" si="0"/>
        <v>4.2223905828784893</v>
      </c>
      <c r="I20" s="30">
        <f t="shared" si="0"/>
        <v>3.3413341853741501</v>
      </c>
      <c r="J20" s="30">
        <f t="shared" si="0"/>
        <v>11.779980789836573</v>
      </c>
      <c r="K20" s="30">
        <f t="shared" si="0"/>
        <v>7.7786111955210098</v>
      </c>
      <c r="L20" s="30"/>
    </row>
    <row r="21" spans="1:12" x14ac:dyDescent="0.3">
      <c r="A21">
        <v>0.2</v>
      </c>
      <c r="B21" t="s">
        <v>256</v>
      </c>
      <c r="F21" s="30">
        <f>_xlfn.PERCENTILE.INC(F3:F19,$A$21)</f>
        <v>43.603521893687819</v>
      </c>
      <c r="G21" s="30">
        <f t="shared" ref="G21:K21" si="1">_xlfn.PERCENTILE.INC(G3:G19,$A$21)</f>
        <v>424.5149659863946</v>
      </c>
      <c r="H21" s="30">
        <f t="shared" si="1"/>
        <v>1.1592</v>
      </c>
      <c r="I21" s="30">
        <f t="shared" si="1"/>
        <v>1.5074829931972795</v>
      </c>
      <c r="J21" s="30">
        <f t="shared" si="1"/>
        <v>3.018344671201814</v>
      </c>
      <c r="K21" s="30">
        <f t="shared" si="1"/>
        <v>2.1897335900727435</v>
      </c>
    </row>
    <row r="22" spans="1:12" x14ac:dyDescent="0.3">
      <c r="A22">
        <v>0.8</v>
      </c>
      <c r="B22" t="s">
        <v>256</v>
      </c>
      <c r="F22" s="30">
        <f>_xlfn.PERCENTILE.INC(F3:F19,$A$22)</f>
        <v>129.96238963788096</v>
      </c>
      <c r="G22" s="30">
        <f t="shared" ref="G22:K22" si="2">_xlfn.PERCENTILE.INC(G3:G19,$A$22)</f>
        <v>1056.8040000000001</v>
      </c>
      <c r="H22" s="30">
        <f t="shared" si="2"/>
        <v>6.2827586304538086</v>
      </c>
      <c r="I22" s="30">
        <f t="shared" si="2"/>
        <v>3.8039999999999998</v>
      </c>
      <c r="J22" s="30">
        <f t="shared" si="2"/>
        <v>24.68</v>
      </c>
      <c r="K22" s="30">
        <f t="shared" si="2"/>
        <v>12.200944444444451</v>
      </c>
    </row>
    <row r="23" spans="1:12" x14ac:dyDescent="0.3">
      <c r="B23" t="s">
        <v>257</v>
      </c>
      <c r="F23" s="29">
        <f>MIN(F3:F19)</f>
        <v>24.17</v>
      </c>
      <c r="G23" s="29">
        <f t="shared" ref="G23:K23" si="3">MIN(G3:G19)</f>
        <v>92.952581763689608</v>
      </c>
      <c r="H23" s="30">
        <f t="shared" si="3"/>
        <v>0.27777777777777779</v>
      </c>
      <c r="I23" s="29">
        <f t="shared" si="3"/>
        <v>0.65250000000000008</v>
      </c>
      <c r="J23" s="30">
        <f t="shared" si="3"/>
        <v>0.1812478688523608</v>
      </c>
      <c r="K23" s="29">
        <f t="shared" si="3"/>
        <v>1.0291836734693878</v>
      </c>
    </row>
    <row r="24" spans="1:12" x14ac:dyDescent="0.3">
      <c r="B24" t="s">
        <v>258</v>
      </c>
      <c r="F24" s="29">
        <f>MAX(F3:F19)</f>
        <v>255.68518518518519</v>
      </c>
      <c r="G24" s="29">
        <f t="shared" ref="G24:K24" si="4">MAX(G3:G19)</f>
        <v>2117.5555555555557</v>
      </c>
      <c r="H24" s="29">
        <f t="shared" si="4"/>
        <v>9.6689881006949641</v>
      </c>
      <c r="I24" s="29">
        <f t="shared" si="4"/>
        <v>8.48</v>
      </c>
      <c r="J24" s="29">
        <f t="shared" si="4"/>
        <v>25.5</v>
      </c>
      <c r="K24" s="29">
        <f t="shared" si="4"/>
        <v>31</v>
      </c>
    </row>
    <row r="25" spans="1:12" x14ac:dyDescent="0.3">
      <c r="B25" t="s">
        <v>259</v>
      </c>
      <c r="F25">
        <f>COUNT(F3:F19)</f>
        <v>17</v>
      </c>
      <c r="G25">
        <f t="shared" ref="G25:K25" si="5">COUNT(G3:G19)</f>
        <v>16</v>
      </c>
      <c r="H25">
        <f t="shared" si="5"/>
        <v>14</v>
      </c>
      <c r="I25">
        <f t="shared" si="5"/>
        <v>8</v>
      </c>
      <c r="J25">
        <f t="shared" si="5"/>
        <v>11</v>
      </c>
      <c r="K25">
        <f t="shared" si="5"/>
        <v>13</v>
      </c>
    </row>
    <row r="26" spans="1:12" x14ac:dyDescent="0.3">
      <c r="B26" t="s">
        <v>260</v>
      </c>
      <c r="F26" s="30">
        <f>F22-F21</f>
        <v>86.358867744193134</v>
      </c>
      <c r="G26" s="30">
        <f t="shared" ref="G26:K26" si="6">G22-G21</f>
        <v>632.28903401360549</v>
      </c>
      <c r="H26" s="30">
        <f t="shared" si="6"/>
        <v>5.1235586304538083</v>
      </c>
      <c r="I26" s="30">
        <f t="shared" si="6"/>
        <v>2.2965170068027203</v>
      </c>
      <c r="J26" s="30">
        <f t="shared" si="6"/>
        <v>21.661655328798187</v>
      </c>
      <c r="K26" s="30">
        <f t="shared" si="6"/>
        <v>10.011210854371708</v>
      </c>
    </row>
    <row r="27" spans="1:12" x14ac:dyDescent="0.3">
      <c r="B27" t="s">
        <v>261</v>
      </c>
      <c r="F27">
        <v>300</v>
      </c>
      <c r="G27">
        <v>2500</v>
      </c>
      <c r="H27">
        <v>35</v>
      </c>
      <c r="I27">
        <v>35</v>
      </c>
      <c r="J27">
        <v>35</v>
      </c>
      <c r="K27">
        <v>35</v>
      </c>
    </row>
    <row r="28" spans="1:12" x14ac:dyDescent="0.3">
      <c r="B28" t="s">
        <v>262</v>
      </c>
      <c r="F28" s="30">
        <f>F27-F22</f>
        <v>170.03761036211904</v>
      </c>
      <c r="G28" s="30">
        <f t="shared" ref="G28:K28" si="7">G27-G22</f>
        <v>1443.1959999999999</v>
      </c>
      <c r="H28" s="30">
        <f t="shared" si="7"/>
        <v>28.717241369546191</v>
      </c>
      <c r="I28" s="30">
        <f t="shared" si="7"/>
        <v>31.196000000000002</v>
      </c>
      <c r="J28" s="30">
        <f t="shared" si="7"/>
        <v>10.32</v>
      </c>
      <c r="K28" s="30">
        <f t="shared" si="7"/>
        <v>22.799055555555547</v>
      </c>
    </row>
    <row r="29" spans="1:12" x14ac:dyDescent="0.3">
      <c r="B29" t="s">
        <v>263</v>
      </c>
      <c r="F29" s="30">
        <f>F24-F20</f>
        <v>157.75063558462585</v>
      </c>
      <c r="G29" s="30">
        <f t="shared" ref="G29:K29" si="8">G24-G20</f>
        <v>1266.6266910710833</v>
      </c>
      <c r="H29" s="30">
        <f t="shared" si="8"/>
        <v>5.4465975178164747</v>
      </c>
      <c r="I29" s="30">
        <f t="shared" si="8"/>
        <v>5.1386658146258508</v>
      </c>
      <c r="J29" s="30">
        <f t="shared" si="8"/>
        <v>13.720019210163427</v>
      </c>
      <c r="K29" s="30">
        <f t="shared" si="8"/>
        <v>23.221388804478991</v>
      </c>
    </row>
    <row r="30" spans="1:12" x14ac:dyDescent="0.3">
      <c r="B30" t="s">
        <v>264</v>
      </c>
      <c r="F30" s="30">
        <f>F20-F23</f>
        <v>73.764549600559334</v>
      </c>
      <c r="G30" s="30">
        <f t="shared" ref="G30:K30" si="9">G20-G23</f>
        <v>757.97628272078271</v>
      </c>
      <c r="H30" s="30">
        <f t="shared" si="9"/>
        <v>3.9446128051007117</v>
      </c>
      <c r="I30" s="30">
        <f t="shared" si="9"/>
        <v>2.6888341853741498</v>
      </c>
      <c r="J30" s="30">
        <f t="shared" si="9"/>
        <v>11.598732920984212</v>
      </c>
      <c r="K30" s="30">
        <f t="shared" si="9"/>
        <v>6.7494275220516222</v>
      </c>
    </row>
    <row r="31" spans="1:12" x14ac:dyDescent="0.3">
      <c r="B31" t="s">
        <v>265</v>
      </c>
      <c r="F31" s="30">
        <f>MEDIAN(F3:F19)</f>
        <v>88.520007286928148</v>
      </c>
      <c r="G31" s="29">
        <f t="shared" ref="G31:K31" si="10">MEDIAN(G3:G19)</f>
        <v>809.93888911487124</v>
      </c>
      <c r="H31" s="30">
        <f t="shared" si="10"/>
        <v>4.68</v>
      </c>
      <c r="I31" s="30">
        <f t="shared" si="10"/>
        <v>3.3147329999999999</v>
      </c>
      <c r="J31" s="30">
        <f t="shared" si="10"/>
        <v>11</v>
      </c>
      <c r="K31" s="30">
        <f t="shared" si="10"/>
        <v>4.8694757468760175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C3" sqref="C3"/>
    </sheetView>
  </sheetViews>
  <sheetFormatPr defaultRowHeight="14.4" x14ac:dyDescent="0.3"/>
  <sheetData>
    <row r="1" spans="1:5" x14ac:dyDescent="0.3">
      <c r="B1" t="s">
        <v>126</v>
      </c>
      <c r="C1" t="s">
        <v>143</v>
      </c>
      <c r="D1" t="s">
        <v>144</v>
      </c>
      <c r="E1" t="s">
        <v>145</v>
      </c>
    </row>
    <row r="2" spans="1:5" x14ac:dyDescent="0.3">
      <c r="A2" t="s">
        <v>2</v>
      </c>
      <c r="B2" s="33">
        <f>AVERAGE(COMPARE!B5:G5)</f>
        <v>114.98941648896904</v>
      </c>
      <c r="C2" s="35">
        <f>AVERAGE(COMPARE!H5:K5)</f>
        <v>78.524899439643974</v>
      </c>
      <c r="D2" s="36">
        <f>AVERAGE(COMPARE!L5:N5)</f>
        <v>84.397003428976049</v>
      </c>
      <c r="E2" s="37">
        <f>AVERAGE(COMPARE!O5:R5)</f>
        <v>101.91505905754762</v>
      </c>
    </row>
    <row r="3" spans="1:5" x14ac:dyDescent="0.3">
      <c r="A3" t="s">
        <v>4</v>
      </c>
      <c r="B3" s="33">
        <f>AVERAGE(COMPARE!B6:G6)</f>
        <v>905.06286981054802</v>
      </c>
      <c r="C3" s="35">
        <f>AVERAGE(COMPARE!H6:K6)</f>
        <v>700.11379730984697</v>
      </c>
      <c r="D3" s="36">
        <f>AVERAGE(COMPARE!L6:N6)</f>
        <v>724.22995181011868</v>
      </c>
      <c r="E3" s="37">
        <f>AVERAGE(COMPARE!O6:R6)</f>
        <v>1029.1006095072685</v>
      </c>
    </row>
    <row r="4" spans="1:5" x14ac:dyDescent="0.3">
      <c r="A4" t="s">
        <v>29</v>
      </c>
      <c r="B4" s="33">
        <f>AVERAGE(COMPARE!B7:G7)</f>
        <v>4.7641914696181855</v>
      </c>
      <c r="C4" s="35">
        <f>AVERAGE(COMPARE!H7:K7)</f>
        <v>2.3989838557475336</v>
      </c>
      <c r="D4" s="36">
        <f>AVERAGE(COMPARE!L7:N7)</f>
        <v>4.3787810452744642</v>
      </c>
      <c r="E4" s="37">
        <f>AVERAGE(COMPARE!O7:R7)</f>
        <v>5.7748079076708621</v>
      </c>
    </row>
    <row r="5" spans="1:5" x14ac:dyDescent="0.3">
      <c r="A5" t="s">
        <v>31</v>
      </c>
      <c r="B5" s="33">
        <f>AVERAGE(COMPARE!B8:G8)</f>
        <v>3.940402494331066</v>
      </c>
      <c r="C5" s="35">
        <f>AVERAGE(COMPARE!H8:K8)</f>
        <v>2.31</v>
      </c>
      <c r="D5" s="36">
        <f>AVERAGE(COMPARE!L8:N8)</f>
        <v>3.4647329999999998</v>
      </c>
      <c r="E5" s="37">
        <f>AVERAGE(COMPARE!O8:R8)</f>
        <v>3.36</v>
      </c>
    </row>
    <row r="6" spans="1:5" x14ac:dyDescent="0.3">
      <c r="A6" t="s">
        <v>5</v>
      </c>
      <c r="B6" s="33">
        <f>AVERAGE(COMPARE!B9:G9)</f>
        <v>6.7167148043071307</v>
      </c>
      <c r="C6" s="35">
        <f>AVERAGE(COMPARE!H9:K9)</f>
        <v>11.154166666666667</v>
      </c>
      <c r="D6" s="36">
        <f>AVERAGE(COMPARE!L9:N9)</f>
        <v>18.516857333333334</v>
      </c>
      <c r="E6" s="37">
        <f>AVERAGE(COMPARE!O9:R9)</f>
        <v>25.5</v>
      </c>
    </row>
    <row r="7" spans="1:5" x14ac:dyDescent="0.3">
      <c r="A7" t="s">
        <v>37</v>
      </c>
      <c r="B7" s="33">
        <f>AVERAGE(COMPARE!B10:G10)</f>
        <v>6.453542473399617</v>
      </c>
      <c r="C7" s="35">
        <f>AVERAGE(COMPARE!H10:K10)</f>
        <v>5.860500142633005</v>
      </c>
      <c r="D7" s="36">
        <f>AVERAGE(COMPARE!L10:N10)</f>
        <v>3.908295166666667</v>
      </c>
      <c r="E7" s="37">
        <f>AVERAGE(COMPARE!O10:R10)</f>
        <v>14.485380804514227</v>
      </c>
    </row>
    <row r="8" spans="1:5" x14ac:dyDescent="0.3">
      <c r="A8" s="60" t="s">
        <v>7</v>
      </c>
      <c r="B8" s="61">
        <v>0</v>
      </c>
      <c r="C8" s="61">
        <v>0</v>
      </c>
      <c r="D8" s="61">
        <v>0</v>
      </c>
      <c r="E8" s="6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DF3D-554F-45CC-A48E-8F022EA09045}">
  <dimension ref="A1:E8"/>
  <sheetViews>
    <sheetView workbookViewId="0">
      <selection activeCell="B3" sqref="B3"/>
    </sheetView>
  </sheetViews>
  <sheetFormatPr defaultRowHeight="14.4" x14ac:dyDescent="0.3"/>
  <sheetData>
    <row r="1" spans="1:5" x14ac:dyDescent="0.3">
      <c r="B1" t="s">
        <v>126</v>
      </c>
      <c r="C1" t="s">
        <v>143</v>
      </c>
      <c r="D1" t="s">
        <v>144</v>
      </c>
      <c r="E1" t="s">
        <v>145</v>
      </c>
    </row>
    <row r="2" spans="1:5" x14ac:dyDescent="0.3">
      <c r="A2" t="s">
        <v>2</v>
      </c>
      <c r="B2" s="33">
        <f>COMPARE!T5</f>
        <v>97.934549600559336</v>
      </c>
      <c r="C2" s="35">
        <f t="shared" ref="C2:E4" si="0">B2</f>
        <v>97.934549600559336</v>
      </c>
      <c r="D2" s="36">
        <f t="shared" si="0"/>
        <v>97.934549600559336</v>
      </c>
      <c r="E2" s="37">
        <f t="shared" si="0"/>
        <v>97.934549600559336</v>
      </c>
    </row>
    <row r="3" spans="1:5" x14ac:dyDescent="0.3">
      <c r="A3" t="s">
        <v>4</v>
      </c>
      <c r="B3" s="33">
        <f>COMPARE!T6</f>
        <v>850.92886448447234</v>
      </c>
      <c r="C3" s="35">
        <f t="shared" si="0"/>
        <v>850.92886448447234</v>
      </c>
      <c r="D3" s="36">
        <f t="shared" si="0"/>
        <v>850.92886448447234</v>
      </c>
      <c r="E3" s="37">
        <f t="shared" si="0"/>
        <v>850.92886448447234</v>
      </c>
    </row>
    <row r="4" spans="1:5" x14ac:dyDescent="0.3">
      <c r="A4" t="s">
        <v>29</v>
      </c>
      <c r="B4" s="33">
        <f>COMPARE!T7</f>
        <v>4.2223905828784893</v>
      </c>
      <c r="C4" s="35">
        <f t="shared" si="0"/>
        <v>4.2223905828784893</v>
      </c>
      <c r="D4" s="36">
        <f t="shared" si="0"/>
        <v>4.2223905828784893</v>
      </c>
      <c r="E4" s="37">
        <f t="shared" si="0"/>
        <v>4.2223905828784893</v>
      </c>
    </row>
    <row r="5" spans="1:5" x14ac:dyDescent="0.3">
      <c r="A5" t="s">
        <v>31</v>
      </c>
      <c r="B5" s="33">
        <f>COMPARE!T8</f>
        <v>3.3413341853741501</v>
      </c>
      <c r="C5" s="35">
        <f t="shared" ref="C5:E5" si="1">B5</f>
        <v>3.3413341853741501</v>
      </c>
      <c r="D5" s="36">
        <f t="shared" si="1"/>
        <v>3.3413341853741501</v>
      </c>
      <c r="E5" s="37">
        <f t="shared" si="1"/>
        <v>3.3413341853741501</v>
      </c>
    </row>
    <row r="6" spans="1:5" x14ac:dyDescent="0.3">
      <c r="A6" t="s">
        <v>5</v>
      </c>
      <c r="B6" s="33">
        <f>COMPARE!T9</f>
        <v>11.779980789836573</v>
      </c>
      <c r="C6" s="35">
        <f t="shared" ref="C6:E6" si="2">B6</f>
        <v>11.779980789836573</v>
      </c>
      <c r="D6" s="36">
        <f t="shared" si="2"/>
        <v>11.779980789836573</v>
      </c>
      <c r="E6" s="37">
        <f t="shared" si="2"/>
        <v>11.779980789836573</v>
      </c>
    </row>
    <row r="7" spans="1:5" x14ac:dyDescent="0.3">
      <c r="A7" t="s">
        <v>37</v>
      </c>
      <c r="B7" s="33">
        <f>COMPARE!T10</f>
        <v>7.7786111955210098</v>
      </c>
      <c r="C7" s="35">
        <f t="shared" ref="C7:E7" si="3">B7</f>
        <v>7.7786111955210098</v>
      </c>
      <c r="D7" s="36">
        <f t="shared" si="3"/>
        <v>7.7786111955210098</v>
      </c>
      <c r="E7" s="37">
        <f t="shared" si="3"/>
        <v>7.7786111955210098</v>
      </c>
    </row>
    <row r="8" spans="1:5" x14ac:dyDescent="0.3">
      <c r="A8" s="60" t="s">
        <v>7</v>
      </c>
      <c r="B8" s="61">
        <v>0</v>
      </c>
      <c r="C8" s="61">
        <v>0</v>
      </c>
      <c r="D8" s="61">
        <v>0</v>
      </c>
      <c r="E8" s="6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421-E2B0-4E0E-AAFC-D8816EE24B28}">
  <dimension ref="A1:E8"/>
  <sheetViews>
    <sheetView workbookViewId="0">
      <selection activeCell="B3" sqref="B3"/>
    </sheetView>
  </sheetViews>
  <sheetFormatPr defaultRowHeight="14.4" x14ac:dyDescent="0.3"/>
  <sheetData>
    <row r="1" spans="1:5" x14ac:dyDescent="0.3">
      <c r="B1" t="s">
        <v>126</v>
      </c>
      <c r="C1" t="s">
        <v>143</v>
      </c>
      <c r="D1" t="s">
        <v>144</v>
      </c>
      <c r="E1" t="s">
        <v>145</v>
      </c>
    </row>
    <row r="2" spans="1:5" x14ac:dyDescent="0.3">
      <c r="A2" t="s">
        <v>2</v>
      </c>
      <c r="B2" s="33">
        <f>COMPARE!U5</f>
        <v>88.520007286928148</v>
      </c>
      <c r="C2" s="35">
        <f t="shared" ref="C2:E7" si="0">B2</f>
        <v>88.520007286928148</v>
      </c>
      <c r="D2" s="36">
        <f t="shared" si="0"/>
        <v>88.520007286928148</v>
      </c>
      <c r="E2" s="37">
        <f t="shared" si="0"/>
        <v>88.520007286928148</v>
      </c>
    </row>
    <row r="3" spans="1:5" x14ac:dyDescent="0.3">
      <c r="A3" t="s">
        <v>4</v>
      </c>
      <c r="B3" s="33">
        <f>COMPARE!U6</f>
        <v>809.93888911487124</v>
      </c>
      <c r="C3" s="35">
        <f t="shared" si="0"/>
        <v>809.93888911487124</v>
      </c>
      <c r="D3" s="36">
        <f t="shared" si="0"/>
        <v>809.93888911487124</v>
      </c>
      <c r="E3" s="37">
        <f t="shared" si="0"/>
        <v>809.93888911487124</v>
      </c>
    </row>
    <row r="4" spans="1:5" x14ac:dyDescent="0.3">
      <c r="A4" t="s">
        <v>29</v>
      </c>
      <c r="B4" s="33">
        <f>COMPARE!U7</f>
        <v>4.68</v>
      </c>
      <c r="C4" s="35">
        <f t="shared" si="0"/>
        <v>4.68</v>
      </c>
      <c r="D4" s="36">
        <f t="shared" si="0"/>
        <v>4.68</v>
      </c>
      <c r="E4" s="37">
        <f t="shared" si="0"/>
        <v>4.68</v>
      </c>
    </row>
    <row r="5" spans="1:5" x14ac:dyDescent="0.3">
      <c r="A5" t="s">
        <v>31</v>
      </c>
      <c r="B5" s="33">
        <f>COMPARE!U8</f>
        <v>3.3147329999999999</v>
      </c>
      <c r="C5" s="35">
        <f t="shared" si="0"/>
        <v>3.3147329999999999</v>
      </c>
      <c r="D5" s="36">
        <f t="shared" si="0"/>
        <v>3.3147329999999999</v>
      </c>
      <c r="E5" s="37">
        <f t="shared" si="0"/>
        <v>3.3147329999999999</v>
      </c>
    </row>
    <row r="6" spans="1:5" x14ac:dyDescent="0.3">
      <c r="A6" t="s">
        <v>5</v>
      </c>
      <c r="B6" s="33">
        <f>COMPARE!U9</f>
        <v>11</v>
      </c>
      <c r="C6" s="35">
        <f t="shared" si="0"/>
        <v>11</v>
      </c>
      <c r="D6" s="36">
        <f t="shared" si="0"/>
        <v>11</v>
      </c>
      <c r="E6" s="37">
        <f t="shared" si="0"/>
        <v>11</v>
      </c>
    </row>
    <row r="7" spans="1:5" x14ac:dyDescent="0.3">
      <c r="A7" t="s">
        <v>37</v>
      </c>
      <c r="B7" s="33">
        <f>COMPARE!U10</f>
        <v>4.8694757468760175</v>
      </c>
      <c r="C7" s="35">
        <f t="shared" si="0"/>
        <v>4.8694757468760175</v>
      </c>
      <c r="D7" s="36">
        <f t="shared" si="0"/>
        <v>4.8694757468760175</v>
      </c>
      <c r="E7" s="37">
        <f t="shared" si="0"/>
        <v>4.8694757468760175</v>
      </c>
    </row>
    <row r="8" spans="1:5" x14ac:dyDescent="0.3">
      <c r="A8" s="60" t="s">
        <v>7</v>
      </c>
      <c r="B8" s="61">
        <v>0</v>
      </c>
      <c r="C8" s="61">
        <v>0</v>
      </c>
      <c r="D8" s="61">
        <v>0</v>
      </c>
      <c r="E8" s="6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18F1-BCE7-4869-9F16-920AC2A04F79}">
  <dimension ref="A1:E8"/>
  <sheetViews>
    <sheetView workbookViewId="0">
      <selection activeCell="B2" sqref="B2"/>
    </sheetView>
  </sheetViews>
  <sheetFormatPr defaultRowHeight="14.4" x14ac:dyDescent="0.3"/>
  <sheetData>
    <row r="1" spans="1:5" x14ac:dyDescent="0.3">
      <c r="B1" t="s">
        <v>126</v>
      </c>
      <c r="C1" t="s">
        <v>143</v>
      </c>
      <c r="D1" t="s">
        <v>144</v>
      </c>
      <c r="E1" t="s">
        <v>145</v>
      </c>
    </row>
    <row r="2" spans="1:5" x14ac:dyDescent="0.3">
      <c r="A2" t="s">
        <v>2</v>
      </c>
      <c r="B2" s="33">
        <f>Compare_tranposed!F22</f>
        <v>129.96238963788096</v>
      </c>
      <c r="C2" s="35">
        <f t="shared" ref="C2:E4" si="0">B2</f>
        <v>129.96238963788096</v>
      </c>
      <c r="D2" s="36">
        <f t="shared" si="0"/>
        <v>129.96238963788096</v>
      </c>
      <c r="E2" s="37">
        <f t="shared" si="0"/>
        <v>129.96238963788096</v>
      </c>
    </row>
    <row r="3" spans="1:5" x14ac:dyDescent="0.3">
      <c r="A3" t="s">
        <v>4</v>
      </c>
      <c r="B3" s="33">
        <f>Compare_tranposed!G22</f>
        <v>1056.8040000000001</v>
      </c>
      <c r="C3" s="35">
        <f t="shared" si="0"/>
        <v>1056.8040000000001</v>
      </c>
      <c r="D3" s="36">
        <f t="shared" si="0"/>
        <v>1056.8040000000001</v>
      </c>
      <c r="E3" s="37">
        <f t="shared" si="0"/>
        <v>1056.8040000000001</v>
      </c>
    </row>
    <row r="4" spans="1:5" x14ac:dyDescent="0.3">
      <c r="A4" t="s">
        <v>29</v>
      </c>
      <c r="B4" s="33">
        <f>Compare_tranposed!H22</f>
        <v>6.2827586304538086</v>
      </c>
      <c r="C4" s="35">
        <f t="shared" si="0"/>
        <v>6.2827586304538086</v>
      </c>
      <c r="D4" s="36">
        <f t="shared" si="0"/>
        <v>6.2827586304538086</v>
      </c>
      <c r="E4" s="37">
        <f t="shared" si="0"/>
        <v>6.2827586304538086</v>
      </c>
    </row>
    <row r="5" spans="1:5" x14ac:dyDescent="0.3">
      <c r="A5" t="s">
        <v>31</v>
      </c>
      <c r="B5" s="33">
        <f>Compare_tranposed!I22</f>
        <v>3.8039999999999998</v>
      </c>
      <c r="C5" s="35">
        <f t="shared" ref="C5:E7" si="1">B5</f>
        <v>3.8039999999999998</v>
      </c>
      <c r="D5" s="36">
        <f t="shared" si="1"/>
        <v>3.8039999999999998</v>
      </c>
      <c r="E5" s="37">
        <f t="shared" si="1"/>
        <v>3.8039999999999998</v>
      </c>
    </row>
    <row r="6" spans="1:5" x14ac:dyDescent="0.3">
      <c r="A6" t="s">
        <v>5</v>
      </c>
      <c r="B6" s="33">
        <f>Compare_tranposed!J22</f>
        <v>24.68</v>
      </c>
      <c r="C6" s="35">
        <f t="shared" si="1"/>
        <v>24.68</v>
      </c>
      <c r="D6" s="36">
        <f t="shared" si="1"/>
        <v>24.68</v>
      </c>
      <c r="E6" s="37">
        <f t="shared" si="1"/>
        <v>24.68</v>
      </c>
    </row>
    <row r="7" spans="1:5" x14ac:dyDescent="0.3">
      <c r="A7" t="s">
        <v>37</v>
      </c>
      <c r="B7" s="33">
        <f>Compare_tranposed!K22</f>
        <v>12.200944444444451</v>
      </c>
      <c r="C7" s="35">
        <f t="shared" si="1"/>
        <v>12.200944444444451</v>
      </c>
      <c r="D7" s="36">
        <f t="shared" si="1"/>
        <v>12.200944444444451</v>
      </c>
      <c r="E7" s="37">
        <f t="shared" si="1"/>
        <v>12.200944444444451</v>
      </c>
    </row>
    <row r="8" spans="1:5" x14ac:dyDescent="0.3">
      <c r="A8" s="60" t="s">
        <v>7</v>
      </c>
      <c r="B8" s="61">
        <v>0</v>
      </c>
      <c r="C8" s="61">
        <v>0</v>
      </c>
      <c r="D8" s="61">
        <v>0</v>
      </c>
      <c r="E8" s="6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580E-9A91-427D-A5C7-E153CFABF688}">
  <dimension ref="A1:E8"/>
  <sheetViews>
    <sheetView workbookViewId="0">
      <selection activeCell="H7" sqref="H7"/>
    </sheetView>
  </sheetViews>
  <sheetFormatPr defaultRowHeight="14.4" x14ac:dyDescent="0.3"/>
  <sheetData>
    <row r="1" spans="1:5" x14ac:dyDescent="0.3">
      <c r="B1" t="s">
        <v>126</v>
      </c>
      <c r="C1" t="s">
        <v>143</v>
      </c>
      <c r="D1" t="s">
        <v>144</v>
      </c>
      <c r="E1" t="s">
        <v>145</v>
      </c>
    </row>
    <row r="2" spans="1:5" x14ac:dyDescent="0.3">
      <c r="A2" t="s">
        <v>2</v>
      </c>
      <c r="B2" s="33">
        <f>Compare_tranposed!F22</f>
        <v>129.96238963788096</v>
      </c>
      <c r="C2" s="35">
        <f t="shared" ref="C2:E4" si="0">B2</f>
        <v>129.96238963788096</v>
      </c>
      <c r="D2" s="36">
        <f t="shared" si="0"/>
        <v>129.96238963788096</v>
      </c>
      <c r="E2" s="37">
        <f t="shared" si="0"/>
        <v>129.96238963788096</v>
      </c>
    </row>
    <row r="3" spans="1:5" x14ac:dyDescent="0.3">
      <c r="A3" t="s">
        <v>4</v>
      </c>
      <c r="B3" s="33">
        <f>Compare_tranposed!G22</f>
        <v>1056.8040000000001</v>
      </c>
      <c r="C3" s="35">
        <f t="shared" si="0"/>
        <v>1056.8040000000001</v>
      </c>
      <c r="D3" s="36">
        <f t="shared" si="0"/>
        <v>1056.8040000000001</v>
      </c>
      <c r="E3" s="37">
        <f t="shared" si="0"/>
        <v>1056.8040000000001</v>
      </c>
    </row>
    <row r="4" spans="1:5" x14ac:dyDescent="0.3">
      <c r="A4" t="s">
        <v>29</v>
      </c>
      <c r="B4" s="33">
        <f>Compare_tranposed!H22</f>
        <v>6.2827586304538086</v>
      </c>
      <c r="C4" s="35">
        <f t="shared" si="0"/>
        <v>6.2827586304538086</v>
      </c>
      <c r="D4" s="36">
        <f t="shared" si="0"/>
        <v>6.2827586304538086</v>
      </c>
      <c r="E4" s="37">
        <f t="shared" si="0"/>
        <v>6.2827586304538086</v>
      </c>
    </row>
    <row r="5" spans="1:5" x14ac:dyDescent="0.3">
      <c r="A5" t="s">
        <v>31</v>
      </c>
      <c r="B5" s="33">
        <f>Compare_tranposed!I22</f>
        <v>3.8039999999999998</v>
      </c>
      <c r="C5" s="35">
        <f t="shared" ref="C5:E7" si="1">B5</f>
        <v>3.8039999999999998</v>
      </c>
      <c r="D5" s="36">
        <f t="shared" si="1"/>
        <v>3.8039999999999998</v>
      </c>
      <c r="E5" s="37">
        <f t="shared" si="1"/>
        <v>3.8039999999999998</v>
      </c>
    </row>
    <row r="6" spans="1:5" x14ac:dyDescent="0.3">
      <c r="A6" t="s">
        <v>5</v>
      </c>
      <c r="B6" s="33">
        <f>Compare_tranposed!J22</f>
        <v>24.68</v>
      </c>
      <c r="C6" s="35">
        <f t="shared" si="1"/>
        <v>24.68</v>
      </c>
      <c r="D6" s="36">
        <f t="shared" si="1"/>
        <v>24.68</v>
      </c>
      <c r="E6" s="37">
        <f t="shared" si="1"/>
        <v>24.68</v>
      </c>
    </row>
    <row r="7" spans="1:5" x14ac:dyDescent="0.3">
      <c r="A7" t="s">
        <v>37</v>
      </c>
      <c r="B7" s="33">
        <f>Compare_tranposed!K22</f>
        <v>12.200944444444451</v>
      </c>
      <c r="C7" s="35">
        <f t="shared" si="1"/>
        <v>12.200944444444451</v>
      </c>
      <c r="D7" s="36">
        <f t="shared" si="1"/>
        <v>12.200944444444451</v>
      </c>
      <c r="E7" s="37">
        <f t="shared" si="1"/>
        <v>12.200944444444451</v>
      </c>
    </row>
    <row r="8" spans="1:5" x14ac:dyDescent="0.3">
      <c r="A8" s="60" t="s">
        <v>7</v>
      </c>
      <c r="B8" s="61">
        <v>0</v>
      </c>
      <c r="C8" s="61">
        <v>0</v>
      </c>
      <c r="D8" s="61">
        <v>0</v>
      </c>
      <c r="E8" s="6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A312"/>
  <sheetViews>
    <sheetView topLeftCell="M1" workbookViewId="0">
      <selection activeCell="E5" sqref="E5"/>
    </sheetView>
  </sheetViews>
  <sheetFormatPr defaultColWidth="9.109375" defaultRowHeight="14.4" x14ac:dyDescent="0.3"/>
  <cols>
    <col min="1" max="1" width="7" style="3" customWidth="1"/>
    <col min="2" max="3" width="10.6640625" style="3" customWidth="1"/>
    <col min="4" max="4" width="13" style="3" customWidth="1"/>
    <col min="5" max="5" width="25" style="3" customWidth="1"/>
    <col min="6" max="6" width="19.109375" style="3" customWidth="1"/>
    <col min="7" max="7" width="9.109375" style="3"/>
    <col min="8" max="8" width="16.33203125" style="3" customWidth="1"/>
    <col min="9" max="9" width="27.6640625" style="3" customWidth="1"/>
    <col min="10" max="10" width="16" style="3" customWidth="1"/>
    <col min="11" max="11" width="12.5546875" style="3" customWidth="1"/>
    <col min="12" max="13" width="22.44140625" style="3" customWidth="1"/>
    <col min="14" max="14" width="23" style="3" customWidth="1"/>
    <col min="15" max="15" width="13.33203125" style="3" customWidth="1"/>
    <col min="16" max="16" width="13.5546875" style="3" customWidth="1"/>
    <col min="17" max="17" width="12.109375" style="3" customWidth="1"/>
    <col min="18" max="18" width="13.33203125" style="3" customWidth="1"/>
    <col min="19" max="19" width="12" style="10" customWidth="1"/>
    <col min="20" max="20" width="9.109375" style="3"/>
    <col min="21" max="21" width="9.5546875" style="3" bestFit="1" customWidth="1"/>
    <col min="22" max="22" width="9.109375" style="3"/>
    <col min="23" max="23" width="16.109375" style="10" customWidth="1"/>
    <col min="24" max="24" width="10.109375" style="10" customWidth="1"/>
    <col min="25" max="25" width="11.5546875" style="3" bestFit="1" customWidth="1"/>
    <col min="26" max="26" width="9.109375" style="3"/>
    <col min="27" max="27" width="15.44140625" style="3" customWidth="1"/>
    <col min="28" max="16384" width="9.109375" style="3"/>
  </cols>
  <sheetData>
    <row r="1" spans="1:27" ht="44.25" customHeight="1" x14ac:dyDescent="0.3">
      <c r="A1" s="1" t="s">
        <v>25</v>
      </c>
      <c r="B1" s="1" t="s">
        <v>24</v>
      </c>
      <c r="C1" s="1" t="s">
        <v>245</v>
      </c>
      <c r="D1" s="1" t="s">
        <v>23</v>
      </c>
      <c r="E1" s="1" t="s">
        <v>22</v>
      </c>
      <c r="F1" s="1" t="s">
        <v>34</v>
      </c>
      <c r="G1" s="23" t="s">
        <v>21</v>
      </c>
      <c r="H1" s="1" t="s">
        <v>20</v>
      </c>
      <c r="I1" s="1" t="s">
        <v>19</v>
      </c>
      <c r="J1" s="1" t="s">
        <v>26</v>
      </c>
      <c r="K1" s="1" t="s">
        <v>18</v>
      </c>
      <c r="L1" s="1" t="s">
        <v>17</v>
      </c>
      <c r="M1" s="1" t="s">
        <v>16</v>
      </c>
      <c r="N1" s="1" t="s">
        <v>15</v>
      </c>
      <c r="O1" s="14" t="s">
        <v>14</v>
      </c>
      <c r="P1" s="1" t="s">
        <v>13</v>
      </c>
      <c r="Q1" s="1" t="s">
        <v>32</v>
      </c>
      <c r="R1" s="1" t="s">
        <v>33</v>
      </c>
      <c r="S1" s="9" t="s">
        <v>12</v>
      </c>
      <c r="T1" s="1" t="s">
        <v>36</v>
      </c>
      <c r="U1" s="1" t="s">
        <v>61</v>
      </c>
      <c r="V1" s="1" t="s">
        <v>11</v>
      </c>
      <c r="W1" s="9" t="s">
        <v>30</v>
      </c>
      <c r="X1" s="9" t="s">
        <v>35</v>
      </c>
      <c r="Y1" s="1" t="s">
        <v>27</v>
      </c>
      <c r="Z1" s="14" t="s">
        <v>10</v>
      </c>
      <c r="AA1" s="1" t="s">
        <v>9</v>
      </c>
    </row>
    <row r="2" spans="1:27" ht="30" customHeight="1" x14ac:dyDescent="0.3">
      <c r="A2" s="3">
        <v>1</v>
      </c>
      <c r="B2" s="3" t="s">
        <v>247</v>
      </c>
      <c r="C2" s="52" t="s">
        <v>248</v>
      </c>
      <c r="D2" s="3" t="s">
        <v>249</v>
      </c>
      <c r="E2" s="3" t="s">
        <v>62</v>
      </c>
      <c r="G2" s="22" t="s">
        <v>3</v>
      </c>
      <c r="I2" s="3" t="s">
        <v>6</v>
      </c>
      <c r="J2" s="3" t="s">
        <v>59</v>
      </c>
      <c r="M2" s="3">
        <v>22</v>
      </c>
      <c r="O2" s="3">
        <f t="shared" ref="O2:O7" si="0">4*M2</f>
        <v>88</v>
      </c>
      <c r="P2" s="15">
        <f t="shared" ref="P2:P7" si="1">1250+220</f>
        <v>1470</v>
      </c>
      <c r="Q2" s="15">
        <f t="shared" ref="Q2:Q7" si="2">P2*0.9</f>
        <v>1323</v>
      </c>
      <c r="R2" s="8">
        <f t="shared" ref="R2:R7" si="3">Q2/O2</f>
        <v>15.034090909090908</v>
      </c>
      <c r="S2" s="12" t="s">
        <v>4</v>
      </c>
      <c r="U2" s="3">
        <f>1872+131040+428721.3</f>
        <v>561633.30000000005</v>
      </c>
      <c r="W2" s="13">
        <f t="shared" ref="W2:W7" si="4">U2/Q2</f>
        <v>424.5149659863946</v>
      </c>
      <c r="X2" s="17">
        <v>1</v>
      </c>
      <c r="Y2" s="8">
        <f t="shared" ref="Y2:Y7" si="5">U2/O2</f>
        <v>6382.1965909090914</v>
      </c>
      <c r="AA2" s="3" t="s">
        <v>51</v>
      </c>
    </row>
    <row r="3" spans="1:27" ht="30" customHeight="1" x14ac:dyDescent="0.3">
      <c r="A3" s="3">
        <v>1</v>
      </c>
      <c r="G3" s="22" t="s">
        <v>3</v>
      </c>
      <c r="I3" s="3" t="s">
        <v>6</v>
      </c>
      <c r="M3" s="3">
        <v>22</v>
      </c>
      <c r="O3" s="3">
        <f t="shared" si="0"/>
        <v>88</v>
      </c>
      <c r="P3" s="15">
        <f t="shared" si="1"/>
        <v>1470</v>
      </c>
      <c r="Q3" s="15">
        <f t="shared" si="2"/>
        <v>1323</v>
      </c>
      <c r="R3" s="8">
        <f t="shared" si="3"/>
        <v>15.034090909090908</v>
      </c>
      <c r="S3" s="12" t="s">
        <v>5</v>
      </c>
      <c r="U3" s="3">
        <v>3993.27</v>
      </c>
      <c r="W3" s="13">
        <f t="shared" si="4"/>
        <v>3.018344671201814</v>
      </c>
      <c r="X3" s="17">
        <v>1</v>
      </c>
      <c r="Y3" s="8">
        <f t="shared" si="5"/>
        <v>45.378068181818179</v>
      </c>
    </row>
    <row r="4" spans="1:27" ht="30" customHeight="1" x14ac:dyDescent="0.3">
      <c r="A4" s="3">
        <v>1</v>
      </c>
      <c r="G4" s="22" t="s">
        <v>3</v>
      </c>
      <c r="I4" s="3" t="s">
        <v>6</v>
      </c>
      <c r="M4" s="3">
        <v>22</v>
      </c>
      <c r="O4" s="3">
        <f t="shared" si="0"/>
        <v>88</v>
      </c>
      <c r="P4" s="15">
        <f t="shared" si="1"/>
        <v>1470</v>
      </c>
      <c r="Q4" s="15">
        <f t="shared" si="2"/>
        <v>1323</v>
      </c>
      <c r="R4" s="8">
        <f t="shared" si="3"/>
        <v>15.034090909090908</v>
      </c>
      <c r="S4" s="12" t="s">
        <v>2</v>
      </c>
      <c r="U4" s="3">
        <f>811.2+106159.56+56784</f>
        <v>163754.76</v>
      </c>
      <c r="W4" s="13">
        <f t="shared" si="4"/>
        <v>123.77532879818595</v>
      </c>
      <c r="X4" s="17">
        <v>1</v>
      </c>
      <c r="Y4" s="8">
        <f t="shared" si="5"/>
        <v>1860.8495454545455</v>
      </c>
    </row>
    <row r="5" spans="1:27" ht="30" customHeight="1" x14ac:dyDescent="0.3">
      <c r="A5" s="3">
        <v>1</v>
      </c>
      <c r="G5" s="22" t="s">
        <v>3</v>
      </c>
      <c r="I5" s="3" t="s">
        <v>6</v>
      </c>
      <c r="M5" s="3">
        <v>22</v>
      </c>
      <c r="O5" s="3">
        <f t="shared" si="0"/>
        <v>88</v>
      </c>
      <c r="P5" s="15">
        <f t="shared" si="1"/>
        <v>1470</v>
      </c>
      <c r="Q5" s="15">
        <f t="shared" si="2"/>
        <v>1323</v>
      </c>
      <c r="R5" s="8">
        <f t="shared" si="3"/>
        <v>15.034090909090908</v>
      </c>
      <c r="S5" s="12" t="s">
        <v>63</v>
      </c>
      <c r="U5" s="3">
        <f>9.46</f>
        <v>9.4600000000000009</v>
      </c>
      <c r="W5" s="13">
        <f t="shared" si="4"/>
        <v>7.1504157218442938E-3</v>
      </c>
      <c r="X5" s="17">
        <v>1</v>
      </c>
      <c r="Y5" s="8">
        <f t="shared" si="5"/>
        <v>0.10750000000000001</v>
      </c>
    </row>
    <row r="6" spans="1:27" ht="30" customHeight="1" x14ac:dyDescent="0.3">
      <c r="A6" s="3">
        <v>1</v>
      </c>
      <c r="G6" s="22" t="s">
        <v>3</v>
      </c>
      <c r="I6" s="3" t="s">
        <v>6</v>
      </c>
      <c r="M6" s="3">
        <v>23</v>
      </c>
      <c r="O6" s="3">
        <f t="shared" si="0"/>
        <v>92</v>
      </c>
      <c r="P6" s="15">
        <f t="shared" si="1"/>
        <v>1470</v>
      </c>
      <c r="Q6" s="15">
        <f t="shared" si="2"/>
        <v>1323</v>
      </c>
      <c r="R6" s="8">
        <f t="shared" si="3"/>
        <v>14.380434782608695</v>
      </c>
      <c r="S6" s="12" t="s">
        <v>31</v>
      </c>
      <c r="U6" s="3">
        <f>2.38+3554.78</f>
        <v>3557.1600000000003</v>
      </c>
      <c r="W6" s="13">
        <f t="shared" si="4"/>
        <v>2.6887074829931974</v>
      </c>
      <c r="X6" s="17">
        <v>1</v>
      </c>
      <c r="Y6" s="8">
        <f t="shared" si="5"/>
        <v>38.664782608695653</v>
      </c>
    </row>
    <row r="7" spans="1:27" ht="30" customHeight="1" x14ac:dyDescent="0.3">
      <c r="A7" s="3">
        <v>1</v>
      </c>
      <c r="G7" s="22" t="s">
        <v>3</v>
      </c>
      <c r="I7" s="3" t="s">
        <v>6</v>
      </c>
      <c r="M7" s="3">
        <v>24</v>
      </c>
      <c r="O7" s="3">
        <f t="shared" si="0"/>
        <v>96</v>
      </c>
      <c r="P7" s="15">
        <f t="shared" si="1"/>
        <v>1470</v>
      </c>
      <c r="Q7" s="15">
        <f t="shared" si="2"/>
        <v>1323</v>
      </c>
      <c r="R7" s="8">
        <f t="shared" si="3"/>
        <v>13.78125</v>
      </c>
      <c r="S7" s="12" t="s">
        <v>37</v>
      </c>
      <c r="U7" s="3">
        <f>1359.12+2.49</f>
        <v>1361.61</v>
      </c>
      <c r="W7" s="13">
        <f t="shared" si="4"/>
        <v>1.0291836734693878</v>
      </c>
      <c r="X7" s="17">
        <v>1</v>
      </c>
      <c r="Y7" s="8">
        <f t="shared" si="5"/>
        <v>14.183437499999998</v>
      </c>
    </row>
    <row r="8" spans="1:27" ht="30" customHeight="1" x14ac:dyDescent="0.3">
      <c r="G8" s="22"/>
      <c r="S8" s="12"/>
      <c r="W8" s="13"/>
      <c r="X8" s="17"/>
    </row>
    <row r="9" spans="1:27" ht="30" customHeight="1" x14ac:dyDescent="0.3">
      <c r="G9" s="22"/>
      <c r="S9" s="12"/>
      <c r="W9" s="13"/>
      <c r="X9" s="17"/>
    </row>
    <row r="10" spans="1:27" ht="30" customHeight="1" x14ac:dyDescent="0.3">
      <c r="G10" s="22"/>
      <c r="S10" s="12"/>
      <c r="W10" s="13"/>
      <c r="X10" s="17"/>
    </row>
    <row r="11" spans="1:27" ht="30" customHeight="1" x14ac:dyDescent="0.3">
      <c r="G11" s="20"/>
      <c r="S11" s="12"/>
      <c r="W11" s="13"/>
      <c r="X11" s="17"/>
    </row>
    <row r="12" spans="1:27" ht="30" customHeight="1" x14ac:dyDescent="0.3">
      <c r="G12" s="22"/>
      <c r="S12" s="12"/>
      <c r="W12" s="13"/>
      <c r="X12" s="17"/>
    </row>
    <row r="13" spans="1:27" ht="30" customHeight="1" x14ac:dyDescent="0.3">
      <c r="G13" s="22"/>
      <c r="S13" s="12"/>
      <c r="W13" s="13"/>
      <c r="X13" s="17"/>
    </row>
    <row r="14" spans="1:27" ht="30" customHeight="1" x14ac:dyDescent="0.3">
      <c r="G14" s="20"/>
      <c r="S14" s="12"/>
      <c r="W14" s="13"/>
      <c r="X14" s="17"/>
    </row>
    <row r="15" spans="1:27" ht="30" customHeight="1" x14ac:dyDescent="0.3">
      <c r="G15" s="22"/>
      <c r="S15" s="12"/>
      <c r="W15" s="13"/>
      <c r="X15" s="17"/>
    </row>
    <row r="16" spans="1:27" ht="30" customHeight="1" x14ac:dyDescent="0.3">
      <c r="G16" s="22"/>
      <c r="S16" s="12"/>
      <c r="W16" s="13"/>
      <c r="X16" s="17"/>
    </row>
    <row r="17" spans="7:24" ht="30" customHeight="1" x14ac:dyDescent="0.3">
      <c r="G17" s="22"/>
      <c r="S17" s="12"/>
      <c r="W17" s="13"/>
      <c r="X17" s="17"/>
    </row>
    <row r="18" spans="7:24" ht="30" customHeight="1" x14ac:dyDescent="0.3">
      <c r="G18" s="22"/>
      <c r="S18" s="12"/>
      <c r="W18" s="13"/>
      <c r="X18" s="17"/>
    </row>
    <row r="19" spans="7:24" ht="30" customHeight="1" x14ac:dyDescent="0.3">
      <c r="G19" s="20"/>
      <c r="S19" s="12"/>
      <c r="W19" s="13"/>
      <c r="X19" s="17"/>
    </row>
    <row r="20" spans="7:24" ht="30" customHeight="1" x14ac:dyDescent="0.3">
      <c r="G20" s="22"/>
      <c r="S20" s="12"/>
      <c r="W20" s="13"/>
      <c r="X20" s="17"/>
    </row>
    <row r="21" spans="7:24" x14ac:dyDescent="0.3">
      <c r="G21" s="22"/>
      <c r="S21" s="12"/>
      <c r="W21" s="13"/>
      <c r="X21" s="17"/>
    </row>
    <row r="22" spans="7:24" x14ac:dyDescent="0.3">
      <c r="G22" s="20"/>
      <c r="S22" s="12"/>
      <c r="W22" s="13"/>
      <c r="X22" s="17"/>
    </row>
    <row r="23" spans="7:24" x14ac:dyDescent="0.3">
      <c r="G23" s="22"/>
      <c r="S23" s="12"/>
      <c r="W23" s="13"/>
      <c r="X23" s="17"/>
    </row>
    <row r="24" spans="7:24" x14ac:dyDescent="0.3">
      <c r="G24" s="22"/>
      <c r="S24" s="12"/>
      <c r="W24" s="13"/>
      <c r="X24" s="17"/>
    </row>
    <row r="25" spans="7:24" x14ac:dyDescent="0.3">
      <c r="G25" s="22"/>
      <c r="S25" s="12"/>
      <c r="W25" s="13"/>
      <c r="X25" s="17"/>
    </row>
    <row r="26" spans="7:24" x14ac:dyDescent="0.3">
      <c r="G26" s="22"/>
      <c r="S26" s="12"/>
      <c r="W26" s="13"/>
      <c r="X26" s="17"/>
    </row>
    <row r="27" spans="7:24" x14ac:dyDescent="0.3">
      <c r="G27" s="20"/>
      <c r="S27" s="12"/>
      <c r="W27" s="13"/>
      <c r="X27" s="17"/>
    </row>
    <row r="28" spans="7:24" x14ac:dyDescent="0.3">
      <c r="G28" s="22"/>
      <c r="S28" s="12"/>
      <c r="W28" s="13"/>
      <c r="X28" s="17"/>
    </row>
    <row r="29" spans="7:24" x14ac:dyDescent="0.3">
      <c r="G29" s="22"/>
      <c r="S29" s="12"/>
      <c r="W29" s="13"/>
      <c r="X29" s="17"/>
    </row>
    <row r="30" spans="7:24" x14ac:dyDescent="0.3">
      <c r="G30" s="20"/>
      <c r="S30" s="12"/>
      <c r="W30" s="13"/>
      <c r="X30" s="17"/>
    </row>
    <row r="31" spans="7:24" x14ac:dyDescent="0.3">
      <c r="G31" s="22"/>
      <c r="S31" s="12"/>
      <c r="W31" s="13"/>
      <c r="X31" s="17"/>
    </row>
    <row r="32" spans="7:24" x14ac:dyDescent="0.3">
      <c r="G32" s="22"/>
      <c r="S32" s="12"/>
      <c r="W32" s="13"/>
      <c r="X32" s="17"/>
    </row>
    <row r="33" spans="7:24" x14ac:dyDescent="0.3">
      <c r="G33" s="22"/>
      <c r="S33" s="12"/>
      <c r="W33" s="13"/>
      <c r="X33" s="17"/>
    </row>
    <row r="34" spans="7:24" x14ac:dyDescent="0.3">
      <c r="G34" s="22"/>
      <c r="S34" s="12"/>
      <c r="W34" s="13"/>
      <c r="X34" s="17"/>
    </row>
    <row r="35" spans="7:24" x14ac:dyDescent="0.3">
      <c r="G35" s="20"/>
      <c r="S35" s="12"/>
      <c r="W35" s="13"/>
      <c r="X35" s="17"/>
    </row>
    <row r="36" spans="7:24" x14ac:dyDescent="0.3">
      <c r="G36" s="22"/>
      <c r="S36" s="12"/>
      <c r="W36" s="13"/>
      <c r="X36" s="17"/>
    </row>
    <row r="37" spans="7:24" x14ac:dyDescent="0.3">
      <c r="G37" s="22"/>
      <c r="S37" s="12"/>
      <c r="W37" s="13"/>
      <c r="X37" s="17"/>
    </row>
    <row r="38" spans="7:24" x14ac:dyDescent="0.3">
      <c r="G38" s="20"/>
      <c r="S38" s="12"/>
      <c r="W38" s="13"/>
      <c r="X38" s="17"/>
    </row>
    <row r="39" spans="7:24" x14ac:dyDescent="0.3">
      <c r="G39" s="22"/>
      <c r="S39" s="12"/>
      <c r="W39" s="13"/>
      <c r="X39" s="17"/>
    </row>
    <row r="40" spans="7:24" x14ac:dyDescent="0.3">
      <c r="G40" s="22"/>
      <c r="S40" s="12"/>
      <c r="W40" s="13"/>
      <c r="X40" s="17"/>
    </row>
    <row r="41" spans="7:24" x14ac:dyDescent="0.3">
      <c r="G41" s="22"/>
      <c r="S41" s="12"/>
      <c r="W41" s="13"/>
      <c r="X41" s="17"/>
    </row>
    <row r="42" spans="7:24" x14ac:dyDescent="0.3">
      <c r="G42" s="22"/>
      <c r="S42" s="12"/>
      <c r="W42" s="13"/>
      <c r="X42" s="17"/>
    </row>
    <row r="43" spans="7:24" x14ac:dyDescent="0.3">
      <c r="G43" s="20"/>
      <c r="S43" s="12"/>
      <c r="W43" s="13"/>
      <c r="X43" s="17"/>
    </row>
    <row r="44" spans="7:24" x14ac:dyDescent="0.3">
      <c r="G44" s="22"/>
      <c r="S44" s="12"/>
      <c r="W44" s="13"/>
      <c r="X44" s="17"/>
    </row>
    <row r="45" spans="7:24" x14ac:dyDescent="0.3">
      <c r="G45" s="22"/>
      <c r="S45" s="12"/>
      <c r="W45" s="13"/>
      <c r="X45" s="17"/>
    </row>
    <row r="46" spans="7:24" x14ac:dyDescent="0.3">
      <c r="G46" s="20"/>
      <c r="S46" s="12"/>
      <c r="W46" s="13"/>
      <c r="X46" s="17"/>
    </row>
    <row r="47" spans="7:24" x14ac:dyDescent="0.3">
      <c r="G47" s="22"/>
      <c r="S47" s="12"/>
      <c r="W47" s="13"/>
      <c r="X47" s="17"/>
    </row>
    <row r="48" spans="7:24" x14ac:dyDescent="0.3">
      <c r="G48" s="22"/>
      <c r="S48" s="12"/>
      <c r="W48" s="13"/>
      <c r="X48" s="17"/>
    </row>
    <row r="49" spans="7:24" x14ac:dyDescent="0.3">
      <c r="G49" s="22"/>
      <c r="S49" s="12"/>
      <c r="W49" s="13"/>
      <c r="X49" s="17"/>
    </row>
    <row r="50" spans="7:24" x14ac:dyDescent="0.3">
      <c r="G50" s="22"/>
      <c r="S50" s="12"/>
      <c r="W50" s="13"/>
      <c r="X50" s="17"/>
    </row>
    <row r="51" spans="7:24" x14ac:dyDescent="0.3">
      <c r="G51" s="20"/>
      <c r="S51" s="12"/>
      <c r="W51" s="13"/>
      <c r="X51" s="17"/>
    </row>
    <row r="52" spans="7:24" x14ac:dyDescent="0.3">
      <c r="G52" s="22"/>
      <c r="S52" s="12"/>
      <c r="W52" s="13"/>
      <c r="X52" s="17"/>
    </row>
    <row r="53" spans="7:24" x14ac:dyDescent="0.3">
      <c r="G53" s="22"/>
      <c r="S53" s="12"/>
      <c r="W53" s="13"/>
      <c r="X53" s="17"/>
    </row>
    <row r="54" spans="7:24" x14ac:dyDescent="0.3">
      <c r="G54" s="20"/>
      <c r="S54" s="12"/>
      <c r="W54" s="13"/>
      <c r="X54" s="17"/>
    </row>
    <row r="55" spans="7:24" x14ac:dyDescent="0.3">
      <c r="G55" s="22"/>
      <c r="S55" s="12"/>
      <c r="W55" s="13"/>
      <c r="X55" s="17"/>
    </row>
    <row r="56" spans="7:24" x14ac:dyDescent="0.3">
      <c r="G56" s="22"/>
      <c r="S56" s="12"/>
      <c r="W56" s="13"/>
      <c r="X56" s="17"/>
    </row>
    <row r="57" spans="7:24" x14ac:dyDescent="0.3">
      <c r="G57" s="22"/>
      <c r="S57" s="12"/>
      <c r="W57" s="13"/>
      <c r="X57" s="17"/>
    </row>
    <row r="58" spans="7:24" x14ac:dyDescent="0.3">
      <c r="G58" s="22"/>
      <c r="S58" s="12"/>
      <c r="W58" s="13"/>
      <c r="X58" s="17"/>
    </row>
    <row r="59" spans="7:24" x14ac:dyDescent="0.3">
      <c r="G59" s="20"/>
      <c r="S59" s="12"/>
      <c r="W59" s="13"/>
      <c r="X59" s="17"/>
    </row>
    <row r="60" spans="7:24" x14ac:dyDescent="0.3">
      <c r="G60" s="22"/>
      <c r="S60" s="12"/>
      <c r="W60" s="13"/>
      <c r="X60" s="17"/>
    </row>
    <row r="61" spans="7:24" x14ac:dyDescent="0.3">
      <c r="G61" s="22"/>
      <c r="S61" s="12"/>
      <c r="W61" s="13"/>
      <c r="X61" s="17"/>
    </row>
    <row r="62" spans="7:24" x14ac:dyDescent="0.3">
      <c r="G62" s="20"/>
      <c r="S62" s="12"/>
      <c r="W62" s="13"/>
      <c r="X62" s="17"/>
    </row>
    <row r="63" spans="7:24" x14ac:dyDescent="0.3">
      <c r="G63" s="22"/>
      <c r="S63" s="12"/>
      <c r="W63" s="13"/>
      <c r="X63" s="17"/>
    </row>
    <row r="64" spans="7:24" x14ac:dyDescent="0.3">
      <c r="G64" s="22"/>
      <c r="S64" s="12"/>
      <c r="W64" s="13"/>
      <c r="X64" s="17"/>
    </row>
    <row r="65" spans="7:24" x14ac:dyDescent="0.3">
      <c r="G65" s="22"/>
      <c r="S65" s="12"/>
      <c r="W65" s="13"/>
      <c r="X65" s="17"/>
    </row>
    <row r="66" spans="7:24" x14ac:dyDescent="0.3">
      <c r="G66" s="22"/>
      <c r="S66" s="12"/>
      <c r="W66" s="13"/>
      <c r="X66" s="17"/>
    </row>
    <row r="67" spans="7:24" x14ac:dyDescent="0.3">
      <c r="G67" s="20"/>
      <c r="S67" s="12"/>
      <c r="W67" s="13"/>
      <c r="X67" s="17"/>
    </row>
    <row r="68" spans="7:24" x14ac:dyDescent="0.3">
      <c r="G68" s="22"/>
      <c r="S68" s="12"/>
      <c r="W68" s="13"/>
      <c r="X68" s="17"/>
    </row>
    <row r="69" spans="7:24" x14ac:dyDescent="0.3">
      <c r="G69" s="22"/>
      <c r="S69" s="12"/>
      <c r="W69" s="13"/>
      <c r="X69" s="17"/>
    </row>
    <row r="70" spans="7:24" x14ac:dyDescent="0.3">
      <c r="G70" s="20"/>
      <c r="S70" s="12"/>
      <c r="W70" s="13"/>
      <c r="X70" s="17"/>
    </row>
    <row r="71" spans="7:24" x14ac:dyDescent="0.3">
      <c r="G71" s="22"/>
      <c r="S71" s="12"/>
      <c r="W71" s="13"/>
      <c r="X71" s="17"/>
    </row>
    <row r="72" spans="7:24" x14ac:dyDescent="0.3">
      <c r="G72" s="22"/>
      <c r="S72" s="12"/>
      <c r="W72" s="13"/>
      <c r="X72" s="17"/>
    </row>
    <row r="73" spans="7:24" x14ac:dyDescent="0.3">
      <c r="G73" s="22"/>
      <c r="S73" s="12"/>
      <c r="W73" s="13"/>
      <c r="X73" s="17"/>
    </row>
    <row r="74" spans="7:24" x14ac:dyDescent="0.3">
      <c r="G74" s="22"/>
      <c r="S74" s="12"/>
      <c r="W74" s="13"/>
      <c r="X74" s="17"/>
    </row>
    <row r="75" spans="7:24" x14ac:dyDescent="0.3">
      <c r="G75" s="20"/>
      <c r="S75" s="12"/>
      <c r="W75" s="13"/>
      <c r="X75" s="17"/>
    </row>
    <row r="76" spans="7:24" x14ac:dyDescent="0.3">
      <c r="G76" s="22"/>
      <c r="S76" s="12"/>
      <c r="W76" s="13"/>
      <c r="X76" s="17"/>
    </row>
    <row r="77" spans="7:24" x14ac:dyDescent="0.3">
      <c r="G77" s="22"/>
      <c r="S77" s="12"/>
      <c r="W77" s="13"/>
      <c r="X77" s="17"/>
    </row>
    <row r="78" spans="7:24" x14ac:dyDescent="0.3">
      <c r="G78" s="20"/>
      <c r="S78" s="12"/>
      <c r="W78" s="13"/>
      <c r="X78" s="17"/>
    </row>
    <row r="79" spans="7:24" x14ac:dyDescent="0.3">
      <c r="G79" s="22"/>
      <c r="S79" s="12"/>
      <c r="W79" s="13"/>
      <c r="X79" s="17"/>
    </row>
    <row r="80" spans="7:24" x14ac:dyDescent="0.3">
      <c r="G80" s="22"/>
      <c r="S80" s="12"/>
      <c r="W80" s="13"/>
      <c r="X80" s="17"/>
    </row>
    <row r="81" spans="7:24" x14ac:dyDescent="0.3">
      <c r="G81" s="22"/>
      <c r="S81" s="12"/>
      <c r="W81" s="13"/>
      <c r="X81" s="17"/>
    </row>
    <row r="82" spans="7:24" x14ac:dyDescent="0.3">
      <c r="G82" s="22"/>
      <c r="S82" s="12"/>
      <c r="W82" s="13"/>
      <c r="X82" s="17"/>
    </row>
    <row r="83" spans="7:24" x14ac:dyDescent="0.3">
      <c r="G83" s="20"/>
      <c r="S83" s="12"/>
      <c r="W83" s="13"/>
      <c r="X83" s="17"/>
    </row>
    <row r="84" spans="7:24" x14ac:dyDescent="0.3">
      <c r="G84" s="22"/>
      <c r="S84" s="12"/>
      <c r="W84" s="13"/>
      <c r="X84" s="17"/>
    </row>
    <row r="85" spans="7:24" x14ac:dyDescent="0.3">
      <c r="G85" s="22"/>
      <c r="S85" s="12"/>
      <c r="W85" s="13"/>
      <c r="X85" s="17"/>
    </row>
    <row r="86" spans="7:24" x14ac:dyDescent="0.3">
      <c r="G86" s="20"/>
      <c r="S86" s="12"/>
      <c r="W86" s="13"/>
      <c r="X86" s="17"/>
    </row>
    <row r="87" spans="7:24" x14ac:dyDescent="0.3">
      <c r="G87" s="22"/>
      <c r="S87" s="12"/>
      <c r="W87" s="13"/>
      <c r="X87" s="17"/>
    </row>
    <row r="88" spans="7:24" x14ac:dyDescent="0.3">
      <c r="G88" s="22"/>
      <c r="S88" s="12"/>
      <c r="W88" s="13"/>
      <c r="X88" s="17"/>
    </row>
    <row r="89" spans="7:24" x14ac:dyDescent="0.3">
      <c r="G89" s="22"/>
      <c r="S89" s="12"/>
      <c r="W89" s="13"/>
      <c r="X89" s="17"/>
    </row>
    <row r="90" spans="7:24" x14ac:dyDescent="0.3">
      <c r="G90" s="22"/>
      <c r="S90" s="12"/>
      <c r="W90" s="13"/>
      <c r="X90" s="17"/>
    </row>
    <row r="91" spans="7:24" x14ac:dyDescent="0.3">
      <c r="G91" s="20"/>
      <c r="S91" s="12"/>
      <c r="W91" s="13"/>
      <c r="X91" s="17"/>
    </row>
    <row r="92" spans="7:24" x14ac:dyDescent="0.3">
      <c r="G92" s="22"/>
      <c r="S92" s="12"/>
      <c r="W92" s="13"/>
      <c r="X92" s="17"/>
    </row>
    <row r="93" spans="7:24" x14ac:dyDescent="0.3">
      <c r="G93" s="22"/>
      <c r="S93" s="12"/>
      <c r="W93" s="13"/>
      <c r="X93" s="17"/>
    </row>
    <row r="94" spans="7:24" x14ac:dyDescent="0.3">
      <c r="G94" s="20"/>
      <c r="S94" s="12"/>
      <c r="W94" s="13"/>
      <c r="X94" s="17"/>
    </row>
    <row r="95" spans="7:24" x14ac:dyDescent="0.3">
      <c r="G95" s="22"/>
      <c r="S95" s="12"/>
      <c r="W95" s="13"/>
      <c r="X95" s="17"/>
    </row>
    <row r="96" spans="7:24" x14ac:dyDescent="0.3">
      <c r="G96" s="22"/>
      <c r="S96" s="12"/>
      <c r="W96" s="13"/>
      <c r="X96" s="17"/>
    </row>
    <row r="97" spans="7:24" x14ac:dyDescent="0.3">
      <c r="G97" s="22"/>
      <c r="S97" s="12"/>
      <c r="W97" s="13"/>
      <c r="X97" s="17"/>
    </row>
    <row r="98" spans="7:24" x14ac:dyDescent="0.3">
      <c r="G98" s="22"/>
      <c r="S98" s="12"/>
      <c r="W98" s="13"/>
      <c r="X98" s="17"/>
    </row>
    <row r="99" spans="7:24" x14ac:dyDescent="0.3">
      <c r="G99" s="20"/>
      <c r="S99" s="12"/>
      <c r="W99" s="13"/>
      <c r="X99" s="17"/>
    </row>
    <row r="100" spans="7:24" x14ac:dyDescent="0.3">
      <c r="G100" s="22"/>
      <c r="S100" s="12"/>
      <c r="W100" s="13"/>
      <c r="X100" s="17"/>
    </row>
    <row r="101" spans="7:24" x14ac:dyDescent="0.3">
      <c r="G101" s="22"/>
      <c r="S101" s="12"/>
      <c r="W101" s="13"/>
      <c r="X101" s="17"/>
    </row>
    <row r="102" spans="7:24" x14ac:dyDescent="0.3">
      <c r="G102" s="20"/>
      <c r="S102" s="12"/>
      <c r="W102" s="13"/>
      <c r="X102" s="17"/>
    </row>
    <row r="103" spans="7:24" x14ac:dyDescent="0.3">
      <c r="G103" s="22"/>
      <c r="S103" s="12"/>
      <c r="W103" s="13"/>
      <c r="X103" s="17"/>
    </row>
    <row r="104" spans="7:24" x14ac:dyDescent="0.3">
      <c r="G104" s="22"/>
      <c r="S104" s="12"/>
      <c r="W104" s="13"/>
      <c r="X104" s="17"/>
    </row>
    <row r="105" spans="7:24" x14ac:dyDescent="0.3">
      <c r="G105" s="22"/>
      <c r="S105" s="12"/>
      <c r="W105" s="13"/>
      <c r="X105" s="17"/>
    </row>
    <row r="106" spans="7:24" x14ac:dyDescent="0.3">
      <c r="G106" s="22"/>
      <c r="S106" s="12"/>
      <c r="W106" s="13"/>
      <c r="X106" s="17"/>
    </row>
    <row r="107" spans="7:24" x14ac:dyDescent="0.3">
      <c r="G107" s="20"/>
      <c r="S107" s="12"/>
      <c r="W107" s="13"/>
      <c r="X107" s="17"/>
    </row>
    <row r="108" spans="7:24" x14ac:dyDescent="0.3">
      <c r="G108" s="22"/>
      <c r="S108" s="12"/>
      <c r="W108" s="13"/>
      <c r="X108" s="17"/>
    </row>
    <row r="109" spans="7:24" x14ac:dyDescent="0.3">
      <c r="G109" s="22"/>
      <c r="S109" s="12"/>
      <c r="W109" s="13"/>
      <c r="X109" s="17"/>
    </row>
    <row r="110" spans="7:24" x14ac:dyDescent="0.3">
      <c r="G110" s="20"/>
      <c r="S110" s="12"/>
      <c r="W110" s="13"/>
      <c r="X110" s="17"/>
    </row>
    <row r="111" spans="7:24" x14ac:dyDescent="0.3">
      <c r="G111" s="22"/>
      <c r="S111" s="12"/>
      <c r="W111" s="13"/>
      <c r="X111" s="17"/>
    </row>
    <row r="112" spans="7:24" x14ac:dyDescent="0.3">
      <c r="G112" s="22"/>
      <c r="S112" s="12"/>
      <c r="W112" s="13"/>
      <c r="X112" s="17"/>
    </row>
    <row r="113" spans="7:24" x14ac:dyDescent="0.3">
      <c r="G113" s="22"/>
      <c r="S113" s="12"/>
      <c r="W113" s="13"/>
      <c r="X113" s="17"/>
    </row>
    <row r="114" spans="7:24" x14ac:dyDescent="0.3">
      <c r="G114" s="22"/>
      <c r="S114" s="12"/>
      <c r="W114" s="13"/>
      <c r="X114" s="17"/>
    </row>
    <row r="115" spans="7:24" x14ac:dyDescent="0.3">
      <c r="G115" s="20"/>
      <c r="S115" s="12"/>
      <c r="W115" s="13"/>
      <c r="X115" s="17"/>
    </row>
    <row r="116" spans="7:24" x14ac:dyDescent="0.3">
      <c r="G116" s="22"/>
      <c r="S116" s="12"/>
      <c r="W116" s="13"/>
      <c r="X116" s="17"/>
    </row>
    <row r="117" spans="7:24" x14ac:dyDescent="0.3">
      <c r="G117" s="22"/>
      <c r="S117" s="12"/>
      <c r="W117" s="13"/>
      <c r="X117" s="17"/>
    </row>
    <row r="118" spans="7:24" x14ac:dyDescent="0.3">
      <c r="G118" s="20"/>
      <c r="S118" s="12"/>
      <c r="W118" s="13"/>
      <c r="X118" s="17"/>
    </row>
    <row r="119" spans="7:24" x14ac:dyDescent="0.3">
      <c r="G119" s="22"/>
      <c r="S119" s="12"/>
      <c r="W119" s="13"/>
      <c r="X119" s="17"/>
    </row>
    <row r="120" spans="7:24" x14ac:dyDescent="0.3">
      <c r="G120" s="22"/>
      <c r="S120" s="12"/>
      <c r="W120" s="13"/>
      <c r="X120" s="17"/>
    </row>
    <row r="121" spans="7:24" x14ac:dyDescent="0.3">
      <c r="G121" s="22"/>
      <c r="S121" s="12"/>
      <c r="W121" s="13"/>
      <c r="X121" s="17"/>
    </row>
    <row r="122" spans="7:24" x14ac:dyDescent="0.3">
      <c r="G122" s="22"/>
      <c r="S122" s="12"/>
      <c r="W122" s="13"/>
      <c r="X122" s="17"/>
    </row>
    <row r="123" spans="7:24" x14ac:dyDescent="0.3">
      <c r="G123" s="20"/>
      <c r="S123" s="12"/>
      <c r="W123" s="13"/>
      <c r="X123" s="17"/>
    </row>
    <row r="124" spans="7:24" x14ac:dyDescent="0.3">
      <c r="G124" s="22"/>
      <c r="S124" s="12"/>
      <c r="W124" s="13"/>
      <c r="X124" s="17"/>
    </row>
    <row r="125" spans="7:24" x14ac:dyDescent="0.3">
      <c r="G125" s="22"/>
      <c r="S125" s="12"/>
      <c r="W125" s="13"/>
      <c r="X125" s="17"/>
    </row>
    <row r="126" spans="7:24" x14ac:dyDescent="0.3">
      <c r="G126" s="20"/>
      <c r="S126" s="12"/>
      <c r="W126" s="13"/>
      <c r="X126" s="17"/>
    </row>
    <row r="127" spans="7:24" x14ac:dyDescent="0.3">
      <c r="G127" s="22"/>
      <c r="S127" s="12"/>
      <c r="W127" s="13"/>
      <c r="X127" s="17"/>
    </row>
    <row r="128" spans="7:24" x14ac:dyDescent="0.3">
      <c r="G128" s="22"/>
      <c r="S128" s="12"/>
      <c r="W128" s="13"/>
      <c r="X128" s="17"/>
    </row>
    <row r="129" spans="7:24" x14ac:dyDescent="0.3">
      <c r="G129" s="22"/>
      <c r="S129" s="12"/>
      <c r="W129" s="13"/>
      <c r="X129" s="17"/>
    </row>
    <row r="130" spans="7:24" x14ac:dyDescent="0.3">
      <c r="G130" s="22"/>
      <c r="S130" s="12"/>
      <c r="W130" s="13"/>
      <c r="X130" s="17"/>
    </row>
    <row r="131" spans="7:24" x14ac:dyDescent="0.3">
      <c r="G131" s="20"/>
      <c r="S131" s="12"/>
      <c r="W131" s="13"/>
      <c r="X131" s="17"/>
    </row>
    <row r="132" spans="7:24" x14ac:dyDescent="0.3">
      <c r="G132" s="22"/>
      <c r="S132" s="12"/>
      <c r="W132" s="13"/>
      <c r="X132" s="17"/>
    </row>
    <row r="133" spans="7:24" x14ac:dyDescent="0.3">
      <c r="G133" s="22"/>
      <c r="S133" s="12"/>
      <c r="W133" s="13"/>
      <c r="X133" s="17"/>
    </row>
    <row r="134" spans="7:24" x14ac:dyDescent="0.3">
      <c r="G134" s="20"/>
      <c r="S134" s="12"/>
      <c r="W134" s="13"/>
      <c r="X134" s="17"/>
    </row>
    <row r="135" spans="7:24" x14ac:dyDescent="0.3">
      <c r="G135" s="22"/>
      <c r="S135" s="12"/>
      <c r="W135" s="13"/>
      <c r="X135" s="17"/>
    </row>
    <row r="136" spans="7:24" x14ac:dyDescent="0.3">
      <c r="G136" s="22"/>
      <c r="S136" s="12"/>
      <c r="W136" s="13"/>
      <c r="X136" s="17"/>
    </row>
    <row r="137" spans="7:24" x14ac:dyDescent="0.3">
      <c r="G137" s="22"/>
      <c r="S137" s="12"/>
      <c r="W137" s="13"/>
      <c r="X137" s="17"/>
    </row>
    <row r="138" spans="7:24" x14ac:dyDescent="0.3">
      <c r="G138" s="22"/>
      <c r="S138" s="12"/>
      <c r="W138" s="13"/>
      <c r="X138" s="17"/>
    </row>
    <row r="139" spans="7:24" x14ac:dyDescent="0.3">
      <c r="G139" s="20"/>
      <c r="S139" s="12"/>
      <c r="W139" s="13"/>
      <c r="X139" s="17"/>
    </row>
    <row r="140" spans="7:24" x14ac:dyDescent="0.3">
      <c r="G140" s="22"/>
      <c r="S140" s="12"/>
      <c r="W140" s="13"/>
      <c r="X140" s="17"/>
    </row>
    <row r="141" spans="7:24" x14ac:dyDescent="0.3">
      <c r="G141" s="22"/>
      <c r="S141" s="12"/>
      <c r="W141" s="13"/>
      <c r="X141" s="17"/>
    </row>
    <row r="142" spans="7:24" x14ac:dyDescent="0.3">
      <c r="G142" s="20"/>
      <c r="S142" s="12"/>
      <c r="W142" s="13"/>
      <c r="X142" s="17"/>
    </row>
    <row r="143" spans="7:24" x14ac:dyDescent="0.3">
      <c r="G143" s="22"/>
      <c r="S143" s="12"/>
      <c r="W143" s="13"/>
      <c r="X143" s="17"/>
    </row>
    <row r="144" spans="7:24" x14ac:dyDescent="0.3">
      <c r="G144" s="22"/>
      <c r="S144" s="12"/>
      <c r="W144" s="13"/>
      <c r="X144" s="17"/>
    </row>
    <row r="145" spans="7:24" x14ac:dyDescent="0.3">
      <c r="G145" s="22"/>
      <c r="S145" s="12"/>
      <c r="W145" s="13"/>
      <c r="X145" s="17"/>
    </row>
    <row r="146" spans="7:24" x14ac:dyDescent="0.3">
      <c r="G146" s="22"/>
      <c r="S146" s="12"/>
      <c r="W146" s="13"/>
      <c r="X146" s="17"/>
    </row>
    <row r="147" spans="7:24" x14ac:dyDescent="0.3">
      <c r="G147" s="20"/>
      <c r="S147" s="12"/>
      <c r="W147" s="13"/>
      <c r="X147" s="17"/>
    </row>
    <row r="148" spans="7:24" x14ac:dyDescent="0.3">
      <c r="G148" s="22"/>
      <c r="S148" s="12"/>
      <c r="W148" s="13"/>
      <c r="X148" s="17"/>
    </row>
    <row r="149" spans="7:24" x14ac:dyDescent="0.3">
      <c r="G149" s="22"/>
      <c r="S149" s="12"/>
      <c r="W149" s="13"/>
      <c r="X149" s="17"/>
    </row>
    <row r="150" spans="7:24" x14ac:dyDescent="0.3">
      <c r="G150" s="20"/>
      <c r="S150" s="12"/>
      <c r="W150" s="13"/>
      <c r="X150" s="17"/>
    </row>
    <row r="151" spans="7:24" x14ac:dyDescent="0.3">
      <c r="S151" s="12"/>
      <c r="W151" s="13"/>
      <c r="X151" s="17"/>
    </row>
    <row r="152" spans="7:24" x14ac:dyDescent="0.3">
      <c r="S152" s="12"/>
      <c r="W152" s="13"/>
      <c r="X152" s="17"/>
    </row>
    <row r="153" spans="7:24" x14ac:dyDescent="0.3">
      <c r="S153" s="12"/>
      <c r="W153" s="13"/>
      <c r="X153" s="17"/>
    </row>
    <row r="154" spans="7:24" x14ac:dyDescent="0.3">
      <c r="S154" s="12"/>
      <c r="W154" s="13"/>
      <c r="X154" s="17"/>
    </row>
    <row r="155" spans="7:24" x14ac:dyDescent="0.3">
      <c r="S155" s="12"/>
      <c r="W155" s="13"/>
      <c r="X155" s="17"/>
    </row>
    <row r="156" spans="7:24" x14ac:dyDescent="0.3">
      <c r="S156" s="12"/>
      <c r="W156" s="13"/>
      <c r="X156" s="17"/>
    </row>
    <row r="157" spans="7:24" x14ac:dyDescent="0.3">
      <c r="S157" s="12"/>
      <c r="W157" s="13"/>
      <c r="X157" s="17"/>
    </row>
    <row r="158" spans="7:24" x14ac:dyDescent="0.3">
      <c r="S158" s="12"/>
      <c r="W158" s="13"/>
      <c r="X158" s="17"/>
    </row>
    <row r="159" spans="7:24" x14ac:dyDescent="0.3">
      <c r="S159" s="12"/>
      <c r="W159" s="13"/>
      <c r="X159" s="17"/>
    </row>
    <row r="160" spans="7:24" x14ac:dyDescent="0.3">
      <c r="S160" s="12"/>
      <c r="W160" s="13"/>
      <c r="X160" s="17"/>
    </row>
    <row r="161" spans="19:24" x14ac:dyDescent="0.3">
      <c r="S161" s="12"/>
      <c r="W161" s="13"/>
      <c r="X161" s="17"/>
    </row>
    <row r="162" spans="19:24" x14ac:dyDescent="0.3">
      <c r="S162" s="12"/>
      <c r="W162" s="13"/>
      <c r="X162" s="17"/>
    </row>
    <row r="163" spans="19:24" x14ac:dyDescent="0.3">
      <c r="S163" s="12"/>
      <c r="W163" s="13"/>
      <c r="X163" s="17"/>
    </row>
    <row r="164" spans="19:24" x14ac:dyDescent="0.3">
      <c r="S164" s="12"/>
      <c r="W164" s="13"/>
      <c r="X164" s="17"/>
    </row>
    <row r="165" spans="19:24" x14ac:dyDescent="0.3">
      <c r="S165" s="12"/>
      <c r="W165" s="13"/>
      <c r="X165" s="17"/>
    </row>
    <row r="166" spans="19:24" x14ac:dyDescent="0.3">
      <c r="S166" s="12"/>
      <c r="W166" s="13"/>
      <c r="X166" s="17"/>
    </row>
    <row r="167" spans="19:24" x14ac:dyDescent="0.3">
      <c r="S167" s="12"/>
      <c r="W167" s="13"/>
      <c r="X167" s="17"/>
    </row>
    <row r="168" spans="19:24" x14ac:dyDescent="0.3">
      <c r="S168" s="12"/>
      <c r="W168" s="13"/>
      <c r="X168" s="17"/>
    </row>
    <row r="169" spans="19:24" x14ac:dyDescent="0.3">
      <c r="S169" s="12"/>
      <c r="W169" s="13"/>
      <c r="X169" s="17"/>
    </row>
    <row r="170" spans="19:24" x14ac:dyDescent="0.3">
      <c r="S170" s="12"/>
      <c r="W170" s="13"/>
      <c r="X170" s="17"/>
    </row>
    <row r="171" spans="19:24" x14ac:dyDescent="0.3">
      <c r="S171" s="12"/>
      <c r="W171" s="13"/>
      <c r="X171" s="17"/>
    </row>
    <row r="172" spans="19:24" x14ac:dyDescent="0.3">
      <c r="S172" s="12"/>
      <c r="W172" s="13"/>
      <c r="X172" s="17"/>
    </row>
    <row r="173" spans="19:24" x14ac:dyDescent="0.3">
      <c r="S173" s="12"/>
      <c r="W173" s="13"/>
      <c r="X173" s="17"/>
    </row>
    <row r="174" spans="19:24" x14ac:dyDescent="0.3">
      <c r="S174" s="12"/>
      <c r="W174" s="13"/>
      <c r="X174" s="17"/>
    </row>
    <row r="175" spans="19:24" x14ac:dyDescent="0.3">
      <c r="S175" s="12"/>
      <c r="W175" s="13"/>
      <c r="X175" s="17"/>
    </row>
    <row r="176" spans="19:24" x14ac:dyDescent="0.3">
      <c r="S176" s="12"/>
      <c r="W176" s="13"/>
      <c r="X176" s="17"/>
    </row>
    <row r="177" spans="19:24" x14ac:dyDescent="0.3">
      <c r="S177" s="12"/>
      <c r="W177" s="13"/>
      <c r="X177" s="17"/>
    </row>
    <row r="178" spans="19:24" x14ac:dyDescent="0.3">
      <c r="S178" s="12"/>
      <c r="W178" s="13"/>
      <c r="X178" s="17"/>
    </row>
    <row r="179" spans="19:24" x14ac:dyDescent="0.3">
      <c r="S179" s="12"/>
      <c r="W179" s="13"/>
      <c r="X179" s="17"/>
    </row>
    <row r="180" spans="19:24" x14ac:dyDescent="0.3">
      <c r="S180" s="12"/>
      <c r="W180" s="13"/>
      <c r="X180" s="17"/>
    </row>
    <row r="181" spans="19:24" x14ac:dyDescent="0.3">
      <c r="S181" s="12"/>
      <c r="W181" s="13"/>
      <c r="X181" s="17"/>
    </row>
    <row r="182" spans="19:24" x14ac:dyDescent="0.3">
      <c r="S182" s="12"/>
      <c r="W182" s="13"/>
      <c r="X182" s="17"/>
    </row>
    <row r="183" spans="19:24" x14ac:dyDescent="0.3">
      <c r="S183" s="12"/>
      <c r="W183" s="13"/>
      <c r="X183" s="17"/>
    </row>
    <row r="184" spans="19:24" x14ac:dyDescent="0.3">
      <c r="S184" s="12"/>
      <c r="W184" s="13"/>
      <c r="X184" s="17"/>
    </row>
    <row r="185" spans="19:24" x14ac:dyDescent="0.3">
      <c r="S185" s="12"/>
      <c r="W185" s="13"/>
      <c r="X185" s="17"/>
    </row>
    <row r="186" spans="19:24" x14ac:dyDescent="0.3">
      <c r="S186" s="12"/>
      <c r="W186" s="13"/>
      <c r="X186" s="17"/>
    </row>
    <row r="187" spans="19:24" x14ac:dyDescent="0.3">
      <c r="S187" s="12"/>
      <c r="W187" s="13"/>
      <c r="X187" s="17"/>
    </row>
    <row r="188" spans="19:24" x14ac:dyDescent="0.3">
      <c r="S188" s="12"/>
      <c r="W188" s="13"/>
      <c r="X188" s="17"/>
    </row>
    <row r="189" spans="19:24" x14ac:dyDescent="0.3">
      <c r="S189" s="12"/>
      <c r="W189" s="13"/>
      <c r="X189" s="17"/>
    </row>
    <row r="190" spans="19:24" x14ac:dyDescent="0.3">
      <c r="S190" s="12"/>
      <c r="W190" s="13"/>
      <c r="X190" s="17"/>
    </row>
    <row r="191" spans="19:24" x14ac:dyDescent="0.3">
      <c r="S191" s="12"/>
      <c r="W191" s="13"/>
      <c r="X191" s="17"/>
    </row>
    <row r="192" spans="19:24" x14ac:dyDescent="0.3">
      <c r="S192" s="12"/>
      <c r="W192" s="13"/>
      <c r="X192" s="17"/>
    </row>
    <row r="193" spans="19:24" x14ac:dyDescent="0.3">
      <c r="S193" s="12"/>
      <c r="W193" s="13"/>
      <c r="X193" s="17"/>
    </row>
    <row r="194" spans="19:24" x14ac:dyDescent="0.3">
      <c r="S194" s="12"/>
      <c r="W194" s="13"/>
      <c r="X194" s="17"/>
    </row>
    <row r="195" spans="19:24" x14ac:dyDescent="0.3">
      <c r="S195" s="12"/>
      <c r="W195" s="13"/>
      <c r="X195" s="17"/>
    </row>
    <row r="196" spans="19:24" x14ac:dyDescent="0.3">
      <c r="S196" s="12"/>
      <c r="W196" s="13"/>
      <c r="X196" s="17"/>
    </row>
    <row r="197" spans="19:24" x14ac:dyDescent="0.3">
      <c r="S197" s="12"/>
      <c r="W197" s="13"/>
      <c r="X197" s="17"/>
    </row>
    <row r="198" spans="19:24" x14ac:dyDescent="0.3">
      <c r="S198" s="12"/>
      <c r="W198" s="13"/>
      <c r="X198" s="17"/>
    </row>
    <row r="199" spans="19:24" x14ac:dyDescent="0.3">
      <c r="S199" s="12"/>
      <c r="W199" s="13"/>
      <c r="X199" s="17"/>
    </row>
    <row r="200" spans="19:24" x14ac:dyDescent="0.3">
      <c r="S200" s="12"/>
      <c r="W200" s="13"/>
      <c r="X200" s="17"/>
    </row>
    <row r="201" spans="19:24" x14ac:dyDescent="0.3">
      <c r="S201" s="12"/>
      <c r="W201" s="13"/>
      <c r="X201" s="17"/>
    </row>
    <row r="202" spans="19:24" x14ac:dyDescent="0.3">
      <c r="S202" s="12"/>
      <c r="W202" s="13"/>
      <c r="X202" s="17"/>
    </row>
    <row r="203" spans="19:24" x14ac:dyDescent="0.3">
      <c r="S203" s="12"/>
      <c r="W203" s="13"/>
      <c r="X203" s="17"/>
    </row>
    <row r="204" spans="19:24" x14ac:dyDescent="0.3">
      <c r="S204" s="12"/>
      <c r="W204" s="13"/>
      <c r="X204" s="17"/>
    </row>
    <row r="205" spans="19:24" x14ac:dyDescent="0.3">
      <c r="S205" s="12"/>
      <c r="W205" s="13"/>
      <c r="X205" s="17"/>
    </row>
    <row r="206" spans="19:24" x14ac:dyDescent="0.3">
      <c r="S206" s="12"/>
      <c r="W206" s="13"/>
      <c r="X206" s="17"/>
    </row>
    <row r="207" spans="19:24" x14ac:dyDescent="0.3">
      <c r="S207" s="12"/>
      <c r="W207" s="13"/>
      <c r="X207" s="17"/>
    </row>
    <row r="208" spans="19:24" x14ac:dyDescent="0.3">
      <c r="S208" s="12"/>
      <c r="W208" s="13"/>
      <c r="X208" s="17"/>
    </row>
    <row r="209" spans="19:24" x14ac:dyDescent="0.3">
      <c r="S209" s="12"/>
      <c r="W209" s="13"/>
      <c r="X209" s="17"/>
    </row>
    <row r="210" spans="19:24" x14ac:dyDescent="0.3">
      <c r="S210" s="12"/>
      <c r="W210" s="13"/>
      <c r="X210" s="17"/>
    </row>
    <row r="211" spans="19:24" x14ac:dyDescent="0.3">
      <c r="S211" s="12"/>
      <c r="W211" s="13"/>
      <c r="X211" s="17"/>
    </row>
    <row r="212" spans="19:24" x14ac:dyDescent="0.3">
      <c r="S212" s="12"/>
      <c r="W212" s="13"/>
      <c r="X212" s="17"/>
    </row>
    <row r="213" spans="19:24" x14ac:dyDescent="0.3">
      <c r="S213" s="12"/>
      <c r="W213" s="13"/>
      <c r="X213" s="17"/>
    </row>
    <row r="214" spans="19:24" x14ac:dyDescent="0.3">
      <c r="S214" s="12"/>
      <c r="W214" s="13"/>
      <c r="X214" s="17"/>
    </row>
    <row r="215" spans="19:24" x14ac:dyDescent="0.3">
      <c r="S215" s="12"/>
      <c r="W215" s="13"/>
      <c r="X215" s="17"/>
    </row>
    <row r="216" spans="19:24" x14ac:dyDescent="0.3">
      <c r="S216" s="12"/>
      <c r="W216" s="13"/>
      <c r="X216" s="17"/>
    </row>
    <row r="217" spans="19:24" x14ac:dyDescent="0.3">
      <c r="S217" s="12"/>
      <c r="W217" s="13"/>
      <c r="X217" s="17"/>
    </row>
    <row r="218" spans="19:24" x14ac:dyDescent="0.3">
      <c r="S218" s="12"/>
      <c r="W218" s="13"/>
      <c r="X218" s="17"/>
    </row>
    <row r="219" spans="19:24" x14ac:dyDescent="0.3">
      <c r="S219" s="12"/>
      <c r="W219" s="13"/>
      <c r="X219" s="17"/>
    </row>
    <row r="220" spans="19:24" x14ac:dyDescent="0.3">
      <c r="S220" s="12"/>
      <c r="W220" s="13"/>
      <c r="X220" s="17"/>
    </row>
    <row r="221" spans="19:24" x14ac:dyDescent="0.3">
      <c r="S221" s="12"/>
      <c r="W221" s="13"/>
      <c r="X221" s="17"/>
    </row>
    <row r="222" spans="19:24" x14ac:dyDescent="0.3">
      <c r="S222" s="12"/>
      <c r="W222" s="13"/>
      <c r="X222" s="17"/>
    </row>
    <row r="223" spans="19:24" x14ac:dyDescent="0.3">
      <c r="S223" s="12"/>
      <c r="W223" s="13"/>
      <c r="X223" s="17"/>
    </row>
    <row r="224" spans="19:24" x14ac:dyDescent="0.3">
      <c r="S224" s="12"/>
      <c r="W224" s="13"/>
      <c r="X224" s="17"/>
    </row>
    <row r="225" spans="19:24" x14ac:dyDescent="0.3">
      <c r="S225" s="12"/>
      <c r="W225" s="13"/>
      <c r="X225" s="17"/>
    </row>
    <row r="226" spans="19:24" x14ac:dyDescent="0.3">
      <c r="S226" s="12"/>
      <c r="W226" s="13"/>
      <c r="X226" s="17"/>
    </row>
    <row r="227" spans="19:24" x14ac:dyDescent="0.3">
      <c r="S227" s="12"/>
      <c r="W227" s="13"/>
      <c r="X227" s="17"/>
    </row>
    <row r="228" spans="19:24" x14ac:dyDescent="0.3">
      <c r="S228" s="12"/>
      <c r="W228" s="13"/>
      <c r="X228" s="17"/>
    </row>
    <row r="229" spans="19:24" x14ac:dyDescent="0.3">
      <c r="S229" s="12"/>
      <c r="W229" s="13"/>
      <c r="X229" s="17"/>
    </row>
    <row r="230" spans="19:24" x14ac:dyDescent="0.3">
      <c r="S230" s="12"/>
      <c r="W230" s="13"/>
      <c r="X230" s="17"/>
    </row>
    <row r="231" spans="19:24" x14ac:dyDescent="0.3">
      <c r="S231" s="12"/>
      <c r="W231" s="13"/>
      <c r="X231" s="17"/>
    </row>
    <row r="232" spans="19:24" x14ac:dyDescent="0.3">
      <c r="S232" s="12"/>
      <c r="W232" s="13"/>
      <c r="X232" s="17"/>
    </row>
    <row r="233" spans="19:24" x14ac:dyDescent="0.3">
      <c r="S233" s="12"/>
      <c r="W233" s="13"/>
      <c r="X233" s="17"/>
    </row>
    <row r="234" spans="19:24" x14ac:dyDescent="0.3">
      <c r="S234" s="12"/>
      <c r="W234" s="13"/>
      <c r="X234" s="17"/>
    </row>
    <row r="235" spans="19:24" x14ac:dyDescent="0.3">
      <c r="S235" s="12"/>
      <c r="W235" s="13"/>
      <c r="X235" s="17"/>
    </row>
    <row r="236" spans="19:24" x14ac:dyDescent="0.3">
      <c r="S236" s="12"/>
      <c r="W236" s="13"/>
      <c r="X236" s="17"/>
    </row>
    <row r="237" spans="19:24" x14ac:dyDescent="0.3">
      <c r="S237" s="12"/>
      <c r="W237" s="13"/>
      <c r="X237" s="17"/>
    </row>
    <row r="238" spans="19:24" x14ac:dyDescent="0.3">
      <c r="S238" s="12"/>
      <c r="W238" s="13"/>
      <c r="X238" s="17"/>
    </row>
    <row r="239" spans="19:24" x14ac:dyDescent="0.3">
      <c r="S239" s="12"/>
      <c r="W239" s="13"/>
      <c r="X239" s="17"/>
    </row>
    <row r="240" spans="19:24" x14ac:dyDescent="0.3">
      <c r="S240" s="12"/>
      <c r="W240" s="13"/>
      <c r="X240" s="17"/>
    </row>
    <row r="241" spans="19:24" x14ac:dyDescent="0.3">
      <c r="S241" s="12"/>
      <c r="W241" s="13"/>
      <c r="X241" s="17"/>
    </row>
    <row r="242" spans="19:24" x14ac:dyDescent="0.3">
      <c r="S242" s="12"/>
      <c r="W242" s="13"/>
      <c r="X242" s="17"/>
    </row>
    <row r="243" spans="19:24" x14ac:dyDescent="0.3">
      <c r="S243" s="12"/>
      <c r="W243" s="13"/>
      <c r="X243" s="17"/>
    </row>
    <row r="244" spans="19:24" x14ac:dyDescent="0.3">
      <c r="S244" s="12"/>
      <c r="W244" s="13"/>
      <c r="X244" s="17"/>
    </row>
    <row r="245" spans="19:24" x14ac:dyDescent="0.3">
      <c r="S245" s="12"/>
      <c r="W245" s="13"/>
      <c r="X245" s="17"/>
    </row>
    <row r="246" spans="19:24" x14ac:dyDescent="0.3">
      <c r="S246" s="12"/>
      <c r="W246" s="13"/>
      <c r="X246" s="17"/>
    </row>
    <row r="247" spans="19:24" x14ac:dyDescent="0.3">
      <c r="S247" s="12"/>
      <c r="W247" s="13"/>
      <c r="X247" s="17"/>
    </row>
    <row r="248" spans="19:24" x14ac:dyDescent="0.3">
      <c r="S248" s="12"/>
      <c r="W248" s="13"/>
      <c r="X248" s="17"/>
    </row>
    <row r="249" spans="19:24" x14ac:dyDescent="0.3">
      <c r="S249" s="12"/>
      <c r="W249" s="13"/>
      <c r="X249" s="17"/>
    </row>
    <row r="250" spans="19:24" x14ac:dyDescent="0.3">
      <c r="S250" s="12"/>
      <c r="W250" s="13"/>
      <c r="X250" s="17"/>
    </row>
    <row r="251" spans="19:24" x14ac:dyDescent="0.3">
      <c r="S251" s="12"/>
      <c r="W251" s="13"/>
      <c r="X251" s="17"/>
    </row>
    <row r="252" spans="19:24" x14ac:dyDescent="0.3">
      <c r="S252" s="12"/>
      <c r="W252" s="13"/>
      <c r="X252" s="17"/>
    </row>
    <row r="253" spans="19:24" x14ac:dyDescent="0.3">
      <c r="S253" s="12"/>
      <c r="W253" s="13"/>
      <c r="X253" s="17"/>
    </row>
    <row r="254" spans="19:24" x14ac:dyDescent="0.3">
      <c r="S254" s="12"/>
      <c r="W254" s="13"/>
      <c r="X254" s="17"/>
    </row>
    <row r="255" spans="19:24" x14ac:dyDescent="0.3">
      <c r="S255" s="12"/>
      <c r="W255" s="13"/>
      <c r="X255" s="17"/>
    </row>
    <row r="256" spans="19:24" x14ac:dyDescent="0.3">
      <c r="S256" s="12"/>
      <c r="W256" s="13"/>
      <c r="X256" s="17"/>
    </row>
    <row r="257" spans="19:24" x14ac:dyDescent="0.3">
      <c r="S257" s="12"/>
      <c r="W257" s="13"/>
      <c r="X257" s="17"/>
    </row>
    <row r="258" spans="19:24" x14ac:dyDescent="0.3">
      <c r="S258" s="12"/>
      <c r="W258" s="13"/>
      <c r="X258" s="17"/>
    </row>
    <row r="259" spans="19:24" x14ac:dyDescent="0.3">
      <c r="S259" s="12"/>
      <c r="W259" s="13"/>
      <c r="X259" s="17"/>
    </row>
    <row r="260" spans="19:24" x14ac:dyDescent="0.3">
      <c r="S260" s="12"/>
      <c r="W260" s="13"/>
      <c r="X260" s="17"/>
    </row>
    <row r="261" spans="19:24" x14ac:dyDescent="0.3">
      <c r="S261" s="12"/>
      <c r="W261" s="13"/>
      <c r="X261" s="17"/>
    </row>
    <row r="262" spans="19:24" x14ac:dyDescent="0.3">
      <c r="S262" s="12"/>
      <c r="W262" s="13"/>
      <c r="X262" s="17"/>
    </row>
    <row r="263" spans="19:24" x14ac:dyDescent="0.3">
      <c r="S263" s="12"/>
      <c r="W263" s="13"/>
      <c r="X263" s="17"/>
    </row>
    <row r="264" spans="19:24" x14ac:dyDescent="0.3">
      <c r="S264" s="12"/>
      <c r="W264" s="13"/>
      <c r="X264" s="17"/>
    </row>
    <row r="265" spans="19:24" x14ac:dyDescent="0.3">
      <c r="S265" s="12"/>
      <c r="W265" s="13"/>
      <c r="X265" s="17"/>
    </row>
    <row r="266" spans="19:24" x14ac:dyDescent="0.3">
      <c r="S266" s="12"/>
      <c r="W266" s="13"/>
      <c r="X266" s="17"/>
    </row>
    <row r="267" spans="19:24" x14ac:dyDescent="0.3">
      <c r="S267" s="12"/>
      <c r="W267" s="13"/>
      <c r="X267" s="17"/>
    </row>
    <row r="268" spans="19:24" x14ac:dyDescent="0.3">
      <c r="S268" s="12"/>
      <c r="W268" s="13"/>
      <c r="X268" s="17"/>
    </row>
    <row r="269" spans="19:24" x14ac:dyDescent="0.3">
      <c r="S269" s="12"/>
      <c r="W269" s="13"/>
      <c r="X269" s="17"/>
    </row>
    <row r="270" spans="19:24" x14ac:dyDescent="0.3">
      <c r="S270" s="12"/>
      <c r="W270" s="13"/>
      <c r="X270" s="17"/>
    </row>
    <row r="271" spans="19:24" x14ac:dyDescent="0.3">
      <c r="S271" s="12"/>
      <c r="W271" s="13"/>
      <c r="X271" s="17"/>
    </row>
    <row r="272" spans="19:24" x14ac:dyDescent="0.3">
      <c r="S272" s="12"/>
      <c r="W272" s="13"/>
      <c r="X272" s="17"/>
    </row>
    <row r="273" spans="19:24" x14ac:dyDescent="0.3">
      <c r="S273" s="12"/>
      <c r="W273" s="13"/>
      <c r="X273" s="17"/>
    </row>
    <row r="274" spans="19:24" x14ac:dyDescent="0.3">
      <c r="S274" s="12"/>
      <c r="W274" s="13"/>
      <c r="X274" s="17"/>
    </row>
    <row r="275" spans="19:24" x14ac:dyDescent="0.3">
      <c r="S275" s="12"/>
      <c r="W275" s="13"/>
      <c r="X275" s="17"/>
    </row>
    <row r="276" spans="19:24" x14ac:dyDescent="0.3">
      <c r="S276" s="12"/>
      <c r="W276" s="13"/>
      <c r="X276" s="17"/>
    </row>
    <row r="277" spans="19:24" x14ac:dyDescent="0.3">
      <c r="S277" s="12"/>
      <c r="W277" s="13"/>
      <c r="X277" s="17"/>
    </row>
    <row r="278" spans="19:24" x14ac:dyDescent="0.3">
      <c r="S278" s="12"/>
      <c r="W278" s="13"/>
      <c r="X278" s="17"/>
    </row>
    <row r="279" spans="19:24" x14ac:dyDescent="0.3">
      <c r="S279" s="12"/>
      <c r="W279" s="13"/>
      <c r="X279" s="17"/>
    </row>
    <row r="280" spans="19:24" x14ac:dyDescent="0.3">
      <c r="S280" s="12"/>
      <c r="W280" s="13"/>
      <c r="X280" s="17"/>
    </row>
    <row r="281" spans="19:24" x14ac:dyDescent="0.3">
      <c r="S281" s="12"/>
      <c r="W281" s="13"/>
      <c r="X281" s="17"/>
    </row>
    <row r="282" spans="19:24" x14ac:dyDescent="0.3">
      <c r="S282" s="12"/>
      <c r="W282" s="13"/>
      <c r="X282" s="17"/>
    </row>
    <row r="283" spans="19:24" x14ac:dyDescent="0.3">
      <c r="S283" s="12"/>
      <c r="W283" s="13"/>
      <c r="X283" s="17"/>
    </row>
    <row r="284" spans="19:24" x14ac:dyDescent="0.3">
      <c r="S284" s="12"/>
      <c r="W284" s="13"/>
      <c r="X284" s="17"/>
    </row>
    <row r="285" spans="19:24" x14ac:dyDescent="0.3">
      <c r="S285" s="12"/>
      <c r="W285" s="13"/>
      <c r="X285" s="17"/>
    </row>
    <row r="286" spans="19:24" x14ac:dyDescent="0.3">
      <c r="S286" s="12"/>
      <c r="W286" s="13"/>
      <c r="X286" s="17"/>
    </row>
    <row r="287" spans="19:24" x14ac:dyDescent="0.3">
      <c r="S287" s="12"/>
      <c r="W287" s="13"/>
      <c r="X287" s="17"/>
    </row>
    <row r="288" spans="19:24" x14ac:dyDescent="0.3">
      <c r="S288" s="12"/>
      <c r="W288" s="13"/>
      <c r="X288" s="17"/>
    </row>
    <row r="289" spans="19:24" x14ac:dyDescent="0.3">
      <c r="S289" s="12"/>
      <c r="W289" s="13"/>
      <c r="X289" s="17"/>
    </row>
    <row r="290" spans="19:24" x14ac:dyDescent="0.3">
      <c r="S290" s="12"/>
      <c r="W290" s="13"/>
      <c r="X290" s="17"/>
    </row>
    <row r="291" spans="19:24" x14ac:dyDescent="0.3">
      <c r="S291" s="12"/>
      <c r="W291" s="13"/>
      <c r="X291" s="17"/>
    </row>
    <row r="292" spans="19:24" x14ac:dyDescent="0.3">
      <c r="S292" s="12"/>
      <c r="W292" s="13"/>
      <c r="X292" s="17"/>
    </row>
    <row r="293" spans="19:24" x14ac:dyDescent="0.3">
      <c r="S293" s="12"/>
      <c r="W293" s="13"/>
      <c r="X293" s="17"/>
    </row>
    <row r="294" spans="19:24" x14ac:dyDescent="0.3">
      <c r="S294" s="12"/>
      <c r="W294" s="13"/>
      <c r="X294" s="17"/>
    </row>
    <row r="295" spans="19:24" x14ac:dyDescent="0.3">
      <c r="S295" s="12"/>
      <c r="W295" s="13"/>
      <c r="X295" s="17"/>
    </row>
    <row r="296" spans="19:24" x14ac:dyDescent="0.3">
      <c r="S296" s="12"/>
      <c r="W296" s="13"/>
      <c r="X296" s="17"/>
    </row>
    <row r="297" spans="19:24" x14ac:dyDescent="0.3">
      <c r="S297" s="12"/>
      <c r="W297" s="13"/>
      <c r="X297" s="17"/>
    </row>
    <row r="298" spans="19:24" x14ac:dyDescent="0.3">
      <c r="S298" s="12"/>
      <c r="W298" s="13"/>
      <c r="X298" s="17"/>
    </row>
    <row r="299" spans="19:24" x14ac:dyDescent="0.3">
      <c r="S299" s="12"/>
      <c r="W299" s="13"/>
      <c r="X299" s="17"/>
    </row>
    <row r="300" spans="19:24" x14ac:dyDescent="0.3">
      <c r="S300" s="12"/>
      <c r="W300" s="13"/>
      <c r="X300" s="17"/>
    </row>
    <row r="301" spans="19:24" x14ac:dyDescent="0.3">
      <c r="S301" s="12"/>
      <c r="W301" s="13"/>
      <c r="X301" s="17"/>
    </row>
    <row r="302" spans="19:24" x14ac:dyDescent="0.3">
      <c r="S302" s="12"/>
      <c r="W302" s="13"/>
      <c r="X302" s="17"/>
    </row>
    <row r="303" spans="19:24" x14ac:dyDescent="0.3">
      <c r="S303" s="12"/>
      <c r="W303" s="13"/>
      <c r="X303" s="17"/>
    </row>
    <row r="304" spans="19:24" x14ac:dyDescent="0.3">
      <c r="S304" s="12"/>
      <c r="W304" s="13"/>
      <c r="X304" s="17"/>
    </row>
    <row r="305" spans="19:24" x14ac:dyDescent="0.3">
      <c r="S305" s="12"/>
      <c r="W305" s="13"/>
      <c r="X305" s="17"/>
    </row>
    <row r="306" spans="19:24" x14ac:dyDescent="0.3">
      <c r="S306" s="12"/>
      <c r="W306" s="13"/>
      <c r="X306" s="17"/>
    </row>
    <row r="307" spans="19:24" x14ac:dyDescent="0.3">
      <c r="S307" s="12"/>
      <c r="W307" s="13"/>
      <c r="X307" s="17"/>
    </row>
    <row r="308" spans="19:24" x14ac:dyDescent="0.3">
      <c r="S308" s="12"/>
    </row>
    <row r="309" spans="19:24" x14ac:dyDescent="0.3">
      <c r="S309" s="12"/>
    </row>
    <row r="310" spans="19:24" x14ac:dyDescent="0.3">
      <c r="S310" s="12"/>
    </row>
    <row r="311" spans="19:24" x14ac:dyDescent="0.3">
      <c r="S311" s="12"/>
    </row>
    <row r="312" spans="19:24" x14ac:dyDescent="0.3">
      <c r="S312" s="12"/>
    </row>
  </sheetData>
  <hyperlinks>
    <hyperlink ref="C2" r:id="rId1" tooltip="Persistent link using digital object identifier" xr:uid="{07620C93-0AD1-4AD9-A0B1-F034B2CD36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AA204"/>
  <sheetViews>
    <sheetView topLeftCell="N1" workbookViewId="0">
      <pane ySplit="1" topLeftCell="A2" activePane="bottomLeft" state="frozen"/>
      <selection activeCell="D10" sqref="D10"/>
      <selection pane="bottomLeft" activeCell="C4" sqref="C4"/>
    </sheetView>
  </sheetViews>
  <sheetFormatPr defaultColWidth="9.109375" defaultRowHeight="14.4" x14ac:dyDescent="0.3"/>
  <cols>
    <col min="1" max="1" width="7" style="3" customWidth="1"/>
    <col min="2" max="3" width="11.5546875" style="3" customWidth="1"/>
    <col min="4" max="4" width="59.88671875" style="3" customWidth="1"/>
    <col min="5" max="6" width="25" style="3" customWidth="1"/>
    <col min="7" max="7" width="9.109375" style="3"/>
    <col min="8" max="8" width="16.33203125" style="3" customWidth="1"/>
    <col min="9" max="9" width="27.6640625" style="3" customWidth="1"/>
    <col min="10" max="10" width="16" style="3" customWidth="1"/>
    <col min="11" max="11" width="25.33203125" style="3" customWidth="1"/>
    <col min="12" max="13" width="22.44140625" style="3" customWidth="1"/>
    <col min="14" max="14" width="23" style="3" customWidth="1"/>
    <col min="15" max="15" width="13.33203125" style="3" customWidth="1"/>
    <col min="16" max="16" width="13.5546875" style="3" customWidth="1"/>
    <col min="17" max="17" width="12.109375" style="3" customWidth="1"/>
    <col min="18" max="18" width="13.33203125" style="3" customWidth="1"/>
    <col min="19" max="19" width="13.109375" style="3" customWidth="1"/>
    <col min="20" max="20" width="10" style="3" customWidth="1"/>
    <col min="21" max="21" width="11.44140625" style="3" customWidth="1"/>
    <col min="22" max="22" width="9.109375" style="3"/>
    <col min="23" max="23" width="14.33203125" style="3" customWidth="1"/>
    <col min="24" max="24" width="10.109375" style="3" customWidth="1"/>
    <col min="25" max="25" width="10.88671875" style="3" customWidth="1"/>
    <col min="26" max="26" width="11.5546875" style="3" customWidth="1"/>
    <col min="27" max="27" width="20.33203125" style="3" customWidth="1"/>
    <col min="28" max="16384" width="9.109375" style="3"/>
  </cols>
  <sheetData>
    <row r="1" spans="1:27" ht="44.25" customHeight="1" x14ac:dyDescent="0.3">
      <c r="A1" s="1" t="s">
        <v>25</v>
      </c>
      <c r="B1" s="1" t="s">
        <v>24</v>
      </c>
      <c r="C1" s="1" t="s">
        <v>245</v>
      </c>
      <c r="D1" s="1" t="s">
        <v>23</v>
      </c>
      <c r="E1" s="1" t="s">
        <v>22</v>
      </c>
      <c r="F1" s="1" t="s">
        <v>34</v>
      </c>
      <c r="G1" s="25" t="s">
        <v>21</v>
      </c>
      <c r="H1" s="1" t="s">
        <v>20</v>
      </c>
      <c r="I1" s="1" t="s">
        <v>19</v>
      </c>
      <c r="J1" s="1" t="s">
        <v>26</v>
      </c>
      <c r="K1" s="1" t="s">
        <v>18</v>
      </c>
      <c r="L1" s="1" t="s">
        <v>17</v>
      </c>
      <c r="M1" s="1" t="s">
        <v>16</v>
      </c>
      <c r="N1" s="1" t="s">
        <v>15</v>
      </c>
      <c r="O1" s="14" t="s">
        <v>14</v>
      </c>
      <c r="P1" s="1" t="s">
        <v>13</v>
      </c>
      <c r="Q1" s="1" t="s">
        <v>32</v>
      </c>
      <c r="R1" s="1" t="s">
        <v>33</v>
      </c>
      <c r="S1" s="24" t="s">
        <v>12</v>
      </c>
      <c r="T1" s="1" t="s">
        <v>36</v>
      </c>
      <c r="U1" s="1" t="s">
        <v>61</v>
      </c>
      <c r="V1" s="1" t="s">
        <v>11</v>
      </c>
      <c r="W1" s="9" t="s">
        <v>52</v>
      </c>
      <c r="X1" s="9" t="s">
        <v>35</v>
      </c>
      <c r="Y1" s="1" t="s">
        <v>27</v>
      </c>
      <c r="Z1" s="1" t="s">
        <v>53</v>
      </c>
      <c r="AA1" s="1" t="s">
        <v>9</v>
      </c>
    </row>
    <row r="2" spans="1:27" ht="24.9" customHeight="1" x14ac:dyDescent="0.3">
      <c r="A2" s="3">
        <v>3</v>
      </c>
      <c r="B2" s="3" t="s">
        <v>55</v>
      </c>
      <c r="C2" s="52" t="s">
        <v>246</v>
      </c>
      <c r="D2" s="3" t="s">
        <v>54</v>
      </c>
      <c r="E2" s="3" t="s">
        <v>56</v>
      </c>
      <c r="F2" s="3" t="s">
        <v>57</v>
      </c>
      <c r="G2" s="22" t="s">
        <v>3</v>
      </c>
      <c r="I2" s="3" t="s">
        <v>6</v>
      </c>
      <c r="M2" s="3">
        <v>38</v>
      </c>
      <c r="P2" s="3">
        <v>60000</v>
      </c>
      <c r="Q2" s="3">
        <f t="shared" ref="Q2:Q7" si="0">P2*0.9</f>
        <v>54000</v>
      </c>
      <c r="R2" s="8">
        <v>44.28</v>
      </c>
      <c r="S2" s="17" t="s">
        <v>4</v>
      </c>
      <c r="U2" s="3">
        <f>114348*1000</f>
        <v>114348000</v>
      </c>
      <c r="V2" s="3" t="s">
        <v>28</v>
      </c>
      <c r="W2" s="17">
        <f t="shared" ref="W2:W3" si="1">U2/Q2</f>
        <v>2117.5555555555557</v>
      </c>
      <c r="X2" s="17">
        <v>1</v>
      </c>
      <c r="Z2" s="3">
        <v>50</v>
      </c>
    </row>
    <row r="3" spans="1:27" ht="24.9" customHeight="1" x14ac:dyDescent="0.3">
      <c r="A3" s="3">
        <v>3</v>
      </c>
      <c r="G3" s="22" t="s">
        <v>3</v>
      </c>
      <c r="I3" s="3" t="s">
        <v>6</v>
      </c>
      <c r="P3" s="3">
        <v>60000</v>
      </c>
      <c r="Q3" s="3">
        <f t="shared" si="0"/>
        <v>54000</v>
      </c>
      <c r="R3" s="8">
        <v>44.28</v>
      </c>
      <c r="S3" s="17" t="s">
        <v>7</v>
      </c>
      <c r="U3" s="3">
        <f>471*1000</f>
        <v>471000</v>
      </c>
      <c r="V3" s="3" t="s">
        <v>28</v>
      </c>
      <c r="W3" s="17">
        <f t="shared" si="1"/>
        <v>8.7222222222222214</v>
      </c>
      <c r="X3" s="17">
        <v>1</v>
      </c>
      <c r="AA3" s="3" t="s">
        <v>58</v>
      </c>
    </row>
    <row r="4" spans="1:27" ht="24.9" customHeight="1" x14ac:dyDescent="0.3">
      <c r="A4" s="3">
        <v>3</v>
      </c>
      <c r="G4" s="22" t="s">
        <v>3</v>
      </c>
      <c r="I4" s="3" t="s">
        <v>6</v>
      </c>
      <c r="P4" s="3">
        <v>60000</v>
      </c>
      <c r="Q4" s="3">
        <f t="shared" si="0"/>
        <v>54000</v>
      </c>
      <c r="R4" s="8">
        <v>44.28</v>
      </c>
      <c r="S4" s="17" t="s">
        <v>2</v>
      </c>
      <c r="U4" s="3">
        <f>(13690+8+109)*1000</f>
        <v>13807000</v>
      </c>
      <c r="V4" s="3" t="s">
        <v>28</v>
      </c>
      <c r="W4" s="17">
        <f>U4/Q4</f>
        <v>255.68518518518519</v>
      </c>
      <c r="X4" s="17">
        <v>1</v>
      </c>
    </row>
    <row r="5" spans="1:27" ht="24.9" customHeight="1" x14ac:dyDescent="0.3">
      <c r="A5" s="3">
        <v>3</v>
      </c>
      <c r="G5" s="22" t="s">
        <v>3</v>
      </c>
      <c r="I5" s="3" t="s">
        <v>6</v>
      </c>
      <c r="P5" s="3">
        <v>60000</v>
      </c>
      <c r="Q5" s="3">
        <f t="shared" si="0"/>
        <v>54000</v>
      </c>
      <c r="R5" s="8">
        <v>44.28</v>
      </c>
      <c r="S5" s="17" t="s">
        <v>29</v>
      </c>
      <c r="U5" s="3">
        <f>15*1000</f>
        <v>15000</v>
      </c>
      <c r="V5" s="3" t="s">
        <v>28</v>
      </c>
      <c r="W5" s="17">
        <f>U5/Q5</f>
        <v>0.27777777777777779</v>
      </c>
      <c r="X5" s="17">
        <v>1</v>
      </c>
    </row>
    <row r="6" spans="1:27" ht="24.9" customHeight="1" x14ac:dyDescent="0.3">
      <c r="A6" s="3">
        <v>3</v>
      </c>
      <c r="G6" s="22" t="s">
        <v>3</v>
      </c>
      <c r="I6" s="3" t="s">
        <v>6</v>
      </c>
      <c r="P6" s="3">
        <v>60000</v>
      </c>
      <c r="Q6" s="3">
        <f t="shared" si="0"/>
        <v>54000</v>
      </c>
      <c r="R6" s="8">
        <v>44.28</v>
      </c>
      <c r="S6" s="17" t="s">
        <v>37</v>
      </c>
      <c r="U6" s="3">
        <f>519*1000</f>
        <v>519000</v>
      </c>
      <c r="V6" s="3" t="s">
        <v>28</v>
      </c>
      <c r="W6" s="17">
        <f>U6/Q6</f>
        <v>9.6111111111111107</v>
      </c>
      <c r="X6" s="17">
        <v>1</v>
      </c>
    </row>
    <row r="7" spans="1:27" ht="24.9" customHeight="1" x14ac:dyDescent="0.3">
      <c r="A7" s="3">
        <v>3</v>
      </c>
      <c r="G7" s="22" t="s">
        <v>3</v>
      </c>
      <c r="I7" s="3" t="s">
        <v>6</v>
      </c>
      <c r="P7" s="3">
        <v>60000</v>
      </c>
      <c r="Q7" s="3">
        <f t="shared" si="0"/>
        <v>54000</v>
      </c>
      <c r="R7" s="8">
        <v>44.28</v>
      </c>
      <c r="S7" s="17" t="s">
        <v>5</v>
      </c>
      <c r="U7" s="3">
        <f>80*1000</f>
        <v>80000</v>
      </c>
      <c r="V7" s="3" t="s">
        <v>28</v>
      </c>
      <c r="W7" s="17">
        <f>U7/Q7</f>
        <v>1.4814814814814814</v>
      </c>
      <c r="X7" s="17">
        <v>1</v>
      </c>
    </row>
    <row r="8" spans="1:27" ht="24.9" customHeight="1" x14ac:dyDescent="0.3">
      <c r="G8" s="22"/>
      <c r="S8" s="17"/>
      <c r="W8" s="17"/>
      <c r="X8" s="17"/>
    </row>
    <row r="9" spans="1:27" x14ac:dyDescent="0.3">
      <c r="G9" s="22"/>
      <c r="S9" s="17"/>
      <c r="W9" s="17"/>
      <c r="X9" s="17"/>
    </row>
    <row r="10" spans="1:27" x14ac:dyDescent="0.3">
      <c r="G10" s="22"/>
      <c r="S10" s="17"/>
      <c r="W10" s="17"/>
      <c r="X10" s="17"/>
    </row>
    <row r="11" spans="1:27" x14ac:dyDescent="0.3">
      <c r="G11" s="22"/>
      <c r="S11" s="17"/>
      <c r="W11" s="17"/>
      <c r="X11" s="17"/>
    </row>
    <row r="12" spans="1:27" x14ac:dyDescent="0.3">
      <c r="G12" s="22"/>
      <c r="S12" s="17"/>
      <c r="W12" s="17"/>
      <c r="X12" s="17"/>
    </row>
    <row r="13" spans="1:27" x14ac:dyDescent="0.3">
      <c r="G13" s="22"/>
      <c r="S13" s="17"/>
      <c r="W13" s="17"/>
      <c r="X13" s="17"/>
    </row>
    <row r="14" spans="1:27" x14ac:dyDescent="0.3">
      <c r="G14" s="22"/>
      <c r="S14" s="17"/>
      <c r="W14" s="17"/>
      <c r="X14" s="17"/>
    </row>
    <row r="15" spans="1:27" x14ac:dyDescent="0.3">
      <c r="G15" s="22"/>
      <c r="S15" s="17"/>
      <c r="W15" s="17"/>
      <c r="X15" s="17"/>
    </row>
    <row r="16" spans="1:27" x14ac:dyDescent="0.3">
      <c r="G16" s="22"/>
      <c r="S16" s="17"/>
      <c r="W16" s="17"/>
      <c r="X16" s="17"/>
    </row>
    <row r="17" spans="7:24" x14ac:dyDescent="0.3">
      <c r="G17" s="22"/>
      <c r="S17" s="17"/>
      <c r="W17" s="17"/>
      <c r="X17" s="17"/>
    </row>
    <row r="18" spans="7:24" x14ac:dyDescent="0.3">
      <c r="G18" s="22"/>
      <c r="S18" s="17"/>
      <c r="W18" s="17"/>
      <c r="X18" s="17"/>
    </row>
    <row r="19" spans="7:24" x14ac:dyDescent="0.3">
      <c r="G19" s="22"/>
      <c r="S19" s="17"/>
      <c r="W19" s="17"/>
      <c r="X19" s="17"/>
    </row>
    <row r="20" spans="7:24" x14ac:dyDescent="0.3">
      <c r="G20" s="22"/>
      <c r="S20" s="17"/>
      <c r="W20" s="17"/>
      <c r="X20" s="17"/>
    </row>
    <row r="21" spans="7:24" x14ac:dyDescent="0.3">
      <c r="G21" s="22"/>
      <c r="S21" s="17"/>
      <c r="W21" s="17"/>
      <c r="X21" s="17"/>
    </row>
    <row r="22" spans="7:24" x14ac:dyDescent="0.3">
      <c r="G22" s="22"/>
      <c r="S22" s="17"/>
      <c r="W22" s="17"/>
      <c r="X22" s="17"/>
    </row>
    <row r="23" spans="7:24" x14ac:dyDescent="0.3">
      <c r="G23" s="22"/>
      <c r="S23" s="17"/>
      <c r="W23" s="17"/>
      <c r="X23" s="17"/>
    </row>
    <row r="24" spans="7:24" x14ac:dyDescent="0.3">
      <c r="G24" s="22"/>
      <c r="S24" s="17"/>
      <c r="W24" s="17"/>
      <c r="X24" s="17"/>
    </row>
    <row r="25" spans="7:24" x14ac:dyDescent="0.3">
      <c r="G25" s="22"/>
      <c r="S25" s="17"/>
      <c r="W25" s="17"/>
      <c r="X25" s="17"/>
    </row>
    <row r="26" spans="7:24" x14ac:dyDescent="0.3">
      <c r="G26" s="22"/>
      <c r="S26" s="17"/>
      <c r="W26" s="21"/>
      <c r="X26" s="17"/>
    </row>
    <row r="27" spans="7:24" x14ac:dyDescent="0.3">
      <c r="G27" s="22"/>
      <c r="S27" s="17"/>
      <c r="W27" s="9"/>
      <c r="X27" s="9"/>
    </row>
    <row r="28" spans="7:24" x14ac:dyDescent="0.3">
      <c r="G28" s="22"/>
      <c r="S28" s="17"/>
      <c r="W28" s="17"/>
      <c r="X28" s="17"/>
    </row>
    <row r="29" spans="7:24" x14ac:dyDescent="0.3">
      <c r="G29" s="22"/>
      <c r="S29" s="17"/>
      <c r="W29" s="17"/>
      <c r="X29" s="17"/>
    </row>
    <row r="30" spans="7:24" x14ac:dyDescent="0.3">
      <c r="G30" s="22"/>
      <c r="S30" s="17"/>
      <c r="W30" s="17"/>
      <c r="X30" s="17"/>
    </row>
    <row r="31" spans="7:24" x14ac:dyDescent="0.3">
      <c r="G31" s="22"/>
      <c r="S31" s="17"/>
      <c r="W31" s="17"/>
      <c r="X31" s="17"/>
    </row>
    <row r="32" spans="7:24" x14ac:dyDescent="0.3">
      <c r="G32" s="22"/>
      <c r="S32" s="17"/>
      <c r="W32" s="17"/>
      <c r="X32" s="17"/>
    </row>
    <row r="33" spans="7:24" x14ac:dyDescent="0.3">
      <c r="G33" s="22"/>
      <c r="S33" s="17"/>
      <c r="W33" s="17"/>
      <c r="X33" s="17"/>
    </row>
    <row r="34" spans="7:24" x14ac:dyDescent="0.3">
      <c r="G34" s="22"/>
      <c r="S34" s="17"/>
      <c r="W34" s="17"/>
      <c r="X34" s="17"/>
    </row>
    <row r="35" spans="7:24" x14ac:dyDescent="0.3">
      <c r="G35" s="22"/>
      <c r="S35" s="17"/>
      <c r="W35" s="17"/>
      <c r="X35" s="17"/>
    </row>
    <row r="36" spans="7:24" x14ac:dyDescent="0.3">
      <c r="G36" s="22"/>
      <c r="S36" s="17"/>
      <c r="W36" s="17"/>
      <c r="X36" s="17"/>
    </row>
    <row r="37" spans="7:24" x14ac:dyDescent="0.3">
      <c r="G37" s="22"/>
      <c r="S37" s="17"/>
      <c r="W37" s="17"/>
      <c r="X37" s="17"/>
    </row>
    <row r="38" spans="7:24" x14ac:dyDescent="0.3">
      <c r="G38" s="22"/>
      <c r="S38" s="17"/>
      <c r="W38" s="17"/>
      <c r="X38" s="17"/>
    </row>
    <row r="39" spans="7:24" x14ac:dyDescent="0.3">
      <c r="G39" s="22"/>
      <c r="S39" s="17"/>
      <c r="W39" s="17"/>
      <c r="X39" s="17"/>
    </row>
    <row r="40" spans="7:24" x14ac:dyDescent="0.3">
      <c r="G40" s="22"/>
      <c r="S40" s="17"/>
      <c r="W40" s="17"/>
      <c r="X40" s="17"/>
    </row>
    <row r="41" spans="7:24" x14ac:dyDescent="0.3">
      <c r="G41" s="22"/>
      <c r="S41" s="17"/>
      <c r="W41" s="17"/>
      <c r="X41" s="17"/>
    </row>
    <row r="42" spans="7:24" x14ac:dyDescent="0.3">
      <c r="G42" s="22"/>
      <c r="S42" s="17"/>
      <c r="W42" s="17"/>
      <c r="X42" s="17"/>
    </row>
    <row r="43" spans="7:24" x14ac:dyDescent="0.3">
      <c r="G43" s="22"/>
      <c r="S43" s="17"/>
      <c r="W43" s="17"/>
      <c r="X43" s="17"/>
    </row>
    <row r="44" spans="7:24" x14ac:dyDescent="0.3">
      <c r="G44" s="22"/>
      <c r="S44" s="17"/>
      <c r="W44" s="17"/>
      <c r="X44" s="17"/>
    </row>
    <row r="45" spans="7:24" x14ac:dyDescent="0.3">
      <c r="G45" s="22"/>
      <c r="S45" s="17"/>
      <c r="W45" s="17"/>
      <c r="X45" s="17"/>
    </row>
    <row r="46" spans="7:24" x14ac:dyDescent="0.3">
      <c r="G46" s="22"/>
      <c r="S46" s="17"/>
      <c r="W46" s="17"/>
      <c r="X46" s="17"/>
    </row>
    <row r="47" spans="7:24" x14ac:dyDescent="0.3">
      <c r="G47" s="22"/>
      <c r="S47" s="17"/>
      <c r="W47" s="17"/>
      <c r="X47" s="17"/>
    </row>
    <row r="48" spans="7:24" x14ac:dyDescent="0.3">
      <c r="G48" s="22"/>
      <c r="S48" s="17"/>
      <c r="W48" s="17"/>
      <c r="X48" s="17"/>
    </row>
    <row r="49" spans="7:24" x14ac:dyDescent="0.3">
      <c r="G49" s="22"/>
      <c r="S49" s="17"/>
      <c r="W49" s="17"/>
      <c r="X49" s="17"/>
    </row>
    <row r="50" spans="7:24" x14ac:dyDescent="0.3">
      <c r="G50" s="22"/>
      <c r="S50" s="17"/>
      <c r="W50" s="17"/>
      <c r="X50" s="17"/>
    </row>
    <row r="51" spans="7:24" x14ac:dyDescent="0.3">
      <c r="G51" s="22"/>
      <c r="S51" s="17"/>
      <c r="W51" s="17"/>
      <c r="X51" s="17"/>
    </row>
    <row r="52" spans="7:24" x14ac:dyDescent="0.3">
      <c r="G52" s="22"/>
      <c r="S52" s="17"/>
      <c r="W52" s="17"/>
      <c r="X52" s="17"/>
    </row>
    <row r="53" spans="7:24" x14ac:dyDescent="0.3">
      <c r="G53" s="22"/>
      <c r="S53" s="17"/>
      <c r="W53" s="17"/>
      <c r="X53" s="17"/>
    </row>
    <row r="54" spans="7:24" x14ac:dyDescent="0.3">
      <c r="G54" s="22"/>
      <c r="S54" s="17"/>
      <c r="W54" s="17"/>
      <c r="X54" s="17"/>
    </row>
    <row r="55" spans="7:24" x14ac:dyDescent="0.3">
      <c r="G55" s="22"/>
      <c r="S55" s="17"/>
      <c r="W55" s="17"/>
      <c r="X55" s="17"/>
    </row>
    <row r="56" spans="7:24" x14ac:dyDescent="0.3">
      <c r="G56" s="22"/>
      <c r="S56" s="17"/>
      <c r="W56" s="17"/>
      <c r="X56" s="17"/>
    </row>
    <row r="57" spans="7:24" x14ac:dyDescent="0.3">
      <c r="G57" s="22"/>
      <c r="S57" s="17"/>
      <c r="W57" s="17"/>
      <c r="X57" s="17"/>
    </row>
    <row r="58" spans="7:24" x14ac:dyDescent="0.3">
      <c r="G58" s="22"/>
      <c r="S58" s="17"/>
      <c r="W58" s="17"/>
      <c r="X58" s="17"/>
    </row>
    <row r="59" spans="7:24" x14ac:dyDescent="0.3">
      <c r="G59" s="22"/>
      <c r="S59" s="17"/>
      <c r="W59" s="17"/>
      <c r="X59" s="17"/>
    </row>
    <row r="60" spans="7:24" x14ac:dyDescent="0.3">
      <c r="G60" s="22"/>
      <c r="S60" s="17"/>
      <c r="W60" s="17"/>
      <c r="X60" s="17"/>
    </row>
    <row r="61" spans="7:24" x14ac:dyDescent="0.3">
      <c r="G61" s="22"/>
      <c r="S61" s="17"/>
      <c r="W61" s="17"/>
      <c r="X61" s="17"/>
    </row>
    <row r="62" spans="7:24" x14ac:dyDescent="0.3">
      <c r="G62" s="22"/>
      <c r="S62" s="17"/>
      <c r="W62" s="17"/>
      <c r="X62" s="17"/>
    </row>
    <row r="63" spans="7:24" x14ac:dyDescent="0.3">
      <c r="G63" s="22"/>
      <c r="S63" s="17"/>
      <c r="W63" s="17"/>
      <c r="X63" s="17"/>
    </row>
    <row r="64" spans="7:24" x14ac:dyDescent="0.3">
      <c r="G64" s="22"/>
      <c r="S64" s="17"/>
      <c r="W64" s="17"/>
      <c r="X64" s="17"/>
    </row>
    <row r="65" spans="7:24" x14ac:dyDescent="0.3">
      <c r="G65" s="22"/>
      <c r="S65" s="17"/>
      <c r="W65" s="17"/>
      <c r="X65" s="17"/>
    </row>
    <row r="66" spans="7:24" x14ac:dyDescent="0.3">
      <c r="G66" s="22"/>
      <c r="S66" s="17"/>
      <c r="W66" s="17"/>
      <c r="X66" s="17"/>
    </row>
    <row r="67" spans="7:24" x14ac:dyDescent="0.3">
      <c r="G67" s="22"/>
      <c r="S67" s="17"/>
      <c r="W67" s="17"/>
      <c r="X67" s="17"/>
    </row>
    <row r="68" spans="7:24" x14ac:dyDescent="0.3">
      <c r="G68" s="22"/>
      <c r="S68" s="17"/>
      <c r="W68" s="21"/>
      <c r="X68" s="17"/>
    </row>
    <row r="69" spans="7:24" x14ac:dyDescent="0.3">
      <c r="G69" s="22"/>
      <c r="S69" s="17"/>
      <c r="W69" s="9"/>
      <c r="X69" s="9"/>
    </row>
    <row r="70" spans="7:24" x14ac:dyDescent="0.3">
      <c r="G70" s="22"/>
      <c r="S70" s="17"/>
      <c r="W70" s="17"/>
      <c r="X70" s="17"/>
    </row>
    <row r="71" spans="7:24" x14ac:dyDescent="0.3">
      <c r="G71" s="22"/>
      <c r="S71" s="17"/>
      <c r="W71" s="17"/>
      <c r="X71" s="17"/>
    </row>
    <row r="72" spans="7:24" x14ac:dyDescent="0.3">
      <c r="G72" s="22"/>
      <c r="S72" s="17"/>
      <c r="W72" s="17"/>
      <c r="X72" s="17"/>
    </row>
    <row r="73" spans="7:24" x14ac:dyDescent="0.3">
      <c r="G73" s="22"/>
      <c r="S73" s="17"/>
      <c r="W73" s="17"/>
      <c r="X73" s="17"/>
    </row>
    <row r="74" spans="7:24" x14ac:dyDescent="0.3">
      <c r="G74" s="22"/>
      <c r="S74" s="17"/>
      <c r="W74" s="17"/>
      <c r="X74" s="17"/>
    </row>
    <row r="75" spans="7:24" x14ac:dyDescent="0.3">
      <c r="G75" s="22"/>
      <c r="S75" s="17"/>
      <c r="W75" s="17"/>
      <c r="X75" s="17"/>
    </row>
    <row r="76" spans="7:24" x14ac:dyDescent="0.3">
      <c r="G76" s="22"/>
      <c r="S76" s="17"/>
      <c r="W76" s="17"/>
      <c r="X76" s="17"/>
    </row>
    <row r="77" spans="7:24" x14ac:dyDescent="0.3">
      <c r="G77" s="22"/>
      <c r="S77" s="17"/>
      <c r="W77" s="17"/>
      <c r="X77" s="17"/>
    </row>
    <row r="78" spans="7:24" x14ac:dyDescent="0.3">
      <c r="G78" s="22"/>
      <c r="S78" s="17"/>
      <c r="W78" s="17"/>
      <c r="X78" s="17"/>
    </row>
    <row r="79" spans="7:24" x14ac:dyDescent="0.3">
      <c r="G79" s="22"/>
      <c r="S79" s="17"/>
      <c r="W79" s="17"/>
      <c r="X79" s="17"/>
    </row>
    <row r="80" spans="7:24" x14ac:dyDescent="0.3">
      <c r="G80" s="22"/>
      <c r="S80" s="17"/>
      <c r="W80" s="17"/>
      <c r="X80" s="17"/>
    </row>
    <row r="81" spans="7:24" x14ac:dyDescent="0.3">
      <c r="G81" s="22"/>
      <c r="S81" s="17"/>
      <c r="W81" s="17"/>
      <c r="X81" s="17"/>
    </row>
    <row r="82" spans="7:24" x14ac:dyDescent="0.3">
      <c r="G82" s="22"/>
      <c r="S82" s="17"/>
      <c r="W82" s="17"/>
      <c r="X82" s="17"/>
    </row>
    <row r="83" spans="7:24" x14ac:dyDescent="0.3">
      <c r="G83" s="22"/>
      <c r="S83" s="17"/>
      <c r="W83" s="17"/>
      <c r="X83" s="17"/>
    </row>
    <row r="84" spans="7:24" x14ac:dyDescent="0.3">
      <c r="G84" s="22"/>
      <c r="S84" s="17"/>
      <c r="W84" s="17"/>
      <c r="X84" s="17"/>
    </row>
    <row r="85" spans="7:24" x14ac:dyDescent="0.3">
      <c r="G85" s="22"/>
      <c r="S85" s="17"/>
      <c r="W85" s="17"/>
      <c r="X85" s="17"/>
    </row>
    <row r="86" spans="7:24" x14ac:dyDescent="0.3">
      <c r="G86" s="22"/>
      <c r="S86" s="17"/>
      <c r="W86" s="17"/>
      <c r="X86" s="17"/>
    </row>
    <row r="87" spans="7:24" x14ac:dyDescent="0.3">
      <c r="G87" s="22"/>
      <c r="S87" s="17"/>
      <c r="W87" s="17"/>
      <c r="X87" s="17"/>
    </row>
    <row r="88" spans="7:24" x14ac:dyDescent="0.3">
      <c r="G88" s="22"/>
      <c r="S88" s="17"/>
      <c r="W88" s="17"/>
      <c r="X88" s="17"/>
    </row>
    <row r="89" spans="7:24" x14ac:dyDescent="0.3">
      <c r="G89" s="22"/>
      <c r="S89" s="17"/>
      <c r="W89" s="17"/>
      <c r="X89" s="17"/>
    </row>
    <row r="90" spans="7:24" x14ac:dyDescent="0.3">
      <c r="G90" s="22"/>
      <c r="S90" s="17"/>
      <c r="W90" s="17"/>
      <c r="X90" s="17"/>
    </row>
    <row r="91" spans="7:24" x14ac:dyDescent="0.3">
      <c r="G91" s="22"/>
      <c r="S91" s="17"/>
      <c r="W91" s="17"/>
      <c r="X91" s="17"/>
    </row>
    <row r="92" spans="7:24" x14ac:dyDescent="0.3">
      <c r="G92" s="22"/>
      <c r="S92" s="17"/>
      <c r="W92" s="17"/>
      <c r="X92" s="17"/>
    </row>
    <row r="93" spans="7:24" x14ac:dyDescent="0.3">
      <c r="G93" s="22"/>
      <c r="S93" s="17"/>
      <c r="W93" s="17"/>
      <c r="X93" s="17"/>
    </row>
    <row r="94" spans="7:24" x14ac:dyDescent="0.3">
      <c r="G94" s="22"/>
      <c r="S94" s="17"/>
      <c r="W94" s="17"/>
      <c r="X94" s="17"/>
    </row>
    <row r="95" spans="7:24" x14ac:dyDescent="0.3">
      <c r="G95" s="22"/>
      <c r="S95" s="17"/>
      <c r="W95" s="17"/>
      <c r="X95" s="17"/>
    </row>
    <row r="96" spans="7:24" x14ac:dyDescent="0.3">
      <c r="G96" s="22"/>
      <c r="S96" s="17"/>
      <c r="W96" s="17"/>
      <c r="X96" s="17"/>
    </row>
    <row r="97" spans="7:24" x14ac:dyDescent="0.3">
      <c r="G97" s="22"/>
      <c r="S97" s="17"/>
      <c r="W97" s="17"/>
      <c r="X97" s="17"/>
    </row>
    <row r="98" spans="7:24" x14ac:dyDescent="0.3">
      <c r="G98" s="22"/>
      <c r="S98" s="17"/>
      <c r="W98" s="17"/>
      <c r="X98" s="17"/>
    </row>
    <row r="99" spans="7:24" x14ac:dyDescent="0.3">
      <c r="G99" s="22"/>
      <c r="S99" s="17"/>
      <c r="W99" s="17"/>
      <c r="X99" s="17"/>
    </row>
    <row r="100" spans="7:24" x14ac:dyDescent="0.3">
      <c r="G100" s="22"/>
      <c r="S100" s="17"/>
      <c r="W100" s="17"/>
      <c r="X100" s="17"/>
    </row>
    <row r="101" spans="7:24" x14ac:dyDescent="0.3">
      <c r="G101" s="22"/>
      <c r="S101" s="17"/>
      <c r="W101" s="17"/>
      <c r="X101" s="17"/>
    </row>
    <row r="102" spans="7:24" x14ac:dyDescent="0.3">
      <c r="G102" s="22"/>
      <c r="S102" s="17"/>
      <c r="W102" s="17"/>
      <c r="X102" s="17"/>
    </row>
    <row r="103" spans="7:24" x14ac:dyDescent="0.3">
      <c r="G103" s="22"/>
      <c r="S103" s="17"/>
      <c r="W103" s="17"/>
      <c r="X103" s="17"/>
    </row>
    <row r="104" spans="7:24" x14ac:dyDescent="0.3">
      <c r="G104" s="22"/>
      <c r="S104" s="17"/>
      <c r="W104" s="17"/>
      <c r="X104" s="17"/>
    </row>
    <row r="105" spans="7:24" x14ac:dyDescent="0.3">
      <c r="G105" s="22"/>
      <c r="S105" s="17"/>
      <c r="W105" s="17"/>
      <c r="X105" s="17"/>
    </row>
    <row r="106" spans="7:24" x14ac:dyDescent="0.3">
      <c r="G106" s="22"/>
      <c r="S106" s="17"/>
      <c r="W106" s="17"/>
      <c r="X106" s="17"/>
    </row>
    <row r="107" spans="7:24" x14ac:dyDescent="0.3">
      <c r="G107" s="22"/>
      <c r="S107" s="17"/>
      <c r="W107" s="17"/>
      <c r="X107" s="17"/>
    </row>
    <row r="108" spans="7:24" x14ac:dyDescent="0.3">
      <c r="G108" s="22"/>
      <c r="S108" s="17"/>
      <c r="W108" s="17"/>
      <c r="X108" s="17"/>
    </row>
    <row r="109" spans="7:24" x14ac:dyDescent="0.3">
      <c r="G109" s="22"/>
      <c r="S109" s="17"/>
      <c r="W109" s="17"/>
      <c r="X109" s="17"/>
    </row>
    <row r="110" spans="7:24" x14ac:dyDescent="0.3">
      <c r="G110" s="22"/>
      <c r="S110" s="17"/>
      <c r="W110" s="21"/>
      <c r="X110" s="17"/>
    </row>
    <row r="111" spans="7:24" x14ac:dyDescent="0.3">
      <c r="G111" s="22"/>
      <c r="S111" s="17"/>
      <c r="W111" s="9"/>
      <c r="X111" s="9"/>
    </row>
    <row r="112" spans="7:24" x14ac:dyDescent="0.3">
      <c r="G112" s="22"/>
      <c r="S112" s="17"/>
      <c r="W112" s="17"/>
      <c r="X112" s="17"/>
    </row>
    <row r="113" spans="7:24" x14ac:dyDescent="0.3">
      <c r="G113" s="22"/>
      <c r="S113" s="17"/>
      <c r="W113" s="17"/>
      <c r="X113" s="17"/>
    </row>
    <row r="114" spans="7:24" x14ac:dyDescent="0.3">
      <c r="G114" s="22"/>
      <c r="S114" s="17"/>
      <c r="W114" s="17"/>
      <c r="X114" s="17"/>
    </row>
    <row r="115" spans="7:24" x14ac:dyDescent="0.3">
      <c r="G115" s="22"/>
      <c r="S115" s="17"/>
      <c r="W115" s="17"/>
      <c r="X115" s="17"/>
    </row>
    <row r="116" spans="7:24" x14ac:dyDescent="0.3">
      <c r="G116" s="22"/>
      <c r="S116" s="17"/>
      <c r="W116" s="17"/>
      <c r="X116" s="17"/>
    </row>
    <row r="117" spans="7:24" x14ac:dyDescent="0.3">
      <c r="G117" s="22"/>
      <c r="S117" s="17"/>
      <c r="W117" s="17"/>
      <c r="X117" s="17"/>
    </row>
    <row r="118" spans="7:24" x14ac:dyDescent="0.3">
      <c r="G118" s="22"/>
      <c r="S118" s="17"/>
      <c r="W118" s="17"/>
      <c r="X118" s="17"/>
    </row>
    <row r="119" spans="7:24" x14ac:dyDescent="0.3">
      <c r="G119" s="22"/>
      <c r="S119" s="17"/>
      <c r="W119" s="17"/>
      <c r="X119" s="17"/>
    </row>
    <row r="120" spans="7:24" x14ac:dyDescent="0.3">
      <c r="G120" s="22"/>
      <c r="S120" s="17"/>
      <c r="W120" s="17"/>
      <c r="X120" s="17"/>
    </row>
    <row r="121" spans="7:24" x14ac:dyDescent="0.3">
      <c r="G121" s="22"/>
      <c r="S121" s="17"/>
      <c r="W121" s="17"/>
      <c r="X121" s="17"/>
    </row>
    <row r="122" spans="7:24" x14ac:dyDescent="0.3">
      <c r="G122" s="22"/>
      <c r="S122" s="17"/>
      <c r="W122" s="17"/>
      <c r="X122" s="17"/>
    </row>
    <row r="123" spans="7:24" x14ac:dyDescent="0.3">
      <c r="G123" s="22"/>
      <c r="S123" s="17"/>
      <c r="W123" s="17"/>
      <c r="X123" s="17"/>
    </row>
    <row r="124" spans="7:24" x14ac:dyDescent="0.3">
      <c r="G124" s="22"/>
      <c r="S124" s="17"/>
      <c r="W124" s="17"/>
      <c r="X124" s="17"/>
    </row>
    <row r="125" spans="7:24" x14ac:dyDescent="0.3">
      <c r="G125" s="22"/>
      <c r="S125" s="17"/>
      <c r="W125" s="17"/>
      <c r="X125" s="17"/>
    </row>
    <row r="126" spans="7:24" x14ac:dyDescent="0.3">
      <c r="G126" s="22"/>
      <c r="S126" s="17"/>
      <c r="W126" s="17"/>
      <c r="X126" s="17"/>
    </row>
    <row r="127" spans="7:24" x14ac:dyDescent="0.3">
      <c r="G127" s="22"/>
      <c r="S127" s="17"/>
      <c r="W127" s="17"/>
      <c r="X127" s="17"/>
    </row>
    <row r="128" spans="7:24" x14ac:dyDescent="0.3">
      <c r="G128" s="22"/>
      <c r="S128" s="17"/>
      <c r="W128" s="17"/>
      <c r="X128" s="17"/>
    </row>
    <row r="129" spans="7:24" x14ac:dyDescent="0.3">
      <c r="G129" s="22"/>
      <c r="S129" s="17"/>
      <c r="W129" s="17"/>
      <c r="X129" s="17"/>
    </row>
    <row r="130" spans="7:24" x14ac:dyDescent="0.3">
      <c r="G130" s="22"/>
      <c r="S130" s="17"/>
      <c r="W130" s="17"/>
      <c r="X130" s="17"/>
    </row>
    <row r="131" spans="7:24" x14ac:dyDescent="0.3">
      <c r="G131" s="22"/>
      <c r="S131" s="17"/>
      <c r="W131" s="17"/>
      <c r="X131" s="17"/>
    </row>
    <row r="132" spans="7:24" x14ac:dyDescent="0.3">
      <c r="G132" s="22"/>
      <c r="S132" s="17"/>
      <c r="W132" s="17"/>
      <c r="X132" s="17"/>
    </row>
    <row r="133" spans="7:24" x14ac:dyDescent="0.3">
      <c r="G133" s="22"/>
      <c r="S133" s="17"/>
      <c r="W133" s="17"/>
      <c r="X133" s="17"/>
    </row>
    <row r="134" spans="7:24" x14ac:dyDescent="0.3">
      <c r="G134" s="22"/>
      <c r="S134" s="17"/>
    </row>
    <row r="135" spans="7:24" x14ac:dyDescent="0.3">
      <c r="G135" s="22"/>
      <c r="S135" s="17"/>
    </row>
    <row r="136" spans="7:24" x14ac:dyDescent="0.3">
      <c r="G136" s="22"/>
      <c r="S136" s="17"/>
    </row>
    <row r="137" spans="7:24" x14ac:dyDescent="0.3">
      <c r="G137" s="22"/>
      <c r="S137" s="17"/>
    </row>
    <row r="138" spans="7:24" x14ac:dyDescent="0.3">
      <c r="G138" s="22"/>
      <c r="S138" s="17"/>
    </row>
    <row r="139" spans="7:24" x14ac:dyDescent="0.3">
      <c r="G139" s="22"/>
      <c r="S139" s="17"/>
    </row>
    <row r="140" spans="7:24" x14ac:dyDescent="0.3">
      <c r="G140" s="22"/>
      <c r="S140" s="17"/>
    </row>
    <row r="141" spans="7:24" x14ac:dyDescent="0.3">
      <c r="G141" s="22"/>
      <c r="S141" s="17"/>
    </row>
    <row r="142" spans="7:24" x14ac:dyDescent="0.3">
      <c r="G142" s="22"/>
      <c r="S142" s="17"/>
    </row>
    <row r="143" spans="7:24" x14ac:dyDescent="0.3">
      <c r="G143" s="22"/>
    </row>
    <row r="144" spans="7:24" x14ac:dyDescent="0.3">
      <c r="G144" s="22"/>
    </row>
    <row r="145" spans="7:7" x14ac:dyDescent="0.3">
      <c r="G145" s="22"/>
    </row>
    <row r="146" spans="7:7" x14ac:dyDescent="0.3">
      <c r="G146" s="22"/>
    </row>
    <row r="147" spans="7:7" x14ac:dyDescent="0.3">
      <c r="G147" s="22"/>
    </row>
    <row r="148" spans="7:7" x14ac:dyDescent="0.3">
      <c r="G148" s="22"/>
    </row>
    <row r="149" spans="7:7" x14ac:dyDescent="0.3">
      <c r="G149" s="22"/>
    </row>
    <row r="150" spans="7:7" x14ac:dyDescent="0.3">
      <c r="G150" s="22"/>
    </row>
    <row r="151" spans="7:7" x14ac:dyDescent="0.3">
      <c r="G151" s="22"/>
    </row>
    <row r="152" spans="7:7" x14ac:dyDescent="0.3">
      <c r="G152" s="22"/>
    </row>
    <row r="153" spans="7:7" x14ac:dyDescent="0.3">
      <c r="G153" s="22"/>
    </row>
    <row r="154" spans="7:7" x14ac:dyDescent="0.3">
      <c r="G154" s="22"/>
    </row>
    <row r="155" spans="7:7" x14ac:dyDescent="0.3">
      <c r="G155" s="22"/>
    </row>
    <row r="156" spans="7:7" x14ac:dyDescent="0.3">
      <c r="G156" s="22"/>
    </row>
    <row r="157" spans="7:7" x14ac:dyDescent="0.3">
      <c r="G157" s="22"/>
    </row>
    <row r="158" spans="7:7" x14ac:dyDescent="0.3">
      <c r="G158" s="22"/>
    </row>
    <row r="159" spans="7:7" x14ac:dyDescent="0.3">
      <c r="G159" s="22"/>
    </row>
    <row r="160" spans="7:7" x14ac:dyDescent="0.3">
      <c r="G160" s="22"/>
    </row>
    <row r="161" spans="7:7" x14ac:dyDescent="0.3">
      <c r="G161" s="22"/>
    </row>
    <row r="162" spans="7:7" x14ac:dyDescent="0.3">
      <c r="G162" s="22"/>
    </row>
    <row r="163" spans="7:7" x14ac:dyDescent="0.3">
      <c r="G163" s="22"/>
    </row>
    <row r="164" spans="7:7" x14ac:dyDescent="0.3">
      <c r="G164" s="22"/>
    </row>
    <row r="165" spans="7:7" x14ac:dyDescent="0.3">
      <c r="G165" s="22"/>
    </row>
    <row r="166" spans="7:7" x14ac:dyDescent="0.3">
      <c r="G166" s="22"/>
    </row>
    <row r="167" spans="7:7" x14ac:dyDescent="0.3">
      <c r="G167" s="22"/>
    </row>
    <row r="168" spans="7:7" x14ac:dyDescent="0.3">
      <c r="G168" s="22"/>
    </row>
    <row r="169" spans="7:7" x14ac:dyDescent="0.3">
      <c r="G169" s="22"/>
    </row>
    <row r="170" spans="7:7" x14ac:dyDescent="0.3">
      <c r="G170" s="22"/>
    </row>
    <row r="171" spans="7:7" x14ac:dyDescent="0.3">
      <c r="G171" s="22"/>
    </row>
    <row r="172" spans="7:7" x14ac:dyDescent="0.3">
      <c r="G172" s="22"/>
    </row>
    <row r="173" spans="7:7" x14ac:dyDescent="0.3">
      <c r="G173" s="22"/>
    </row>
    <row r="174" spans="7:7" x14ac:dyDescent="0.3">
      <c r="G174" s="22"/>
    </row>
    <row r="175" spans="7:7" x14ac:dyDescent="0.3">
      <c r="G175" s="22"/>
    </row>
    <row r="176" spans="7:7" x14ac:dyDescent="0.3">
      <c r="G176" s="22"/>
    </row>
    <row r="177" spans="7:7" x14ac:dyDescent="0.3">
      <c r="G177" s="22"/>
    </row>
    <row r="178" spans="7:7" x14ac:dyDescent="0.3">
      <c r="G178" s="22"/>
    </row>
    <row r="179" spans="7:7" x14ac:dyDescent="0.3">
      <c r="G179" s="22"/>
    </row>
    <row r="180" spans="7:7" x14ac:dyDescent="0.3">
      <c r="G180" s="22"/>
    </row>
    <row r="181" spans="7:7" x14ac:dyDescent="0.3">
      <c r="G181" s="22"/>
    </row>
    <row r="182" spans="7:7" x14ac:dyDescent="0.3">
      <c r="G182" s="22"/>
    </row>
    <row r="183" spans="7:7" x14ac:dyDescent="0.3">
      <c r="G183" s="22"/>
    </row>
    <row r="184" spans="7:7" x14ac:dyDescent="0.3">
      <c r="G184" s="22"/>
    </row>
    <row r="185" spans="7:7" x14ac:dyDescent="0.3">
      <c r="G185" s="22"/>
    </row>
    <row r="186" spans="7:7" x14ac:dyDescent="0.3">
      <c r="G186" s="22"/>
    </row>
    <row r="187" spans="7:7" x14ac:dyDescent="0.3">
      <c r="G187" s="22"/>
    </row>
    <row r="188" spans="7:7" x14ac:dyDescent="0.3">
      <c r="G188" s="22"/>
    </row>
    <row r="189" spans="7:7" x14ac:dyDescent="0.3">
      <c r="G189" s="22"/>
    </row>
    <row r="190" spans="7:7" x14ac:dyDescent="0.3">
      <c r="G190" s="22"/>
    </row>
    <row r="191" spans="7:7" x14ac:dyDescent="0.3">
      <c r="G191" s="22"/>
    </row>
    <row r="192" spans="7:7" x14ac:dyDescent="0.3">
      <c r="G192" s="22"/>
    </row>
    <row r="193" spans="7:7" x14ac:dyDescent="0.3">
      <c r="G193" s="22"/>
    </row>
    <row r="194" spans="7:7" x14ac:dyDescent="0.3">
      <c r="G194" s="22"/>
    </row>
    <row r="195" spans="7:7" x14ac:dyDescent="0.3">
      <c r="G195" s="22"/>
    </row>
    <row r="196" spans="7:7" x14ac:dyDescent="0.3">
      <c r="G196" s="22"/>
    </row>
    <row r="197" spans="7:7" x14ac:dyDescent="0.3">
      <c r="G197" s="22"/>
    </row>
    <row r="198" spans="7:7" x14ac:dyDescent="0.3">
      <c r="G198" s="22"/>
    </row>
    <row r="199" spans="7:7" x14ac:dyDescent="0.3">
      <c r="G199" s="22"/>
    </row>
    <row r="200" spans="7:7" x14ac:dyDescent="0.3">
      <c r="G200" s="22"/>
    </row>
    <row r="201" spans="7:7" x14ac:dyDescent="0.3">
      <c r="G201" s="22"/>
    </row>
    <row r="202" spans="7:7" x14ac:dyDescent="0.3">
      <c r="G202" s="22"/>
    </row>
    <row r="203" spans="7:7" x14ac:dyDescent="0.3">
      <c r="G203" s="22"/>
    </row>
    <row r="204" spans="7:7" x14ac:dyDescent="0.3">
      <c r="G204" s="22"/>
    </row>
  </sheetData>
  <hyperlinks>
    <hyperlink ref="C2" r:id="rId1" tooltip="Persistent link using digital object identifier" xr:uid="{45E3E5CB-DBB1-49E3-A986-068BC27A99D5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COMPARE</vt:lpstr>
      <vt:lpstr>Compare_tranposed</vt:lpstr>
      <vt:lpstr>materials_commercial</vt:lpstr>
      <vt:lpstr>materials_commercial_mean</vt:lpstr>
      <vt:lpstr>materials_commercial_median</vt:lpstr>
      <vt:lpstr>materials_commercial_high</vt:lpstr>
      <vt:lpstr>materials_commercial_low</vt:lpstr>
      <vt:lpstr>Kashkooli</vt:lpstr>
      <vt:lpstr>Kofoworola</vt:lpstr>
      <vt:lpstr>Oka</vt:lpstr>
      <vt:lpstr>Kumanayake</vt:lpstr>
      <vt:lpstr>Reyna</vt:lpstr>
      <vt:lpstr>Ecoinvent</vt:lpstr>
      <vt:lpstr>Schebek</vt:lpstr>
      <vt:lpstr>Rossello-Batle</vt:lpstr>
      <vt:lpstr>Gruhler</vt:lpstr>
      <vt:lpstr>Marcellus‐Zamora</vt:lpstr>
      <vt:lpstr>Conversion_factors</vt:lpstr>
      <vt:lpstr>Ecoinvent_background</vt:lpstr>
    </vt:vector>
  </TitlesOfParts>
  <Company>Universiteit Leiden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Marinova, S.A.</dc:creator>
  <cp:lastModifiedBy>Deetman, S.P. (Sebastiaan)</cp:lastModifiedBy>
  <dcterms:created xsi:type="dcterms:W3CDTF">2018-03-15T10:29:04Z</dcterms:created>
  <dcterms:modified xsi:type="dcterms:W3CDTF">2019-11-13T13:12:00Z</dcterms:modified>
</cp:coreProperties>
</file>