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Academic\Chapter\TRIPI-GH-v100\Material intensities\"/>
    </mc:Choice>
  </mc:AlternateContent>
  <xr:revisionPtr revIDLastSave="0" documentId="8_{017B5739-7909-4671-A658-75A1B38C9AE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versheet" sheetId="6" r:id="rId1"/>
    <sheet name="Final_input" sheetId="2" r:id="rId2"/>
    <sheet name="Literature sources" sheetId="4" r:id="rId3"/>
    <sheet name="OKO-institut - ra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E14" i="2"/>
  <c r="E12" i="2"/>
  <c r="E7" i="2"/>
  <c r="O7" i="4"/>
  <c r="O8" i="4"/>
  <c r="O9" i="4"/>
  <c r="O10" i="4"/>
  <c r="O11" i="4"/>
  <c r="O12" i="4"/>
  <c r="O13" i="4"/>
  <c r="O14" i="4"/>
  <c r="N7" i="4"/>
  <c r="N9" i="4"/>
  <c r="N10" i="4"/>
  <c r="N15" i="4"/>
  <c r="M4" i="4"/>
  <c r="M5" i="4"/>
  <c r="M6" i="4"/>
  <c r="M7" i="4"/>
  <c r="M8" i="4"/>
  <c r="M9" i="4"/>
  <c r="M10" i="4"/>
  <c r="M14" i="4"/>
  <c r="M15" i="4"/>
  <c r="H6" i="4"/>
  <c r="N6" i="4" s="1"/>
  <c r="H5" i="4"/>
  <c r="N5" i="4" s="1"/>
  <c r="H4" i="4"/>
  <c r="N4" i="4" s="1"/>
  <c r="H3" i="4"/>
  <c r="K11" i="4"/>
  <c r="N11" i="4" s="1"/>
  <c r="L11" i="4"/>
  <c r="K12" i="4"/>
  <c r="N12" i="4" s="1"/>
  <c r="L12" i="4"/>
  <c r="K13" i="4"/>
  <c r="N13" i="4" s="1"/>
  <c r="L13" i="4"/>
  <c r="K14" i="4"/>
  <c r="N14" i="4" s="1"/>
  <c r="L14" i="4"/>
  <c r="K15" i="4"/>
  <c r="L15" i="4"/>
  <c r="O15" i="4" s="1"/>
  <c r="J15" i="4"/>
  <c r="J14" i="4"/>
  <c r="J13" i="4"/>
  <c r="M13" i="4" s="1"/>
  <c r="J12" i="4"/>
  <c r="M12" i="4" s="1"/>
  <c r="J11" i="4"/>
  <c r="M11" i="4" s="1"/>
  <c r="L8" i="4"/>
  <c r="K8" i="4"/>
  <c r="N8" i="4" s="1"/>
  <c r="K6" i="4"/>
  <c r="J4" i="4"/>
  <c r="K4" i="4"/>
  <c r="L4" i="4"/>
  <c r="J5" i="4"/>
  <c r="K5" i="4"/>
  <c r="L5" i="4"/>
  <c r="O5" i="4" s="1"/>
  <c r="K3" i="4"/>
  <c r="N3" i="4" s="1"/>
  <c r="L3" i="4"/>
  <c r="J3" i="4"/>
  <c r="L6" i="4"/>
  <c r="O6" i="4" s="1"/>
  <c r="J6" i="4"/>
  <c r="I76" i="5"/>
  <c r="T11" i="5" s="1"/>
  <c r="I43" i="5"/>
  <c r="I72" i="5" s="1"/>
  <c r="T10" i="5" s="1"/>
  <c r="I44" i="5"/>
  <c r="I45" i="5"/>
  <c r="I46" i="5"/>
  <c r="I75" i="5" s="1"/>
  <c r="T12" i="5" s="1"/>
  <c r="I47" i="5"/>
  <c r="I48" i="5"/>
  <c r="I49" i="5"/>
  <c r="I50" i="5"/>
  <c r="I51" i="5"/>
  <c r="I52" i="5"/>
  <c r="I53" i="5"/>
  <c r="I54" i="5"/>
  <c r="I55" i="5"/>
  <c r="I56" i="5"/>
  <c r="I42" i="5"/>
  <c r="H72" i="5"/>
  <c r="S10" i="5" s="1"/>
  <c r="H67" i="5"/>
  <c r="H68" i="5"/>
  <c r="H69" i="5"/>
  <c r="H66" i="5"/>
  <c r="H64" i="5"/>
  <c r="G60" i="5"/>
  <c r="H60" i="5" s="1"/>
  <c r="G61" i="5"/>
  <c r="H61" i="5" s="1"/>
  <c r="G62" i="5"/>
  <c r="H62" i="5" s="1"/>
  <c r="G63" i="5"/>
  <c r="H63" i="5" s="1"/>
  <c r="G64" i="5"/>
  <c r="G65" i="5"/>
  <c r="H65" i="5" s="1"/>
  <c r="G59" i="5"/>
  <c r="H59" i="5" s="1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76" i="5" s="1"/>
  <c r="S11" i="5" s="1"/>
  <c r="H56" i="5"/>
  <c r="H42" i="5"/>
  <c r="M4" i="5"/>
  <c r="N4" i="5"/>
  <c r="M5" i="5"/>
  <c r="N5" i="5" s="1"/>
  <c r="N22" i="5" s="1"/>
  <c r="M6" i="5"/>
  <c r="N6" i="5"/>
  <c r="M7" i="5"/>
  <c r="N7" i="5" s="1"/>
  <c r="M8" i="5"/>
  <c r="N8" i="5"/>
  <c r="M9" i="5"/>
  <c r="N9" i="5"/>
  <c r="M10" i="5"/>
  <c r="N10" i="5"/>
  <c r="N24" i="5" s="1"/>
  <c r="T7" i="5" s="1"/>
  <c r="M11" i="5"/>
  <c r="N11" i="5"/>
  <c r="N25" i="5" s="1"/>
  <c r="T8" i="5" s="1"/>
  <c r="M12" i="5"/>
  <c r="N12" i="5" s="1"/>
  <c r="M13" i="5"/>
  <c r="N13" i="5" s="1"/>
  <c r="M14" i="5"/>
  <c r="N14" i="5"/>
  <c r="M15" i="5"/>
  <c r="N15" i="5"/>
  <c r="M16" i="5"/>
  <c r="N16" i="5"/>
  <c r="M17" i="5"/>
  <c r="N17" i="5"/>
  <c r="M18" i="5"/>
  <c r="N18" i="5"/>
  <c r="M3" i="5"/>
  <c r="N3" i="5" s="1"/>
  <c r="I4" i="5"/>
  <c r="I5" i="5"/>
  <c r="I22" i="5" s="1"/>
  <c r="R5" i="5" s="1"/>
  <c r="I6" i="5"/>
  <c r="I7" i="5"/>
  <c r="I12" i="5"/>
  <c r="I13" i="5"/>
  <c r="I14" i="5"/>
  <c r="I15" i="5"/>
  <c r="I16" i="5"/>
  <c r="I17" i="5"/>
  <c r="I18" i="5"/>
  <c r="I3" i="5"/>
  <c r="H4" i="5"/>
  <c r="H5" i="5"/>
  <c r="H6" i="5"/>
  <c r="H7" i="5"/>
  <c r="H8" i="5"/>
  <c r="I8" i="5" s="1"/>
  <c r="I23" i="5" s="1"/>
  <c r="R6" i="5" s="1"/>
  <c r="H9" i="5"/>
  <c r="I9" i="5" s="1"/>
  <c r="H10" i="5"/>
  <c r="I10" i="5" s="1"/>
  <c r="I24" i="5" s="1"/>
  <c r="R7" i="5" s="1"/>
  <c r="S7" i="5" s="1"/>
  <c r="H11" i="5"/>
  <c r="I11" i="5" s="1"/>
  <c r="I25" i="5" s="1"/>
  <c r="R8" i="5" s="1"/>
  <c r="S8" i="5" s="1"/>
  <c r="H12" i="5"/>
  <c r="H13" i="5"/>
  <c r="H14" i="5"/>
  <c r="H15" i="5"/>
  <c r="H16" i="5"/>
  <c r="H17" i="5"/>
  <c r="H18" i="5"/>
  <c r="H3" i="5"/>
  <c r="H73" i="5" l="1"/>
  <c r="S5" i="5" s="1"/>
  <c r="N23" i="5"/>
  <c r="H75" i="5"/>
  <c r="S12" i="5" s="1"/>
  <c r="H74" i="5"/>
  <c r="H71" i="5"/>
  <c r="S9" i="5" s="1"/>
  <c r="I71" i="5"/>
  <c r="T9" i="5" s="1"/>
  <c r="I73" i="5"/>
  <c r="I20" i="5"/>
  <c r="R3" i="5" s="1"/>
  <c r="S3" i="5" s="1"/>
  <c r="I21" i="5"/>
  <c r="R4" i="5" s="1"/>
  <c r="N20" i="5"/>
  <c r="T3" i="5" s="1"/>
  <c r="N21" i="5"/>
  <c r="T6" i="5"/>
  <c r="S4" i="5"/>
  <c r="T5" i="5"/>
  <c r="I77" i="5"/>
  <c r="H77" i="5"/>
  <c r="S6" i="5"/>
  <c r="I74" i="5"/>
  <c r="T4" i="5" s="1"/>
  <c r="O4" i="4"/>
  <c r="O3" i="4"/>
  <c r="K16" i="4"/>
  <c r="J16" i="4"/>
  <c r="L16" i="4"/>
</calcChain>
</file>

<file path=xl/sharedStrings.xml><?xml version="1.0" encoding="utf-8"?>
<sst xmlns="http://schemas.openxmlformats.org/spreadsheetml/2006/main" count="353" uniqueCount="114">
  <si>
    <t>steel</t>
  </si>
  <si>
    <t>Global</t>
  </si>
  <si>
    <t>Region</t>
  </si>
  <si>
    <t>Rail</t>
  </si>
  <si>
    <t>Electrified rail</t>
  </si>
  <si>
    <t>High speed rail</t>
  </si>
  <si>
    <t>Zinc</t>
  </si>
  <si>
    <t>Author</t>
  </si>
  <si>
    <t>Stripple &amp; Uddenberg, 2010) standard</t>
  </si>
  <si>
    <t>Stripple &amp; Uddenberg, 2010) electrified</t>
  </si>
  <si>
    <t>von Rozycki et al. (2003)</t>
  </si>
  <si>
    <t>Han &amp; Xiang (2013), concrete tie</t>
  </si>
  <si>
    <t>Han &amp; Xiang (2013), wooden tie</t>
  </si>
  <si>
    <t>Wiedenhofer et al. (2015)</t>
  </si>
  <si>
    <t>Sweden</t>
  </si>
  <si>
    <t>Switzerland</t>
  </si>
  <si>
    <t>German</t>
  </si>
  <si>
    <t>China</t>
  </si>
  <si>
    <t>Aggregate</t>
  </si>
  <si>
    <t>Steel</t>
  </si>
  <si>
    <t>Concrete</t>
  </si>
  <si>
    <t>Wood</t>
  </si>
  <si>
    <t>Copper</t>
  </si>
  <si>
    <t>Neoprene</t>
  </si>
  <si>
    <t>Nylon</t>
  </si>
  <si>
    <t>Total</t>
  </si>
  <si>
    <t>Part</t>
  </si>
  <si>
    <t>Sub-part</t>
  </si>
  <si>
    <t>Material</t>
  </si>
  <si>
    <t>unit</t>
  </si>
  <si>
    <t>Single</t>
  </si>
  <si>
    <t>Double</t>
  </si>
  <si>
    <t>High speed rail single</t>
  </si>
  <si>
    <t>High speed rail double</t>
  </si>
  <si>
    <t>Track</t>
  </si>
  <si>
    <t>t/km</t>
  </si>
  <si>
    <t>Concrete tie</t>
  </si>
  <si>
    <t>tie</t>
  </si>
  <si>
    <t>m3</t>
  </si>
  <si>
    <t>fixation</t>
  </si>
  <si>
    <t>PE</t>
  </si>
  <si>
    <t>gravel bed</t>
  </si>
  <si>
    <t>Wooden tie</t>
  </si>
  <si>
    <t>Paint</t>
  </si>
  <si>
    <t>Steel tie</t>
  </si>
  <si>
    <t>Bridges</t>
  </si>
  <si>
    <t>m3/m</t>
  </si>
  <si>
    <t>t/m</t>
  </si>
  <si>
    <t>Tunnels</t>
  </si>
  <si>
    <t>Electrification</t>
  </si>
  <si>
    <t>Unit</t>
  </si>
  <si>
    <t>Rail - double track</t>
  </si>
  <si>
    <t>High speed</t>
  </si>
  <si>
    <t>Elec cable</t>
  </si>
  <si>
    <t>Bronze</t>
  </si>
  <si>
    <t>Catenary masts - high speed</t>
  </si>
  <si>
    <t>m3/km</t>
  </si>
  <si>
    <t>Aluminium</t>
  </si>
  <si>
    <t>Catenary masts - concrete</t>
  </si>
  <si>
    <t>Catenary masts - steel</t>
  </si>
  <si>
    <t>Traction substation</t>
  </si>
  <si>
    <t>Bricks</t>
  </si>
  <si>
    <t>Signalling and communication</t>
  </si>
  <si>
    <t>Track signals</t>
  </si>
  <si>
    <t>Communication lines</t>
  </si>
  <si>
    <t>Cablecanal</t>
  </si>
  <si>
    <t>Train protection system</t>
  </si>
  <si>
    <t>Signalling control</t>
  </si>
  <si>
    <t>Stations</t>
  </si>
  <si>
    <t>Category 1</t>
  </si>
  <si>
    <t>t</t>
  </si>
  <si>
    <t>Category 2</t>
  </si>
  <si>
    <t>Category 3</t>
  </si>
  <si>
    <t>Category 4-6</t>
  </si>
  <si>
    <t>Double/2</t>
  </si>
  <si>
    <t>Average</t>
  </si>
  <si>
    <t>Aggregates</t>
  </si>
  <si>
    <t>Oko-institut (2013)</t>
  </si>
  <si>
    <t>DE</t>
  </si>
  <si>
    <t>Oko-institut (2013) High Speed</t>
  </si>
  <si>
    <t>Oko-institut (2013) Electrified</t>
  </si>
  <si>
    <t>Standard</t>
  </si>
  <si>
    <t>Electrified</t>
  </si>
  <si>
    <t>Materials</t>
  </si>
  <si>
    <t>High speed (kg/km)</t>
  </si>
  <si>
    <t>Electrified (kg/km)</t>
  </si>
  <si>
    <t>Standard (kg/km)</t>
  </si>
  <si>
    <t>Tram (kg/km)</t>
  </si>
  <si>
    <t>Bridge_low (kg/km)</t>
  </si>
  <si>
    <t>Bridge_average (kg/km)</t>
  </si>
  <si>
    <t>Tunnel_average (kg/km)</t>
  </si>
  <si>
    <r>
      <t xml:space="preserve">Löchter, A. (n.d.). </t>
    </r>
    <r>
      <rPr>
        <i/>
        <sz val="11"/>
        <color theme="1"/>
        <rFont val="Calibri"/>
        <family val="2"/>
        <scheme val="minor"/>
      </rPr>
      <t>Martin Schmied, Öko-Institut e.V., Büro Berlin Moritz Mottschall, Öko-Institut e.V., Büro Berlin</t>
    </r>
    <r>
      <rPr>
        <sz val="11"/>
        <color theme="1"/>
        <rFont val="Calibri"/>
        <family val="2"/>
        <scheme val="minor"/>
      </rPr>
      <t>.</t>
    </r>
  </si>
  <si>
    <t>Spielmann, M., &amp; Scholz, R. (2005). Life Cycle Inventories of Transport Services: Background Data for Freight Transport (10 pp). The International Journal of Life Cycle Assessment, 10(1), 85–94. https://doi.org/10.1065/lca2004.10.181.10</t>
  </si>
  <si>
    <r>
      <t xml:space="preserve">Stripple, H., &amp; Uppenberg, S. (n.d.). </t>
    </r>
    <r>
      <rPr>
        <i/>
        <sz val="11"/>
        <color theme="1"/>
        <rFont val="Calibri"/>
        <family val="2"/>
        <scheme val="minor"/>
      </rPr>
      <t>Life cycle assessment of railways and rail transports—Application in environmental product declarations (EPDs) for the Bothnia Line</t>
    </r>
    <r>
      <rPr>
        <sz val="11"/>
        <color theme="1"/>
        <rFont val="Calibri"/>
        <family val="2"/>
        <scheme val="minor"/>
      </rPr>
      <t>.</t>
    </r>
  </si>
  <si>
    <t>Spielmann &amp; Scholz (2005)</t>
  </si>
  <si>
    <t>Rozycki, C. von, Koeser, H., &amp; Schwarz, H. (2003). Ecology profile of the german high-speed rail passenger transport system, ICE. The International Journal of Life Cycle Assessment, 8(2), 83–91. https://doi.org/10.1007/BF02978431</t>
  </si>
  <si>
    <t>Han, J., &amp; Xiang, W.-N. (2013). Analysis of material stock accumulation in China’s infrastructure and its regional disparity. Sustainability Science, 8(4), 553–564. https://doi.org/10.1007/s11625-012-0196-y</t>
  </si>
  <si>
    <t>Wiedenhofer, D., Steinberger, J. K., Eisenmenger, N., &amp; Haas, W. (2015). Maintenance and Expansion: Modeling Material Stocks and Flows for Residential Buildings and Transportation Networks in the EU25. Journal of Industrial Ecology, 19(4), 538–551. https://doi.org/10.1111/jiec.12216</t>
  </si>
  <si>
    <t>References</t>
  </si>
  <si>
    <t>Title:</t>
  </si>
  <si>
    <t>TRIPI: A global dataset and codebase of the Total Resources In Physical Infrastructure encompassing road, rail, and parking.</t>
  </si>
  <si>
    <t>Project:</t>
  </si>
  <si>
    <t xml:space="preserve">CircoMod – Circular Economy Modelling for Climate Change Mitigation 101056868 </t>
  </si>
  <si>
    <t>Content:</t>
  </si>
  <si>
    <t xml:space="preserve">Source: </t>
  </si>
  <si>
    <r>
      <t xml:space="preserve">Van Engelenburg, M., Deetman, S., Fishman, T., Behrens, P., &amp; van der Voet, E. (2024). TRIPI: A global dataset and codebase of the Total Resources In Physical Infrastructure encompassing road, rail, and parking. </t>
    </r>
    <r>
      <rPr>
        <i/>
        <sz val="11"/>
        <color theme="1"/>
        <rFont val="Calibri"/>
        <family val="2"/>
        <scheme val="minor"/>
      </rPr>
      <t>In review</t>
    </r>
  </si>
  <si>
    <t>Contact:</t>
  </si>
  <si>
    <t>Martijn van Engelenburg</t>
  </si>
  <si>
    <t>m.van.engelenburg@cml.leidenuniv.nl</t>
  </si>
  <si>
    <t>CML</t>
  </si>
  <si>
    <t>Leiden University</t>
  </si>
  <si>
    <t>Material intensities of rail infrastructure v.1.0.0</t>
  </si>
  <si>
    <t>Raw extracted data</t>
  </si>
  <si>
    <t>Final assumed amount 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</si>
</sst>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F5496"/>
      <name val="Calibri"/>
      <family val="2"/>
      <scheme val="minor"/>
    </font>
    <font>
      <b/>
      <sz val="12"/>
      <color rgb="FF2F5496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15">
    <border>
      <left/>
      <right/>
      <top/>
      <bottom/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 style="thick">
        <color rgb="FF8EAADB"/>
      </bottom>
      <diagonal/>
    </border>
    <border>
      <left/>
      <right style="medium">
        <color rgb="FF8EAADB"/>
      </right>
      <top style="medium">
        <color rgb="FF8EAADB"/>
      </top>
      <bottom style="thick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vertical="top"/>
    </xf>
    <xf numFmtId="0" fontId="3" fillId="0" borderId="4" xfId="0" applyFont="1" applyBorder="1" applyAlignment="1">
      <alignment vertical="top"/>
    </xf>
    <xf numFmtId="0" fontId="5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2" fillId="0" borderId="0" xfId="0" applyFon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center" indent="2"/>
    </xf>
    <xf numFmtId="0" fontId="8" fillId="0" borderId="0" xfId="1" applyAlignment="1">
      <alignment horizontal="left" vertical="center" indent="2"/>
    </xf>
    <xf numFmtId="0" fontId="10" fillId="0" borderId="0" xfId="2" applyFont="1"/>
    <xf numFmtId="0" fontId="9" fillId="0" borderId="0" xfId="3"/>
    <xf numFmtId="0" fontId="8" fillId="0" borderId="0" xfId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4">
    <cellStyle name="ANCLAS,REZONES Y SUS PARTES,DE FUNDICION,DE HIERRO O DE ACERO" xfId="2" xr:uid="{3BBD50EE-9A41-4837-93BA-BB624BA6E30D}"/>
    <cellStyle name="Hyperlink" xfId="1" builtinId="8"/>
    <cellStyle name="Normal" xfId="0" builtinId="0"/>
    <cellStyle name="Standard 2 2" xfId="3" xr:uid="{0CD9E7AD-C988-4D75-9BAB-51DBF1ADC6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6</xdr:col>
      <xdr:colOff>43139</xdr:colOff>
      <xdr:row>10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664B3A-2D54-44D3-95A7-13660ACCF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1"/>
          <a:ext cx="3091139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1</xdr:row>
      <xdr:rowOff>0</xdr:rowOff>
    </xdr:from>
    <xdr:to>
      <xdr:col>10</xdr:col>
      <xdr:colOff>190500</xdr:colOff>
      <xdr:row>10</xdr:row>
      <xdr:rowOff>803</xdr:rowOff>
    </xdr:to>
    <xdr:pic>
      <xdr:nvPicPr>
        <xdr:cNvPr id="3" name="Picture 2" descr="CircoMod – Circular Economy Modelling for Climate Change Mitigation –  iamconsortium">
          <a:extLst>
            <a:ext uri="{FF2B5EF4-FFF2-40B4-BE49-F238E27FC236}">
              <a16:creationId xmlns:a16="http://schemas.microsoft.com/office/drawing/2014/main" id="{DB0E4049-1850-4E8E-99A5-67922D608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90500"/>
          <a:ext cx="2600325" cy="1715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.van.engelenburg@cml.leidenuniv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1625-012-0196-y" TargetMode="External"/><Relationship Id="rId2" Type="http://schemas.openxmlformats.org/officeDocument/2006/relationships/hyperlink" Target="https://doi.org/10.1007/BF02978431" TargetMode="External"/><Relationship Id="rId1" Type="http://schemas.openxmlformats.org/officeDocument/2006/relationships/hyperlink" Target="https://doi.org/10.1065/lca2004.10.181.10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1111/jiec.122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12B3-530C-4A99-8F2F-921EE096EC09}">
  <sheetPr codeName="Sheet1"/>
  <dimension ref="B12:C24"/>
  <sheetViews>
    <sheetView tabSelected="1" zoomScaleNormal="100" workbookViewId="0">
      <selection activeCell="C14" sqref="C14"/>
    </sheetView>
  </sheetViews>
  <sheetFormatPr defaultRowHeight="15" x14ac:dyDescent="0.25"/>
  <sheetData>
    <row r="12" spans="2:3" x14ac:dyDescent="0.25">
      <c r="B12" s="21" t="s">
        <v>99</v>
      </c>
      <c r="C12" t="s">
        <v>100</v>
      </c>
    </row>
    <row r="13" spans="2:3" x14ac:dyDescent="0.25">
      <c r="B13" s="22"/>
    </row>
    <row r="14" spans="2:3" x14ac:dyDescent="0.25">
      <c r="B14" s="21" t="s">
        <v>101</v>
      </c>
      <c r="C14" t="s">
        <v>102</v>
      </c>
    </row>
    <row r="15" spans="2:3" x14ac:dyDescent="0.25">
      <c r="B15" s="22"/>
    </row>
    <row r="16" spans="2:3" x14ac:dyDescent="0.25">
      <c r="B16" s="21" t="s">
        <v>103</v>
      </c>
      <c r="C16" t="s">
        <v>111</v>
      </c>
    </row>
    <row r="17" spans="2:3" x14ac:dyDescent="0.25">
      <c r="B17" s="22"/>
    </row>
    <row r="18" spans="2:3" x14ac:dyDescent="0.25">
      <c r="B18" s="21" t="s">
        <v>104</v>
      </c>
      <c r="C18" t="s">
        <v>105</v>
      </c>
    </row>
    <row r="19" spans="2:3" x14ac:dyDescent="0.25">
      <c r="B19" s="22"/>
    </row>
    <row r="20" spans="2:3" x14ac:dyDescent="0.25">
      <c r="B20" s="22"/>
    </row>
    <row r="21" spans="2:3" x14ac:dyDescent="0.25">
      <c r="B21" s="21" t="s">
        <v>106</v>
      </c>
      <c r="C21" t="s">
        <v>107</v>
      </c>
    </row>
    <row r="22" spans="2:3" x14ac:dyDescent="0.25">
      <c r="C22" s="23" t="s">
        <v>108</v>
      </c>
    </row>
    <row r="23" spans="2:3" x14ac:dyDescent="0.25">
      <c r="C23" t="s">
        <v>109</v>
      </c>
    </row>
    <row r="24" spans="2:3" x14ac:dyDescent="0.25">
      <c r="C24" t="s">
        <v>110</v>
      </c>
    </row>
  </sheetData>
  <hyperlinks>
    <hyperlink ref="C22" r:id="rId1" xr:uid="{BA83082A-30C7-48E9-B25F-1F18A85EACB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392C-04B2-4810-B980-05F198A81C03}">
  <dimension ref="A1:H45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14.42578125" bestFit="1" customWidth="1"/>
    <col min="3" max="3" width="14.85546875" bestFit="1" customWidth="1"/>
    <col min="4" max="4" width="17.7109375" bestFit="1" customWidth="1"/>
    <col min="5" max="5" width="15.140625" bestFit="1" customWidth="1"/>
    <col min="6" max="6" width="15.85546875" bestFit="1" customWidth="1"/>
    <col min="7" max="7" width="18.7109375" bestFit="1" customWidth="1"/>
    <col min="8" max="8" width="11.28515625" bestFit="1" customWidth="1"/>
  </cols>
  <sheetData>
    <row r="1" spans="1:8" x14ac:dyDescent="0.25">
      <c r="A1" t="s">
        <v>83</v>
      </c>
      <c r="B1" t="s">
        <v>86</v>
      </c>
      <c r="C1" t="s">
        <v>85</v>
      </c>
      <c r="D1" t="s">
        <v>84</v>
      </c>
      <c r="E1" t="s">
        <v>87</v>
      </c>
      <c r="F1" t="s">
        <v>88</v>
      </c>
      <c r="G1" s="1" t="s">
        <v>89</v>
      </c>
      <c r="H1" t="s">
        <v>90</v>
      </c>
    </row>
    <row r="2" spans="1:8" x14ac:dyDescent="0.25">
      <c r="A2" t="s">
        <v>18</v>
      </c>
      <c r="B2" s="2">
        <v>4894078.0020000003</v>
      </c>
      <c r="C2" s="2">
        <v>4894078.0020000003</v>
      </c>
      <c r="D2" s="2">
        <v>5184858.6553333336</v>
      </c>
      <c r="E2" s="2">
        <v>133256</v>
      </c>
      <c r="F2" s="2"/>
      <c r="G2" s="2"/>
    </row>
    <row r="3" spans="1:8" x14ac:dyDescent="0.25">
      <c r="A3" t="s">
        <v>19</v>
      </c>
      <c r="B3" s="2">
        <v>119827.51739000001</v>
      </c>
      <c r="C3" s="2">
        <v>125994.18985000001</v>
      </c>
      <c r="D3" s="2">
        <v>126454.18985000001</v>
      </c>
      <c r="E3" s="2">
        <v>91394</v>
      </c>
      <c r="F3" s="2"/>
      <c r="G3" s="2">
        <v>5372500.0000000009</v>
      </c>
      <c r="H3" s="2">
        <v>3242857.1428571427</v>
      </c>
    </row>
    <row r="4" spans="1:8" x14ac:dyDescent="0.25">
      <c r="A4" t="s">
        <v>20</v>
      </c>
      <c r="B4" s="2">
        <v>265219.5</v>
      </c>
      <c r="C4" s="2">
        <v>278391.64762</v>
      </c>
      <c r="D4" s="2">
        <v>282486.64762</v>
      </c>
      <c r="E4" s="2">
        <v>249750</v>
      </c>
      <c r="F4" s="2">
        <v>36400000.000000007</v>
      </c>
      <c r="G4" s="18">
        <v>69147619.04761906</v>
      </c>
      <c r="H4" s="18">
        <v>110267368.42105262</v>
      </c>
    </row>
    <row r="5" spans="1:8" x14ac:dyDescent="0.25">
      <c r="A5" t="s">
        <v>21</v>
      </c>
      <c r="B5" s="2">
        <v>70740.75</v>
      </c>
      <c r="C5" s="2">
        <v>70740.75</v>
      </c>
      <c r="D5" s="2">
        <v>70740.75</v>
      </c>
      <c r="E5" s="2">
        <v>0</v>
      </c>
      <c r="F5" s="2"/>
      <c r="G5" s="2"/>
    </row>
    <row r="6" spans="1:8" x14ac:dyDescent="0.25">
      <c r="A6" s="16" t="s">
        <v>6</v>
      </c>
      <c r="B6" s="2">
        <v>0</v>
      </c>
      <c r="C6" s="2">
        <v>258</v>
      </c>
      <c r="D6" s="2">
        <v>258</v>
      </c>
      <c r="E6" s="2">
        <v>0</v>
      </c>
      <c r="F6" s="2"/>
      <c r="G6" s="2"/>
    </row>
    <row r="7" spans="1:8" x14ac:dyDescent="0.25">
      <c r="A7" t="s">
        <v>22</v>
      </c>
      <c r="B7" s="2">
        <v>0</v>
      </c>
      <c r="C7" s="2">
        <v>3365.8694</v>
      </c>
      <c r="D7" s="2">
        <v>3428.3694</v>
      </c>
      <c r="E7" s="2">
        <f>C7</f>
        <v>3365.8694</v>
      </c>
    </row>
    <row r="8" spans="1:8" x14ac:dyDescent="0.25">
      <c r="A8" s="16" t="s">
        <v>23</v>
      </c>
      <c r="B8" s="2">
        <v>462</v>
      </c>
      <c r="C8" s="2">
        <v>462</v>
      </c>
      <c r="D8" s="2">
        <v>462</v>
      </c>
      <c r="E8" s="2">
        <v>0</v>
      </c>
    </row>
    <row r="9" spans="1:8" x14ac:dyDescent="0.25">
      <c r="A9" s="16" t="s">
        <v>24</v>
      </c>
      <c r="B9" s="2">
        <v>307</v>
      </c>
      <c r="C9" s="2">
        <v>307</v>
      </c>
      <c r="D9" s="2">
        <v>307</v>
      </c>
      <c r="E9" s="2">
        <v>0</v>
      </c>
    </row>
    <row r="10" spans="1:8" x14ac:dyDescent="0.25">
      <c r="A10" t="s">
        <v>40</v>
      </c>
      <c r="B10" s="2">
        <v>1173.6576124999997</v>
      </c>
      <c r="C10" s="2">
        <v>5903.9541624999993</v>
      </c>
      <c r="D10" s="2">
        <v>5001.3527124999991</v>
      </c>
      <c r="E10" s="2">
        <v>0</v>
      </c>
    </row>
    <row r="11" spans="1:8" x14ac:dyDescent="0.25">
      <c r="A11" s="16" t="s">
        <v>43</v>
      </c>
      <c r="B11" s="2">
        <v>11114.999999999998</v>
      </c>
      <c r="C11" s="2">
        <v>11114.999999999998</v>
      </c>
      <c r="D11" s="2">
        <v>11114.999999999998</v>
      </c>
      <c r="E11" s="2">
        <v>0</v>
      </c>
    </row>
    <row r="12" spans="1:8" x14ac:dyDescent="0.25">
      <c r="A12" s="16" t="s">
        <v>54</v>
      </c>
      <c r="B12" s="2">
        <v>0</v>
      </c>
      <c r="C12" s="2">
        <v>550</v>
      </c>
      <c r="D12" s="2">
        <v>950</v>
      </c>
      <c r="E12" s="2">
        <f>C12</f>
        <v>550</v>
      </c>
    </row>
    <row r="13" spans="1:8" x14ac:dyDescent="0.25">
      <c r="A13" s="16" t="s">
        <v>61</v>
      </c>
      <c r="B13" s="2">
        <v>0</v>
      </c>
      <c r="C13" s="2">
        <v>1475</v>
      </c>
      <c r="D13" s="2">
        <v>1475</v>
      </c>
      <c r="E13" s="2">
        <v>0</v>
      </c>
    </row>
    <row r="14" spans="1:8" x14ac:dyDescent="0.25">
      <c r="A14" t="s">
        <v>57</v>
      </c>
      <c r="B14" s="2">
        <v>0</v>
      </c>
      <c r="C14" s="2">
        <v>1750</v>
      </c>
      <c r="D14" s="2">
        <v>2150</v>
      </c>
      <c r="E14" s="2">
        <f>C14</f>
        <v>1750</v>
      </c>
    </row>
    <row r="18" spans="6:8" x14ac:dyDescent="0.25">
      <c r="F18" s="2"/>
      <c r="G18" s="2"/>
      <c r="H18" s="2"/>
    </row>
    <row r="19" spans="6:8" x14ac:dyDescent="0.25">
      <c r="F19" s="2"/>
      <c r="G19" s="2"/>
      <c r="H19" s="2"/>
    </row>
    <row r="20" spans="6:8" x14ac:dyDescent="0.25">
      <c r="F20" s="2"/>
      <c r="G20" s="2"/>
      <c r="H20" s="2"/>
    </row>
    <row r="21" spans="6:8" x14ac:dyDescent="0.25">
      <c r="F21" s="2"/>
      <c r="G21" s="2"/>
      <c r="H21" s="2"/>
    </row>
    <row r="22" spans="6:8" x14ac:dyDescent="0.25">
      <c r="F22" s="2"/>
      <c r="G22" s="2"/>
      <c r="H22" s="2"/>
    </row>
    <row r="23" spans="6:8" x14ac:dyDescent="0.25">
      <c r="F23" s="2"/>
      <c r="G23" s="2"/>
      <c r="H23" s="2"/>
    </row>
    <row r="24" spans="6:8" x14ac:dyDescent="0.25">
      <c r="F24" s="2"/>
      <c r="G24" s="2"/>
      <c r="H24" s="2"/>
    </row>
    <row r="25" spans="6:8" x14ac:dyDescent="0.25">
      <c r="F25" s="2"/>
      <c r="G25" s="2"/>
      <c r="H25" s="2"/>
    </row>
    <row r="26" spans="6:8" x14ac:dyDescent="0.25">
      <c r="F26" s="2"/>
      <c r="G26" s="2"/>
      <c r="H26" s="2"/>
    </row>
    <row r="27" spans="6:8" x14ac:dyDescent="0.25">
      <c r="F27" s="2"/>
      <c r="G27" s="2"/>
      <c r="H27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2" spans="2:4" x14ac:dyDescent="0.25">
      <c r="B42" s="2"/>
      <c r="C42" s="2"/>
      <c r="D42" s="2"/>
    </row>
    <row r="43" spans="2:4" x14ac:dyDescent="0.25">
      <c r="B43" s="2"/>
      <c r="C43" s="2"/>
      <c r="D43" s="2"/>
    </row>
    <row r="44" spans="2:4" x14ac:dyDescent="0.25">
      <c r="B44" s="2"/>
      <c r="C44" s="2"/>
      <c r="D44" s="2"/>
    </row>
    <row r="45" spans="2:4" x14ac:dyDescent="0.25">
      <c r="B45" s="2"/>
      <c r="C45" s="2"/>
      <c r="D4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80F6-61B6-4C35-9586-885AC027F560}">
  <dimension ref="A1:V23"/>
  <sheetViews>
    <sheetView workbookViewId="0">
      <selection activeCell="M4" sqref="M4"/>
    </sheetView>
  </sheetViews>
  <sheetFormatPr defaultRowHeight="15" x14ac:dyDescent="0.25"/>
  <sheetData>
    <row r="1" spans="1:22" ht="16.5" thickBot="1" x14ac:dyDescent="0.3">
      <c r="A1" s="3" t="s">
        <v>7</v>
      </c>
      <c r="B1" s="4" t="s">
        <v>8</v>
      </c>
      <c r="C1" s="4" t="s">
        <v>9</v>
      </c>
      <c r="D1" s="4" t="s">
        <v>94</v>
      </c>
      <c r="E1" s="4" t="s">
        <v>10</v>
      </c>
      <c r="F1" s="4" t="s">
        <v>11</v>
      </c>
      <c r="G1" s="4" t="s">
        <v>12</v>
      </c>
      <c r="H1" s="4" t="s">
        <v>12</v>
      </c>
      <c r="I1" s="4" t="s">
        <v>13</v>
      </c>
      <c r="J1" s="12" t="s">
        <v>77</v>
      </c>
      <c r="K1" s="12" t="s">
        <v>80</v>
      </c>
      <c r="L1" s="12" t="s">
        <v>79</v>
      </c>
    </row>
    <row r="2" spans="1:22" ht="16.5" thickTop="1" thickBot="1" x14ac:dyDescent="0.3">
      <c r="A2" s="5" t="s">
        <v>2</v>
      </c>
      <c r="B2" s="6" t="s">
        <v>14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17</v>
      </c>
      <c r="H2" s="6" t="s">
        <v>17</v>
      </c>
      <c r="I2" s="6" t="s">
        <v>1</v>
      </c>
      <c r="J2" s="13" t="s">
        <v>78</v>
      </c>
      <c r="K2" s="13" t="s">
        <v>78</v>
      </c>
      <c r="L2" s="13" t="s">
        <v>78</v>
      </c>
      <c r="M2" s="13" t="s">
        <v>81</v>
      </c>
      <c r="N2" s="13" t="s">
        <v>82</v>
      </c>
      <c r="O2" s="13" t="s">
        <v>52</v>
      </c>
      <c r="T2" t="s">
        <v>3</v>
      </c>
      <c r="U2" t="s">
        <v>4</v>
      </c>
      <c r="V2" t="s">
        <v>5</v>
      </c>
    </row>
    <row r="3" spans="1:22" ht="15.75" thickBot="1" x14ac:dyDescent="0.3">
      <c r="A3" s="7" t="s">
        <v>18</v>
      </c>
      <c r="B3" s="8">
        <v>4334390</v>
      </c>
      <c r="C3" s="8">
        <v>4334390</v>
      </c>
      <c r="D3" s="8">
        <v>1130000</v>
      </c>
      <c r="E3" s="8">
        <v>5300000</v>
      </c>
      <c r="F3" s="8">
        <v>5340000</v>
      </c>
      <c r="G3" s="8">
        <v>5000000</v>
      </c>
      <c r="H3" s="8">
        <f>AVERAGE(F3:G3)</f>
        <v>5170000</v>
      </c>
      <c r="I3" s="8">
        <v>3419000</v>
      </c>
      <c r="J3">
        <f t="shared" ref="J3:L5" si="0">T3*1000</f>
        <v>10011078.012</v>
      </c>
      <c r="K3">
        <f t="shared" si="0"/>
        <v>10011078.012</v>
      </c>
      <c r="L3">
        <f t="shared" si="0"/>
        <v>11755761.932</v>
      </c>
      <c r="M3" s="2">
        <f>AVERAGE(B3,D3:E3,H3,I3,J3)</f>
        <v>4894078.0020000003</v>
      </c>
      <c r="N3" s="2">
        <f>AVERAGE(C3:E3,H3,I3,K3)</f>
        <v>4894078.0020000003</v>
      </c>
      <c r="O3" s="2">
        <f>AVERAGE(C3:E3,H3,I3,L3)</f>
        <v>5184858.6553333336</v>
      </c>
      <c r="S3" t="s">
        <v>76</v>
      </c>
      <c r="T3">
        <v>10011.078012</v>
      </c>
      <c r="U3">
        <v>10011.078012</v>
      </c>
      <c r="V3">
        <v>11755.761931999999</v>
      </c>
    </row>
    <row r="4" spans="1:22" ht="15.75" thickBot="1" x14ac:dyDescent="0.3">
      <c r="A4" s="5" t="s">
        <v>19</v>
      </c>
      <c r="B4" s="9">
        <v>76833</v>
      </c>
      <c r="C4" s="9">
        <v>82584</v>
      </c>
      <c r="D4" s="9">
        <v>41006</v>
      </c>
      <c r="E4" s="9">
        <v>107007</v>
      </c>
      <c r="F4" s="9">
        <v>230000</v>
      </c>
      <c r="G4" s="9">
        <v>205000</v>
      </c>
      <c r="H4" s="8">
        <f t="shared" ref="H4" si="1">AVERAGE(F4:G4)</f>
        <v>217500</v>
      </c>
      <c r="I4" s="10"/>
      <c r="J4">
        <f t="shared" si="0"/>
        <v>156791.58695</v>
      </c>
      <c r="K4">
        <f t="shared" si="0"/>
        <v>181873.94925000001</v>
      </c>
      <c r="L4">
        <f t="shared" si="0"/>
        <v>184173.94925000003</v>
      </c>
      <c r="M4" s="2">
        <f t="shared" ref="M4:M15" si="2">AVERAGE(B4,D4:E4,H4,I4,J4)</f>
        <v>119827.51739000001</v>
      </c>
      <c r="N4" s="2">
        <f t="shared" ref="N4:N15" si="3">AVERAGE(C4:E4,H4,I4,K4)</f>
        <v>125994.18985000001</v>
      </c>
      <c r="O4" s="2">
        <f t="shared" ref="O4:O15" si="4">AVERAGE(C4:E4,H4,I4,L4)</f>
        <v>126454.18985000001</v>
      </c>
      <c r="S4" t="s">
        <v>19</v>
      </c>
      <c r="T4">
        <v>156.79158695000001</v>
      </c>
      <c r="U4">
        <v>181.87394925000001</v>
      </c>
      <c r="V4">
        <v>184.17394925000002</v>
      </c>
    </row>
    <row r="5" spans="1:22" ht="15.75" thickBot="1" x14ac:dyDescent="0.3">
      <c r="A5" s="7" t="s">
        <v>20</v>
      </c>
      <c r="B5" s="8">
        <v>416667</v>
      </c>
      <c r="C5" s="8">
        <v>416667</v>
      </c>
      <c r="D5" s="8">
        <v>209000</v>
      </c>
      <c r="E5" s="8">
        <v>343000</v>
      </c>
      <c r="F5" s="8">
        <v>160000</v>
      </c>
      <c r="G5" s="11"/>
      <c r="H5" s="8">
        <f>F5/2</f>
        <v>80000</v>
      </c>
      <c r="I5" s="8">
        <v>308000</v>
      </c>
      <c r="J5">
        <f t="shared" si="0"/>
        <v>234650</v>
      </c>
      <c r="K5">
        <f t="shared" si="0"/>
        <v>313682.88572000002</v>
      </c>
      <c r="L5">
        <f t="shared" si="0"/>
        <v>338252.88572000002</v>
      </c>
      <c r="M5" s="2">
        <f t="shared" si="2"/>
        <v>265219.5</v>
      </c>
      <c r="N5" s="2">
        <f t="shared" si="3"/>
        <v>278391.64762</v>
      </c>
      <c r="O5" s="2">
        <f t="shared" si="4"/>
        <v>282486.64762</v>
      </c>
      <c r="S5" t="s">
        <v>20</v>
      </c>
      <c r="T5">
        <v>234.65</v>
      </c>
      <c r="U5">
        <v>313.68288572</v>
      </c>
      <c r="V5">
        <v>338.25288571999999</v>
      </c>
    </row>
    <row r="6" spans="1:22" ht="15.75" thickBot="1" x14ac:dyDescent="0.3">
      <c r="A6" s="5" t="s">
        <v>21</v>
      </c>
      <c r="B6" s="9">
        <v>65088</v>
      </c>
      <c r="C6" s="9">
        <v>65088</v>
      </c>
      <c r="D6" s="9">
        <v>41000</v>
      </c>
      <c r="E6" s="10"/>
      <c r="F6" s="10"/>
      <c r="G6" s="9">
        <v>140000</v>
      </c>
      <c r="H6" s="8">
        <f>G6/2</f>
        <v>70000</v>
      </c>
      <c r="I6" s="10"/>
      <c r="J6">
        <f>T7*1000</f>
        <v>106875</v>
      </c>
      <c r="K6">
        <f>U7*1000</f>
        <v>106875</v>
      </c>
      <c r="L6">
        <f>U7*1000</f>
        <v>106875</v>
      </c>
      <c r="M6" s="2">
        <f t="shared" si="2"/>
        <v>70740.75</v>
      </c>
      <c r="N6" s="2">
        <f t="shared" si="3"/>
        <v>70740.75</v>
      </c>
      <c r="O6" s="2">
        <f t="shared" si="4"/>
        <v>70740.75</v>
      </c>
      <c r="S6" t="s">
        <v>40</v>
      </c>
      <c r="T6">
        <v>1.1736576124999998</v>
      </c>
      <c r="U6">
        <v>5.9039541624999989</v>
      </c>
      <c r="V6">
        <v>5.0013527124999992</v>
      </c>
    </row>
    <row r="7" spans="1:22" ht="15.75" thickBot="1" x14ac:dyDescent="0.3">
      <c r="A7" s="7" t="s">
        <v>6</v>
      </c>
      <c r="B7" s="11"/>
      <c r="C7" s="8">
        <v>258</v>
      </c>
      <c r="D7" s="8"/>
      <c r="E7" s="8"/>
      <c r="F7" s="11"/>
      <c r="G7" s="11"/>
      <c r="H7" s="8"/>
      <c r="I7" s="11"/>
      <c r="J7">
        <v>0</v>
      </c>
      <c r="M7" s="2">
        <f t="shared" si="2"/>
        <v>0</v>
      </c>
      <c r="N7" s="2">
        <f t="shared" si="3"/>
        <v>258</v>
      </c>
      <c r="O7" s="2">
        <f t="shared" si="4"/>
        <v>258</v>
      </c>
      <c r="S7" t="s">
        <v>21</v>
      </c>
      <c r="T7">
        <v>106.875</v>
      </c>
      <c r="U7">
        <v>106.875</v>
      </c>
      <c r="V7">
        <v>106.875</v>
      </c>
    </row>
    <row r="8" spans="1:22" ht="15.75" thickBot="1" x14ac:dyDescent="0.3">
      <c r="A8" s="5" t="s">
        <v>22</v>
      </c>
      <c r="B8" s="10"/>
      <c r="C8" s="9">
        <v>1778</v>
      </c>
      <c r="D8" s="9"/>
      <c r="E8" s="9"/>
      <c r="F8" s="10"/>
      <c r="G8" s="10"/>
      <c r="H8" s="8"/>
      <c r="I8" s="10"/>
      <c r="J8">
        <v>0</v>
      </c>
      <c r="K8">
        <f>U9*1000</f>
        <v>4953.7388000000001</v>
      </c>
      <c r="L8">
        <f>V9*1000</f>
        <v>5078.7388000000001</v>
      </c>
      <c r="M8" s="2">
        <f t="shared" si="2"/>
        <v>0</v>
      </c>
      <c r="N8" s="2">
        <f t="shared" si="3"/>
        <v>3365.8694</v>
      </c>
      <c r="O8" s="2">
        <f t="shared" si="4"/>
        <v>3428.3694</v>
      </c>
      <c r="S8" t="s">
        <v>43</v>
      </c>
      <c r="T8">
        <v>11.114999999999998</v>
      </c>
      <c r="U8">
        <v>11.114999999999998</v>
      </c>
      <c r="V8">
        <v>11.114999999999998</v>
      </c>
    </row>
    <row r="9" spans="1:22" ht="15.75" thickBot="1" x14ac:dyDescent="0.3">
      <c r="A9" s="7" t="s">
        <v>23</v>
      </c>
      <c r="B9" s="8">
        <v>462</v>
      </c>
      <c r="C9" s="8">
        <v>462</v>
      </c>
      <c r="D9" s="11"/>
      <c r="E9" s="11"/>
      <c r="F9" s="11"/>
      <c r="G9" s="11"/>
      <c r="H9" s="8"/>
      <c r="I9" s="11"/>
      <c r="M9" s="2">
        <f t="shared" si="2"/>
        <v>462</v>
      </c>
      <c r="N9" s="2">
        <f t="shared" si="3"/>
        <v>462</v>
      </c>
      <c r="O9" s="2">
        <f t="shared" si="4"/>
        <v>462</v>
      </c>
      <c r="S9" t="s">
        <v>22</v>
      </c>
      <c r="U9">
        <v>4.9537388</v>
      </c>
      <c r="V9">
        <v>5.0787388</v>
      </c>
    </row>
    <row r="10" spans="1:22" ht="15.75" thickBot="1" x14ac:dyDescent="0.3">
      <c r="A10" s="5" t="s">
        <v>24</v>
      </c>
      <c r="B10" s="9">
        <v>307</v>
      </c>
      <c r="C10" s="9">
        <v>307</v>
      </c>
      <c r="D10" s="10"/>
      <c r="E10" s="10"/>
      <c r="F10" s="10"/>
      <c r="G10" s="10"/>
      <c r="H10" s="8"/>
      <c r="I10" s="10"/>
      <c r="M10" s="2">
        <f t="shared" si="2"/>
        <v>307</v>
      </c>
      <c r="N10" s="2">
        <f t="shared" si="3"/>
        <v>307</v>
      </c>
      <c r="O10" s="2">
        <f t="shared" si="4"/>
        <v>307</v>
      </c>
      <c r="S10" t="s">
        <v>54</v>
      </c>
      <c r="U10">
        <v>0.55000000000000004</v>
      </c>
      <c r="V10">
        <v>0.95</v>
      </c>
    </row>
    <row r="11" spans="1:22" x14ac:dyDescent="0.25">
      <c r="A11" s="14" t="s">
        <v>40</v>
      </c>
      <c r="J11">
        <f>T6*1000</f>
        <v>1173.6576124999997</v>
      </c>
      <c r="K11">
        <f>U6*1000</f>
        <v>5903.9541624999993</v>
      </c>
      <c r="L11">
        <f>V6*1000</f>
        <v>5001.3527124999991</v>
      </c>
      <c r="M11" s="2">
        <f t="shared" si="2"/>
        <v>1173.6576124999997</v>
      </c>
      <c r="N11" s="2">
        <f t="shared" si="3"/>
        <v>5903.9541624999993</v>
      </c>
      <c r="O11" s="2">
        <f t="shared" si="4"/>
        <v>5001.3527124999991</v>
      </c>
      <c r="S11" t="s">
        <v>61</v>
      </c>
      <c r="U11">
        <v>1.4750000000000001</v>
      </c>
      <c r="V11">
        <v>1.4750000000000001</v>
      </c>
    </row>
    <row r="12" spans="1:22" x14ac:dyDescent="0.25">
      <c r="A12" s="15" t="s">
        <v>43</v>
      </c>
      <c r="J12">
        <f>T8*1000</f>
        <v>11114.999999999998</v>
      </c>
      <c r="K12">
        <f>U8*1000</f>
        <v>11114.999999999998</v>
      </c>
      <c r="L12">
        <f>V8*1000</f>
        <v>11114.999999999998</v>
      </c>
      <c r="M12" s="2">
        <f t="shared" si="2"/>
        <v>11114.999999999998</v>
      </c>
      <c r="N12" s="2">
        <f t="shared" si="3"/>
        <v>11114.999999999998</v>
      </c>
      <c r="O12" s="2">
        <f t="shared" si="4"/>
        <v>11114.999999999998</v>
      </c>
      <c r="S12" t="s">
        <v>57</v>
      </c>
      <c r="U12">
        <v>1.75</v>
      </c>
      <c r="V12">
        <v>2.15</v>
      </c>
    </row>
    <row r="13" spans="1:22" x14ac:dyDescent="0.25">
      <c r="A13" s="14" t="s">
        <v>54</v>
      </c>
      <c r="J13">
        <f t="shared" ref="J13:L15" si="5">T10*1000</f>
        <v>0</v>
      </c>
      <c r="K13">
        <f t="shared" si="5"/>
        <v>550</v>
      </c>
      <c r="L13">
        <f t="shared" si="5"/>
        <v>950</v>
      </c>
      <c r="M13" s="2">
        <f t="shared" si="2"/>
        <v>0</v>
      </c>
      <c r="N13" s="2">
        <f t="shared" si="3"/>
        <v>550</v>
      </c>
      <c r="O13" s="2">
        <f t="shared" si="4"/>
        <v>950</v>
      </c>
    </row>
    <row r="14" spans="1:22" x14ac:dyDescent="0.25">
      <c r="A14" s="15" t="s">
        <v>61</v>
      </c>
      <c r="J14">
        <f t="shared" si="5"/>
        <v>0</v>
      </c>
      <c r="K14">
        <f t="shared" si="5"/>
        <v>1475</v>
      </c>
      <c r="L14">
        <f t="shared" si="5"/>
        <v>1475</v>
      </c>
      <c r="M14" s="2">
        <f t="shared" si="2"/>
        <v>0</v>
      </c>
      <c r="N14" s="2">
        <f t="shared" si="3"/>
        <v>1475</v>
      </c>
      <c r="O14" s="2">
        <f t="shared" si="4"/>
        <v>1475</v>
      </c>
    </row>
    <row r="15" spans="1:22" x14ac:dyDescent="0.25">
      <c r="A15" s="14" t="s">
        <v>57</v>
      </c>
      <c r="J15">
        <f t="shared" si="5"/>
        <v>0</v>
      </c>
      <c r="K15">
        <f t="shared" si="5"/>
        <v>1750</v>
      </c>
      <c r="L15">
        <f t="shared" si="5"/>
        <v>2150</v>
      </c>
      <c r="M15" s="2">
        <f t="shared" si="2"/>
        <v>0</v>
      </c>
      <c r="N15" s="2">
        <f t="shared" si="3"/>
        <v>1750</v>
      </c>
      <c r="O15" s="2">
        <f t="shared" si="4"/>
        <v>2150</v>
      </c>
    </row>
    <row r="16" spans="1:22" ht="15.75" thickBot="1" x14ac:dyDescent="0.3">
      <c r="A16" s="7" t="s">
        <v>25</v>
      </c>
      <c r="B16" s="8">
        <v>4893746</v>
      </c>
      <c r="C16" s="8">
        <v>4901533</v>
      </c>
      <c r="D16" s="8">
        <v>1421006</v>
      </c>
      <c r="E16" s="8">
        <v>5750012</v>
      </c>
      <c r="F16" s="8">
        <v>5730000</v>
      </c>
      <c r="G16" s="8">
        <v>5345000</v>
      </c>
      <c r="H16" s="8"/>
      <c r="I16" s="8">
        <v>3727000</v>
      </c>
      <c r="J16">
        <f>SUM(J3:J15)</f>
        <v>10521683.256562501</v>
      </c>
      <c r="K16">
        <f t="shared" ref="K16:L16" si="6">SUM(K3:K15)</f>
        <v>10639257.539932501</v>
      </c>
      <c r="L16">
        <f t="shared" si="6"/>
        <v>12410833.858482501</v>
      </c>
    </row>
    <row r="17" spans="1:4" x14ac:dyDescent="0.25">
      <c r="A17" s="14" t="s">
        <v>98</v>
      </c>
    </row>
    <row r="18" spans="1:4" x14ac:dyDescent="0.25">
      <c r="A18" s="19" t="s">
        <v>93</v>
      </c>
      <c r="C18" s="17"/>
      <c r="D18" s="17"/>
    </row>
    <row r="19" spans="1:4" x14ac:dyDescent="0.25">
      <c r="A19" s="20" t="s">
        <v>92</v>
      </c>
    </row>
    <row r="20" spans="1:4" x14ac:dyDescent="0.25">
      <c r="A20" s="19" t="s">
        <v>91</v>
      </c>
    </row>
    <row r="21" spans="1:4" x14ac:dyDescent="0.25">
      <c r="A21" s="20" t="s">
        <v>95</v>
      </c>
    </row>
    <row r="22" spans="1:4" x14ac:dyDescent="0.25">
      <c r="A22" s="20" t="s">
        <v>96</v>
      </c>
    </row>
    <row r="23" spans="1:4" x14ac:dyDescent="0.25">
      <c r="A23" s="20" t="s">
        <v>97</v>
      </c>
    </row>
  </sheetData>
  <hyperlinks>
    <hyperlink ref="A19" r:id="rId1" display="https://doi.org/10.1065/lca2004.10.181.10" xr:uid="{EE2DD7B8-1C63-4F00-BF30-A9B3CF3EA5E2}"/>
    <hyperlink ref="A21" r:id="rId2" display="https://doi.org/10.1007/BF02978431" xr:uid="{755AD026-991F-4E79-A8B8-76EE27028215}"/>
    <hyperlink ref="A22" r:id="rId3" display="https://doi.org/10.1007/s11625-012-0196-y" xr:uid="{3005A624-441A-4752-9260-12D171985F7D}"/>
    <hyperlink ref="A23" r:id="rId4" display="https://doi.org/10.1111/jiec.12216" xr:uid="{56CACB8C-958C-437C-A682-67E00FDFD579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778E-BA4C-4C94-BA4E-44D3526A3F9A}">
  <dimension ref="B1:T88"/>
  <sheetViews>
    <sheetView workbookViewId="0">
      <selection activeCell="Q2" sqref="Q2"/>
    </sheetView>
  </sheetViews>
  <sheetFormatPr defaultRowHeight="15" x14ac:dyDescent="0.25"/>
  <sheetData>
    <row r="1" spans="2:20" x14ac:dyDescent="0.25">
      <c r="B1" s="24" t="s">
        <v>112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Q1" s="24" t="s">
        <v>113</v>
      </c>
      <c r="R1" s="25"/>
      <c r="S1" s="25"/>
      <c r="T1" s="26"/>
    </row>
    <row r="2" spans="2:20" x14ac:dyDescent="0.25">
      <c r="B2" s="27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28" t="s">
        <v>74</v>
      </c>
      <c r="I2" s="28" t="s">
        <v>75</v>
      </c>
      <c r="J2" s="28"/>
      <c r="K2" s="28" t="s">
        <v>32</v>
      </c>
      <c r="L2" s="28" t="s">
        <v>33</v>
      </c>
      <c r="M2" s="28"/>
      <c r="N2" s="29"/>
      <c r="Q2" s="27"/>
      <c r="R2" s="28" t="s">
        <v>3</v>
      </c>
      <c r="S2" s="28" t="s">
        <v>4</v>
      </c>
      <c r="T2" s="29" t="s">
        <v>5</v>
      </c>
    </row>
    <row r="3" spans="2:20" x14ac:dyDescent="0.25">
      <c r="B3" s="27" t="s">
        <v>34</v>
      </c>
      <c r="C3" s="28"/>
      <c r="D3" s="28" t="s">
        <v>18</v>
      </c>
      <c r="E3" s="28" t="s">
        <v>35</v>
      </c>
      <c r="F3" s="28">
        <v>7392</v>
      </c>
      <c r="G3" s="28">
        <v>12320</v>
      </c>
      <c r="H3" s="28">
        <f>G3/2</f>
        <v>6160</v>
      </c>
      <c r="I3" s="28">
        <f>F3*0.47971+H3*0.52029</f>
        <v>6751.0027200000004</v>
      </c>
      <c r="J3" s="28"/>
      <c r="K3" s="28">
        <v>9632</v>
      </c>
      <c r="L3" s="28">
        <v>14896</v>
      </c>
      <c r="M3" s="28">
        <f>L3/2</f>
        <v>7448</v>
      </c>
      <c r="N3" s="29">
        <f>K3*0.47971+M3*0.52029</f>
        <v>8495.6866399999999</v>
      </c>
      <c r="Q3" s="27" t="s">
        <v>76</v>
      </c>
      <c r="R3" s="28">
        <f>I20</f>
        <v>10011.078012</v>
      </c>
      <c r="S3" s="28">
        <f>R3</f>
        <v>10011.078012</v>
      </c>
      <c r="T3" s="29">
        <f>N20</f>
        <v>11755.761931999999</v>
      </c>
    </row>
    <row r="4" spans="2:20" x14ac:dyDescent="0.25">
      <c r="B4" s="27" t="s">
        <v>34</v>
      </c>
      <c r="C4" s="28"/>
      <c r="D4" s="28" t="s">
        <v>19</v>
      </c>
      <c r="E4" s="28" t="s">
        <v>35</v>
      </c>
      <c r="F4" s="28">
        <v>120.68</v>
      </c>
      <c r="G4" s="28">
        <v>241.36</v>
      </c>
      <c r="H4" s="28">
        <f t="shared" ref="H4:H18" si="0">G4/2</f>
        <v>120.68</v>
      </c>
      <c r="I4" s="28">
        <f t="shared" ref="I4:I18" si="1">F4*0.47971+H4*0.52029</f>
        <v>120.68</v>
      </c>
      <c r="J4" s="28"/>
      <c r="K4" s="28">
        <v>120.68</v>
      </c>
      <c r="L4" s="28">
        <v>241.36</v>
      </c>
      <c r="M4" s="28">
        <f t="shared" ref="M4:M18" si="2">L4/2</f>
        <v>120.68</v>
      </c>
      <c r="N4" s="29">
        <f t="shared" ref="N4:N18" si="3">K4*0.47971+M4*0.52029</f>
        <v>120.68</v>
      </c>
      <c r="Q4" s="27" t="s">
        <v>19</v>
      </c>
      <c r="R4" s="28">
        <f t="shared" ref="R4:R8" si="4">I21</f>
        <v>156.79158695000001</v>
      </c>
      <c r="S4" s="28">
        <f>H74+R4</f>
        <v>181.87394925000001</v>
      </c>
      <c r="T4" s="29">
        <f>N21+I74</f>
        <v>184.17394925000002</v>
      </c>
    </row>
    <row r="5" spans="2:20" x14ac:dyDescent="0.25">
      <c r="B5" s="27" t="s">
        <v>36</v>
      </c>
      <c r="C5" s="28" t="s">
        <v>37</v>
      </c>
      <c r="D5" s="28" t="s">
        <v>20</v>
      </c>
      <c r="E5" s="28" t="s">
        <v>56</v>
      </c>
      <c r="F5" s="28">
        <v>190</v>
      </c>
      <c r="G5" s="28">
        <v>380</v>
      </c>
      <c r="H5" s="28">
        <f t="shared" si="0"/>
        <v>190</v>
      </c>
      <c r="I5" s="28">
        <f t="shared" si="1"/>
        <v>190</v>
      </c>
      <c r="J5" s="28"/>
      <c r="K5" s="28">
        <v>190</v>
      </c>
      <c r="L5" s="28">
        <v>380</v>
      </c>
      <c r="M5" s="28">
        <f t="shared" si="2"/>
        <v>190</v>
      </c>
      <c r="N5" s="29">
        <f t="shared" si="3"/>
        <v>190</v>
      </c>
      <c r="Q5" s="27" t="s">
        <v>20</v>
      </c>
      <c r="R5" s="28">
        <f t="shared" si="4"/>
        <v>234.65</v>
      </c>
      <c r="S5" s="28">
        <f>R5+H73</f>
        <v>313.68288572</v>
      </c>
      <c r="T5" s="29">
        <f>N22+I73</f>
        <v>338.25288571999999</v>
      </c>
    </row>
    <row r="6" spans="2:20" x14ac:dyDescent="0.25">
      <c r="B6" s="27" t="s">
        <v>36</v>
      </c>
      <c r="C6" s="28" t="s">
        <v>37</v>
      </c>
      <c r="D6" s="28" t="s">
        <v>19</v>
      </c>
      <c r="E6" s="28" t="s">
        <v>35</v>
      </c>
      <c r="F6" s="28">
        <v>11.7</v>
      </c>
      <c r="G6" s="28">
        <v>23.3</v>
      </c>
      <c r="H6" s="28">
        <f t="shared" si="0"/>
        <v>11.65</v>
      </c>
      <c r="I6" s="28">
        <f t="shared" si="1"/>
        <v>11.673985500000001</v>
      </c>
      <c r="J6" s="28"/>
      <c r="K6" s="28">
        <v>11.7</v>
      </c>
      <c r="L6" s="28">
        <v>23.3</v>
      </c>
      <c r="M6" s="28">
        <f t="shared" si="2"/>
        <v>11.65</v>
      </c>
      <c r="N6" s="29">
        <f t="shared" si="3"/>
        <v>11.673985500000001</v>
      </c>
      <c r="Q6" s="27" t="s">
        <v>40</v>
      </c>
      <c r="R6" s="28">
        <f t="shared" si="4"/>
        <v>1.1736576124999998</v>
      </c>
      <c r="S6" s="28">
        <f>R6+H77</f>
        <v>5.9039541624999989</v>
      </c>
      <c r="T6" s="29">
        <f>N23+I77</f>
        <v>5.0013527124999992</v>
      </c>
    </row>
    <row r="7" spans="2:20" x14ac:dyDescent="0.25">
      <c r="B7" s="27" t="s">
        <v>36</v>
      </c>
      <c r="C7" s="28" t="s">
        <v>39</v>
      </c>
      <c r="D7" s="28" t="s">
        <v>0</v>
      </c>
      <c r="E7" s="28" t="s">
        <v>35</v>
      </c>
      <c r="F7" s="28">
        <v>7.7</v>
      </c>
      <c r="G7" s="28">
        <v>15.3</v>
      </c>
      <c r="H7" s="28">
        <f t="shared" si="0"/>
        <v>7.65</v>
      </c>
      <c r="I7" s="28">
        <f t="shared" si="1"/>
        <v>7.6739855000000006</v>
      </c>
      <c r="J7" s="28"/>
      <c r="K7" s="28">
        <v>7.7</v>
      </c>
      <c r="L7" s="28">
        <v>15.3</v>
      </c>
      <c r="M7" s="28">
        <f t="shared" si="2"/>
        <v>7.65</v>
      </c>
      <c r="N7" s="29">
        <f t="shared" si="3"/>
        <v>7.6739855000000006</v>
      </c>
      <c r="Q7" s="27" t="s">
        <v>21</v>
      </c>
      <c r="R7" s="28">
        <f t="shared" si="4"/>
        <v>106.875</v>
      </c>
      <c r="S7" s="28">
        <f>R7</f>
        <v>106.875</v>
      </c>
      <c r="T7" s="29">
        <f t="shared" ref="T7:T8" si="5">N24</f>
        <v>106.875</v>
      </c>
    </row>
    <row r="8" spans="2:20" x14ac:dyDescent="0.25">
      <c r="B8" s="27" t="s">
        <v>36</v>
      </c>
      <c r="C8" s="28" t="s">
        <v>39</v>
      </c>
      <c r="D8" s="28" t="s">
        <v>40</v>
      </c>
      <c r="E8" s="28" t="s">
        <v>35</v>
      </c>
      <c r="F8" s="28">
        <v>2</v>
      </c>
      <c r="G8" s="28">
        <v>4</v>
      </c>
      <c r="H8" s="28">
        <f t="shared" si="0"/>
        <v>2</v>
      </c>
      <c r="I8" s="28">
        <f t="shared" si="1"/>
        <v>2</v>
      </c>
      <c r="J8" s="28"/>
      <c r="K8" s="28">
        <v>2</v>
      </c>
      <c r="L8" s="28">
        <v>4</v>
      </c>
      <c r="M8" s="28">
        <f t="shared" si="2"/>
        <v>2</v>
      </c>
      <c r="N8" s="29">
        <f t="shared" si="3"/>
        <v>2</v>
      </c>
      <c r="Q8" s="27" t="s">
        <v>43</v>
      </c>
      <c r="R8" s="28">
        <f t="shared" si="4"/>
        <v>11.114999999999998</v>
      </c>
      <c r="S8" s="28">
        <f>R8</f>
        <v>11.114999999999998</v>
      </c>
      <c r="T8" s="29">
        <f t="shared" si="5"/>
        <v>11.114999999999998</v>
      </c>
    </row>
    <row r="9" spans="2:20" x14ac:dyDescent="0.25">
      <c r="B9" s="27" t="s">
        <v>36</v>
      </c>
      <c r="C9" s="28" t="s">
        <v>41</v>
      </c>
      <c r="D9" s="28" t="s">
        <v>18</v>
      </c>
      <c r="E9" s="28" t="s">
        <v>35</v>
      </c>
      <c r="F9" s="28">
        <v>3573</v>
      </c>
      <c r="G9" s="28">
        <v>7099</v>
      </c>
      <c r="H9" s="28">
        <f t="shared" si="0"/>
        <v>3549.5</v>
      </c>
      <c r="I9" s="28">
        <f t="shared" si="1"/>
        <v>3560.773185</v>
      </c>
      <c r="J9" s="28"/>
      <c r="K9" s="28">
        <v>3573</v>
      </c>
      <c r="L9" s="28">
        <v>7099</v>
      </c>
      <c r="M9" s="28">
        <f t="shared" si="2"/>
        <v>3549.5</v>
      </c>
      <c r="N9" s="29">
        <f t="shared" si="3"/>
        <v>3560.773185</v>
      </c>
      <c r="Q9" s="30" t="s">
        <v>22</v>
      </c>
      <c r="R9" s="28"/>
      <c r="S9" s="28">
        <f>H71</f>
        <v>4.9537388</v>
      </c>
      <c r="T9" s="29">
        <f>I71</f>
        <v>5.0787388</v>
      </c>
    </row>
    <row r="10" spans="2:20" x14ac:dyDescent="0.25">
      <c r="B10" s="27" t="s">
        <v>42</v>
      </c>
      <c r="C10" s="28" t="s">
        <v>37</v>
      </c>
      <c r="D10" s="28" t="s">
        <v>21</v>
      </c>
      <c r="E10" s="28" t="s">
        <v>38</v>
      </c>
      <c r="F10" s="28">
        <v>375</v>
      </c>
      <c r="G10" s="28">
        <v>750</v>
      </c>
      <c r="H10" s="28">
        <f t="shared" si="0"/>
        <v>375</v>
      </c>
      <c r="I10" s="28">
        <f t="shared" si="1"/>
        <v>375</v>
      </c>
      <c r="J10" s="28"/>
      <c r="K10" s="28">
        <v>375</v>
      </c>
      <c r="L10" s="28">
        <v>750</v>
      </c>
      <c r="M10" s="28">
        <f t="shared" si="2"/>
        <v>375</v>
      </c>
      <c r="N10" s="29">
        <f t="shared" si="3"/>
        <v>375</v>
      </c>
      <c r="Q10" s="27" t="s">
        <v>54</v>
      </c>
      <c r="R10" s="28"/>
      <c r="S10" s="28">
        <f>H72</f>
        <v>0.55000000000000004</v>
      </c>
      <c r="T10" s="29">
        <f>I72</f>
        <v>0.95</v>
      </c>
    </row>
    <row r="11" spans="2:20" x14ac:dyDescent="0.25">
      <c r="B11" s="27" t="s">
        <v>42</v>
      </c>
      <c r="C11" s="28" t="s">
        <v>37</v>
      </c>
      <c r="D11" s="28" t="s">
        <v>43</v>
      </c>
      <c r="E11" s="28" t="s">
        <v>35</v>
      </c>
      <c r="F11" s="28">
        <v>23.4</v>
      </c>
      <c r="G11" s="28">
        <v>46.8</v>
      </c>
      <c r="H11" s="28">
        <f t="shared" si="0"/>
        <v>23.4</v>
      </c>
      <c r="I11" s="28">
        <f t="shared" si="1"/>
        <v>23.4</v>
      </c>
      <c r="J11" s="28"/>
      <c r="K11" s="28">
        <v>23.4</v>
      </c>
      <c r="L11" s="28">
        <v>46.8</v>
      </c>
      <c r="M11" s="28">
        <f t="shared" si="2"/>
        <v>23.4</v>
      </c>
      <c r="N11" s="29">
        <f t="shared" si="3"/>
        <v>23.4</v>
      </c>
      <c r="Q11" s="27" t="s">
        <v>61</v>
      </c>
      <c r="R11" s="28"/>
      <c r="S11" s="28">
        <f>H76</f>
        <v>1.4750000000000001</v>
      </c>
      <c r="T11" s="29">
        <f>I76</f>
        <v>1.4750000000000001</v>
      </c>
    </row>
    <row r="12" spans="2:20" ht="15.75" thickBot="1" x14ac:dyDescent="0.3">
      <c r="B12" s="27" t="s">
        <v>42</v>
      </c>
      <c r="C12" s="28" t="s">
        <v>39</v>
      </c>
      <c r="D12" s="28" t="s">
        <v>19</v>
      </c>
      <c r="E12" s="28" t="s">
        <v>35</v>
      </c>
      <c r="F12" s="28">
        <v>43.2</v>
      </c>
      <c r="G12" s="28">
        <v>86.4</v>
      </c>
      <c r="H12" s="28">
        <f t="shared" si="0"/>
        <v>43.2</v>
      </c>
      <c r="I12" s="28">
        <f t="shared" si="1"/>
        <v>43.2</v>
      </c>
      <c r="J12" s="28"/>
      <c r="K12" s="28">
        <v>43.2</v>
      </c>
      <c r="L12" s="28">
        <v>86.4</v>
      </c>
      <c r="M12" s="28">
        <f t="shared" si="2"/>
        <v>43.2</v>
      </c>
      <c r="N12" s="29">
        <f t="shared" si="3"/>
        <v>43.2</v>
      </c>
      <c r="Q12" s="31" t="s">
        <v>57</v>
      </c>
      <c r="R12" s="32"/>
      <c r="S12" s="32">
        <f>H75</f>
        <v>1.75</v>
      </c>
      <c r="T12" s="33">
        <f>I75</f>
        <v>2.15</v>
      </c>
    </row>
    <row r="13" spans="2:20" x14ac:dyDescent="0.25">
      <c r="B13" s="27" t="s">
        <v>42</v>
      </c>
      <c r="C13" s="28" t="s">
        <v>39</v>
      </c>
      <c r="D13" s="28" t="s">
        <v>40</v>
      </c>
      <c r="E13" s="28" t="s">
        <v>35</v>
      </c>
      <c r="F13" s="28">
        <v>0.4</v>
      </c>
      <c r="G13" s="28">
        <v>0.9</v>
      </c>
      <c r="H13" s="28">
        <f t="shared" si="0"/>
        <v>0.45</v>
      </c>
      <c r="I13" s="28">
        <f t="shared" si="1"/>
        <v>0.42601450000000007</v>
      </c>
      <c r="J13" s="28"/>
      <c r="K13" s="28">
        <v>0.4</v>
      </c>
      <c r="L13" s="28">
        <v>0.9</v>
      </c>
      <c r="M13" s="28">
        <f t="shared" si="2"/>
        <v>0.45</v>
      </c>
      <c r="N13" s="29">
        <f t="shared" si="3"/>
        <v>0.42601450000000007</v>
      </c>
    </row>
    <row r="14" spans="2:20" x14ac:dyDescent="0.25">
      <c r="B14" s="27" t="s">
        <v>42</v>
      </c>
      <c r="C14" s="28" t="s">
        <v>41</v>
      </c>
      <c r="D14" s="28" t="s">
        <v>18</v>
      </c>
      <c r="E14" s="28" t="s">
        <v>35</v>
      </c>
      <c r="F14" s="28">
        <v>3030</v>
      </c>
      <c r="G14" s="28">
        <v>6141</v>
      </c>
      <c r="H14" s="28">
        <f t="shared" si="0"/>
        <v>3070.5</v>
      </c>
      <c r="I14" s="28">
        <f t="shared" si="1"/>
        <v>3051.0717450000002</v>
      </c>
      <c r="J14" s="28"/>
      <c r="K14" s="28">
        <v>3030</v>
      </c>
      <c r="L14" s="28">
        <v>6141</v>
      </c>
      <c r="M14" s="28">
        <f t="shared" si="2"/>
        <v>3070.5</v>
      </c>
      <c r="N14" s="29">
        <f t="shared" si="3"/>
        <v>3051.0717450000002</v>
      </c>
    </row>
    <row r="15" spans="2:20" x14ac:dyDescent="0.25">
      <c r="B15" s="27" t="s">
        <v>44</v>
      </c>
      <c r="C15" s="28" t="s">
        <v>37</v>
      </c>
      <c r="D15" s="28" t="s">
        <v>19</v>
      </c>
      <c r="E15" s="28" t="s">
        <v>35</v>
      </c>
      <c r="F15" s="28">
        <v>118.9</v>
      </c>
      <c r="G15" s="28">
        <v>237.8</v>
      </c>
      <c r="H15" s="28">
        <f t="shared" si="0"/>
        <v>118.9</v>
      </c>
      <c r="I15" s="28">
        <f t="shared" si="1"/>
        <v>118.9</v>
      </c>
      <c r="J15" s="28"/>
      <c r="K15" s="28">
        <v>118.9</v>
      </c>
      <c r="L15" s="28">
        <v>237.8</v>
      </c>
      <c r="M15" s="28">
        <f t="shared" si="2"/>
        <v>118.9</v>
      </c>
      <c r="N15" s="29">
        <f t="shared" si="3"/>
        <v>118.9</v>
      </c>
    </row>
    <row r="16" spans="2:20" x14ac:dyDescent="0.25">
      <c r="B16" s="27" t="s">
        <v>44</v>
      </c>
      <c r="C16" s="28" t="s">
        <v>39</v>
      </c>
      <c r="D16" s="28" t="s">
        <v>19</v>
      </c>
      <c r="E16" s="28" t="s">
        <v>35</v>
      </c>
      <c r="F16" s="28">
        <v>9.1</v>
      </c>
      <c r="G16" s="28">
        <v>18.3</v>
      </c>
      <c r="H16" s="28">
        <f t="shared" si="0"/>
        <v>9.15</v>
      </c>
      <c r="I16" s="28">
        <f t="shared" si="1"/>
        <v>9.1260145000000001</v>
      </c>
      <c r="J16" s="28"/>
      <c r="K16" s="28">
        <v>9.1</v>
      </c>
      <c r="L16" s="28">
        <v>18.3</v>
      </c>
      <c r="M16" s="28">
        <f t="shared" si="2"/>
        <v>9.15</v>
      </c>
      <c r="N16" s="29">
        <f t="shared" si="3"/>
        <v>9.1260145000000001</v>
      </c>
    </row>
    <row r="17" spans="2:14" x14ac:dyDescent="0.25">
      <c r="B17" s="27" t="s">
        <v>44</v>
      </c>
      <c r="C17" s="28" t="s">
        <v>39</v>
      </c>
      <c r="D17" s="28" t="s">
        <v>40</v>
      </c>
      <c r="E17" s="28" t="s">
        <v>35</v>
      </c>
      <c r="F17" s="28">
        <v>0.4</v>
      </c>
      <c r="G17" s="28">
        <v>0.9</v>
      </c>
      <c r="H17" s="28">
        <f t="shared" si="0"/>
        <v>0.45</v>
      </c>
      <c r="I17" s="28">
        <f t="shared" si="1"/>
        <v>0.42601450000000007</v>
      </c>
      <c r="J17" s="28"/>
      <c r="K17" s="28">
        <v>0.4</v>
      </c>
      <c r="L17" s="28">
        <v>0.9</v>
      </c>
      <c r="M17" s="28">
        <f t="shared" si="2"/>
        <v>0.45</v>
      </c>
      <c r="N17" s="29">
        <f t="shared" si="3"/>
        <v>0.42601450000000007</v>
      </c>
    </row>
    <row r="18" spans="2:14" x14ac:dyDescent="0.25">
      <c r="B18" s="27" t="s">
        <v>44</v>
      </c>
      <c r="C18" s="28" t="s">
        <v>41</v>
      </c>
      <c r="D18" s="28" t="s">
        <v>18</v>
      </c>
      <c r="E18" s="28" t="s">
        <v>35</v>
      </c>
      <c r="F18" s="28">
        <v>2319</v>
      </c>
      <c r="G18" s="28">
        <v>4907</v>
      </c>
      <c r="H18" s="28">
        <f t="shared" si="0"/>
        <v>2453.5</v>
      </c>
      <c r="I18" s="28">
        <f t="shared" si="1"/>
        <v>2388.9790050000001</v>
      </c>
      <c r="J18" s="28"/>
      <c r="K18" s="28">
        <v>2319</v>
      </c>
      <c r="L18" s="28">
        <v>4907</v>
      </c>
      <c r="M18" s="28">
        <f t="shared" si="2"/>
        <v>2453.5</v>
      </c>
      <c r="N18" s="29">
        <f t="shared" si="3"/>
        <v>2388.9790050000001</v>
      </c>
    </row>
    <row r="19" spans="2:14" x14ac:dyDescent="0.25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9"/>
    </row>
    <row r="20" spans="2:14" x14ac:dyDescent="0.25">
      <c r="B20" s="27" t="s">
        <v>25</v>
      </c>
      <c r="C20" s="28"/>
      <c r="D20" s="28" t="s">
        <v>76</v>
      </c>
      <c r="E20" s="28" t="s">
        <v>35</v>
      </c>
      <c r="F20" s="28"/>
      <c r="G20" s="28"/>
      <c r="H20" s="28"/>
      <c r="I20" s="28">
        <f>I3+I9*0.475+I14*0.475+I18*0.05</f>
        <v>10011.078012</v>
      </c>
      <c r="J20" s="28"/>
      <c r="K20" s="28"/>
      <c r="L20" s="28"/>
      <c r="M20" s="28"/>
      <c r="N20" s="29">
        <f t="shared" ref="N20" si="6">N3+N9*0.475+N14*0.475+N18*0.05</f>
        <v>11755.761931999999</v>
      </c>
    </row>
    <row r="21" spans="2:14" x14ac:dyDescent="0.25">
      <c r="B21" s="27" t="s">
        <v>25</v>
      </c>
      <c r="C21" s="28"/>
      <c r="D21" s="28" t="s">
        <v>19</v>
      </c>
      <c r="E21" s="28" t="s">
        <v>35</v>
      </c>
      <c r="F21" s="28"/>
      <c r="G21" s="28"/>
      <c r="H21" s="28"/>
      <c r="I21" s="28">
        <f>I4+I6*0.475+I7*0.475+I12*0.475+I15*0.05+I16*0.05</f>
        <v>156.79158695000001</v>
      </c>
      <c r="J21" s="28"/>
      <c r="K21" s="28"/>
      <c r="L21" s="28"/>
      <c r="M21" s="28"/>
      <c r="N21" s="29">
        <f t="shared" ref="N21" si="7">N4+N6*0.475+N7*0.475+N12*0.475+N15*0.05+N16*0.05</f>
        <v>156.79158695000001</v>
      </c>
    </row>
    <row r="22" spans="2:14" x14ac:dyDescent="0.25">
      <c r="B22" s="27" t="s">
        <v>25</v>
      </c>
      <c r="C22" s="28"/>
      <c r="D22" s="28" t="s">
        <v>20</v>
      </c>
      <c r="E22" s="28" t="s">
        <v>35</v>
      </c>
      <c r="F22" s="28"/>
      <c r="G22" s="28"/>
      <c r="H22" s="28"/>
      <c r="I22" s="28">
        <f>I5*0.475*2.6</f>
        <v>234.65</v>
      </c>
      <c r="J22" s="28"/>
      <c r="K22" s="28"/>
      <c r="L22" s="28"/>
      <c r="M22" s="28"/>
      <c r="N22" s="29">
        <f t="shared" ref="N22" si="8">N5*0.475*2.6</f>
        <v>234.65</v>
      </c>
    </row>
    <row r="23" spans="2:14" x14ac:dyDescent="0.25">
      <c r="B23" s="27" t="s">
        <v>25</v>
      </c>
      <c r="C23" s="28"/>
      <c r="D23" s="28" t="s">
        <v>40</v>
      </c>
      <c r="E23" s="28" t="s">
        <v>35</v>
      </c>
      <c r="F23" s="28"/>
      <c r="G23" s="28"/>
      <c r="H23" s="28"/>
      <c r="I23" s="28">
        <f>I8*0.475+I13*0.475+I17*0.05</f>
        <v>1.1736576124999998</v>
      </c>
      <c r="J23" s="28"/>
      <c r="K23" s="28"/>
      <c r="L23" s="28"/>
      <c r="M23" s="28"/>
      <c r="N23" s="29">
        <f t="shared" ref="N23" si="9">N8*0.475+N13*0.475+N17*0.05</f>
        <v>1.1736576124999998</v>
      </c>
    </row>
    <row r="24" spans="2:14" x14ac:dyDescent="0.25">
      <c r="B24" s="27" t="s">
        <v>25</v>
      </c>
      <c r="C24" s="28"/>
      <c r="D24" s="28" t="s">
        <v>21</v>
      </c>
      <c r="E24" s="28" t="s">
        <v>35</v>
      </c>
      <c r="F24" s="28"/>
      <c r="G24" s="28"/>
      <c r="H24" s="28"/>
      <c r="I24" s="28">
        <f>I10*0.475*0.6</f>
        <v>106.875</v>
      </c>
      <c r="J24" s="28"/>
      <c r="K24" s="28"/>
      <c r="L24" s="28"/>
      <c r="M24" s="28"/>
      <c r="N24" s="29">
        <f t="shared" ref="N24" si="10">N10*0.475*0.6</f>
        <v>106.875</v>
      </c>
    </row>
    <row r="25" spans="2:14" x14ac:dyDescent="0.25">
      <c r="B25" s="27" t="s">
        <v>25</v>
      </c>
      <c r="C25" s="28"/>
      <c r="D25" s="28" t="s">
        <v>43</v>
      </c>
      <c r="E25" s="28" t="s">
        <v>35</v>
      </c>
      <c r="F25" s="28"/>
      <c r="G25" s="28"/>
      <c r="H25" s="28"/>
      <c r="I25" s="28">
        <f>I11*0.475</f>
        <v>11.114999999999998</v>
      </c>
      <c r="J25" s="28"/>
      <c r="K25" s="28"/>
      <c r="L25" s="28"/>
      <c r="M25" s="28"/>
      <c r="N25" s="29">
        <f t="shared" ref="N25" si="11">N11*0.475</f>
        <v>11.114999999999998</v>
      </c>
    </row>
    <row r="26" spans="2:14" x14ac:dyDescent="0.25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9"/>
    </row>
    <row r="27" spans="2:14" x14ac:dyDescent="0.25"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2:14" x14ac:dyDescent="0.25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9"/>
    </row>
    <row r="29" spans="2:14" x14ac:dyDescent="0.25"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9"/>
    </row>
    <row r="30" spans="2:14" x14ac:dyDescent="0.25">
      <c r="B30" s="27" t="s">
        <v>45</v>
      </c>
      <c r="C30" s="28" t="s">
        <v>28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</row>
    <row r="31" spans="2:14" x14ac:dyDescent="0.25">
      <c r="B31" s="27" t="s">
        <v>45</v>
      </c>
      <c r="C31" s="28" t="s">
        <v>20</v>
      </c>
      <c r="D31" s="28" t="s">
        <v>46</v>
      </c>
      <c r="E31" s="28">
        <v>31.633333333333333</v>
      </c>
      <c r="F31" s="28"/>
      <c r="G31" s="28"/>
      <c r="H31" s="28"/>
      <c r="I31" s="28"/>
      <c r="J31" s="28"/>
      <c r="K31" s="28"/>
      <c r="L31" s="28"/>
      <c r="M31" s="28"/>
      <c r="N31" s="29"/>
    </row>
    <row r="32" spans="2:14" x14ac:dyDescent="0.25">
      <c r="B32" s="27" t="s">
        <v>45</v>
      </c>
      <c r="C32" s="28" t="s">
        <v>19</v>
      </c>
      <c r="D32" s="28" t="s">
        <v>47</v>
      </c>
      <c r="E32" s="28">
        <v>4.2233333333333345</v>
      </c>
      <c r="F32" s="28"/>
      <c r="G32" s="28"/>
      <c r="H32" s="28"/>
      <c r="I32" s="28"/>
      <c r="J32" s="28"/>
      <c r="K32" s="28"/>
      <c r="L32" s="28"/>
      <c r="M32" s="28"/>
      <c r="N32" s="29"/>
    </row>
    <row r="33" spans="2:14" x14ac:dyDescent="0.25">
      <c r="B33" s="27" t="s">
        <v>45</v>
      </c>
      <c r="C33" s="28" t="s">
        <v>20</v>
      </c>
      <c r="D33" s="28" t="s">
        <v>47</v>
      </c>
      <c r="E33" s="28">
        <v>82.24666666666667</v>
      </c>
      <c r="F33" s="28"/>
      <c r="G33" s="28"/>
      <c r="H33" s="28"/>
      <c r="I33" s="28"/>
      <c r="J33" s="28"/>
      <c r="K33" s="28"/>
      <c r="L33" s="28"/>
      <c r="M33" s="28"/>
      <c r="N33" s="29"/>
    </row>
    <row r="34" spans="2:14" x14ac:dyDescent="0.25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</row>
    <row r="35" spans="2:14" x14ac:dyDescent="0.25">
      <c r="B35" s="27" t="s">
        <v>48</v>
      </c>
      <c r="C35" s="28" t="s">
        <v>28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9"/>
    </row>
    <row r="36" spans="2:14" x14ac:dyDescent="0.25">
      <c r="B36" s="27" t="s">
        <v>48</v>
      </c>
      <c r="C36" s="28" t="s">
        <v>20</v>
      </c>
      <c r="D36" s="28" t="s">
        <v>46</v>
      </c>
      <c r="E36" s="28">
        <v>42.410526315789468</v>
      </c>
      <c r="F36" s="28"/>
      <c r="G36" s="28"/>
      <c r="H36" s="28"/>
      <c r="I36" s="28"/>
      <c r="J36" s="28"/>
      <c r="K36" s="28"/>
      <c r="L36" s="28"/>
      <c r="M36" s="28"/>
      <c r="N36" s="29"/>
    </row>
    <row r="37" spans="2:14" x14ac:dyDescent="0.25">
      <c r="B37" s="27" t="s">
        <v>48</v>
      </c>
      <c r="C37" s="28" t="s">
        <v>20</v>
      </c>
      <c r="D37" s="28" t="s">
        <v>47</v>
      </c>
      <c r="E37" s="28">
        <v>110.26736842105262</v>
      </c>
      <c r="F37" s="28"/>
      <c r="G37" s="28"/>
      <c r="H37" s="28"/>
      <c r="I37" s="28"/>
      <c r="J37" s="28"/>
      <c r="K37" s="28"/>
      <c r="L37" s="28"/>
      <c r="M37" s="28"/>
      <c r="N37" s="29"/>
    </row>
    <row r="38" spans="2:14" x14ac:dyDescent="0.25">
      <c r="B38" s="27" t="s">
        <v>48</v>
      </c>
      <c r="C38" s="28" t="s">
        <v>19</v>
      </c>
      <c r="D38" s="28" t="s">
        <v>47</v>
      </c>
      <c r="E38" s="28">
        <v>3.2428571428571429</v>
      </c>
      <c r="F38" s="28"/>
      <c r="G38" s="28"/>
      <c r="H38" s="28"/>
      <c r="I38" s="28"/>
      <c r="J38" s="28"/>
      <c r="K38" s="28"/>
      <c r="L38" s="28"/>
      <c r="M38" s="28"/>
      <c r="N38" s="29"/>
    </row>
    <row r="39" spans="2:14" x14ac:dyDescent="0.25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9"/>
    </row>
    <row r="40" spans="2:14" x14ac:dyDescent="0.25">
      <c r="B40" s="27" t="s">
        <v>49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9"/>
    </row>
    <row r="41" spans="2:14" x14ac:dyDescent="0.25">
      <c r="B41" s="27"/>
      <c r="C41" s="28" t="s">
        <v>28</v>
      </c>
      <c r="D41" s="28" t="s">
        <v>50</v>
      </c>
      <c r="E41" s="28" t="s">
        <v>51</v>
      </c>
      <c r="F41" s="28" t="s">
        <v>52</v>
      </c>
      <c r="G41" s="28"/>
      <c r="H41" s="28"/>
      <c r="I41" s="28"/>
      <c r="J41" s="28"/>
      <c r="K41" s="28"/>
      <c r="L41" s="28"/>
      <c r="M41" s="28"/>
      <c r="N41" s="29"/>
    </row>
    <row r="42" spans="2:14" x14ac:dyDescent="0.25">
      <c r="B42" s="27" t="s">
        <v>53</v>
      </c>
      <c r="C42" s="28" t="s">
        <v>22</v>
      </c>
      <c r="D42" s="28" t="s">
        <v>35</v>
      </c>
      <c r="E42" s="28">
        <v>1.8</v>
      </c>
      <c r="F42" s="28">
        <v>2.0499999999999998</v>
      </c>
      <c r="G42" s="28"/>
      <c r="H42" s="28">
        <f>E42/2</f>
        <v>0.9</v>
      </c>
      <c r="I42" s="28">
        <f>F42/2</f>
        <v>1.0249999999999999</v>
      </c>
      <c r="J42" s="28"/>
      <c r="K42" s="28"/>
      <c r="L42" s="28"/>
      <c r="M42" s="28"/>
      <c r="N42" s="29"/>
    </row>
    <row r="43" spans="2:14" x14ac:dyDescent="0.25">
      <c r="B43" s="27" t="s">
        <v>53</v>
      </c>
      <c r="C43" s="28" t="s">
        <v>54</v>
      </c>
      <c r="D43" s="28" t="s">
        <v>35</v>
      </c>
      <c r="E43" s="28">
        <v>1.1000000000000001</v>
      </c>
      <c r="F43" s="28">
        <v>1.9</v>
      </c>
      <c r="G43" s="28"/>
      <c r="H43" s="28">
        <f t="shared" ref="H43:H56" si="12">E43/2</f>
        <v>0.55000000000000004</v>
      </c>
      <c r="I43" s="28">
        <f t="shared" ref="I43:I56" si="13">F43/2</f>
        <v>0.95</v>
      </c>
      <c r="J43" s="28"/>
      <c r="K43" s="28"/>
      <c r="L43" s="28"/>
      <c r="M43" s="28"/>
      <c r="N43" s="29"/>
    </row>
    <row r="44" spans="2:14" x14ac:dyDescent="0.25">
      <c r="B44" s="27" t="s">
        <v>55</v>
      </c>
      <c r="C44" s="28" t="s">
        <v>20</v>
      </c>
      <c r="D44" s="28" t="s">
        <v>56</v>
      </c>
      <c r="E44" s="28"/>
      <c r="F44" s="28">
        <v>38.200000000000003</v>
      </c>
      <c r="G44" s="28"/>
      <c r="H44" s="28">
        <f t="shared" si="12"/>
        <v>0</v>
      </c>
      <c r="I44" s="28">
        <f t="shared" si="13"/>
        <v>19.100000000000001</v>
      </c>
      <c r="J44" s="28"/>
      <c r="K44" s="28"/>
      <c r="L44" s="28"/>
      <c r="M44" s="28"/>
      <c r="N44" s="29"/>
    </row>
    <row r="45" spans="2:14" x14ac:dyDescent="0.25">
      <c r="B45" s="27" t="s">
        <v>55</v>
      </c>
      <c r="C45" s="28" t="s">
        <v>19</v>
      </c>
      <c r="D45" s="28" t="s">
        <v>35</v>
      </c>
      <c r="E45" s="28"/>
      <c r="F45" s="28">
        <v>51</v>
      </c>
      <c r="G45" s="28"/>
      <c r="H45" s="28">
        <f t="shared" si="12"/>
        <v>0</v>
      </c>
      <c r="I45" s="28">
        <f t="shared" si="13"/>
        <v>25.5</v>
      </c>
      <c r="J45" s="28"/>
      <c r="K45" s="28"/>
      <c r="L45" s="28"/>
      <c r="M45" s="28"/>
      <c r="N45" s="29"/>
    </row>
    <row r="46" spans="2:14" x14ac:dyDescent="0.25">
      <c r="B46" s="27" t="s">
        <v>55</v>
      </c>
      <c r="C46" s="28" t="s">
        <v>57</v>
      </c>
      <c r="D46" s="28" t="s">
        <v>35</v>
      </c>
      <c r="E46" s="28"/>
      <c r="F46" s="28">
        <v>4.3</v>
      </c>
      <c r="G46" s="28"/>
      <c r="H46" s="28">
        <f t="shared" si="12"/>
        <v>0</v>
      </c>
      <c r="I46" s="28">
        <f t="shared" si="13"/>
        <v>2.15</v>
      </c>
      <c r="J46" s="28"/>
      <c r="K46" s="28"/>
      <c r="L46" s="28"/>
      <c r="M46" s="28"/>
      <c r="N46" s="29"/>
    </row>
    <row r="47" spans="2:14" x14ac:dyDescent="0.25">
      <c r="B47" s="27" t="s">
        <v>58</v>
      </c>
      <c r="C47" s="28" t="s">
        <v>20</v>
      </c>
      <c r="D47" s="28" t="s">
        <v>56</v>
      </c>
      <c r="E47" s="28">
        <v>31.1</v>
      </c>
      <c r="F47" s="28"/>
      <c r="G47" s="28"/>
      <c r="H47" s="28">
        <f t="shared" si="12"/>
        <v>15.55</v>
      </c>
      <c r="I47" s="28">
        <f t="shared" si="13"/>
        <v>0</v>
      </c>
      <c r="J47" s="28"/>
      <c r="K47" s="28"/>
      <c r="L47" s="28"/>
      <c r="M47" s="28"/>
      <c r="N47" s="29"/>
    </row>
    <row r="48" spans="2:14" x14ac:dyDescent="0.25">
      <c r="B48" s="27" t="s">
        <v>58</v>
      </c>
      <c r="C48" s="28" t="s">
        <v>19</v>
      </c>
      <c r="D48" s="28" t="s">
        <v>35</v>
      </c>
      <c r="E48" s="28">
        <v>41.4</v>
      </c>
      <c r="F48" s="28"/>
      <c r="G48" s="28"/>
      <c r="H48" s="28">
        <f t="shared" si="12"/>
        <v>20.7</v>
      </c>
      <c r="I48" s="28">
        <f t="shared" si="13"/>
        <v>0</v>
      </c>
      <c r="J48" s="28"/>
      <c r="K48" s="28"/>
      <c r="L48" s="28"/>
      <c r="M48" s="28"/>
      <c r="N48" s="29"/>
    </row>
    <row r="49" spans="2:14" x14ac:dyDescent="0.25">
      <c r="B49" s="27" t="s">
        <v>58</v>
      </c>
      <c r="C49" s="28" t="s">
        <v>57</v>
      </c>
      <c r="D49" s="28" t="s">
        <v>35</v>
      </c>
      <c r="E49" s="28">
        <v>3.5</v>
      </c>
      <c r="F49" s="28"/>
      <c r="G49" s="28"/>
      <c r="H49" s="28">
        <f t="shared" si="12"/>
        <v>1.75</v>
      </c>
      <c r="I49" s="28">
        <f t="shared" si="13"/>
        <v>0</v>
      </c>
      <c r="J49" s="28"/>
      <c r="K49" s="28"/>
      <c r="L49" s="28"/>
      <c r="M49" s="28"/>
      <c r="N49" s="29"/>
    </row>
    <row r="50" spans="2:14" x14ac:dyDescent="0.25">
      <c r="B50" s="27" t="s">
        <v>59</v>
      </c>
      <c r="C50" s="28" t="s">
        <v>20</v>
      </c>
      <c r="D50" s="28" t="s">
        <v>56</v>
      </c>
      <c r="E50" s="28">
        <v>7.5</v>
      </c>
      <c r="F50" s="28"/>
      <c r="G50" s="28"/>
      <c r="H50" s="28">
        <f t="shared" si="12"/>
        <v>3.75</v>
      </c>
      <c r="I50" s="28">
        <f t="shared" si="13"/>
        <v>0</v>
      </c>
      <c r="J50" s="28"/>
      <c r="K50" s="28"/>
      <c r="L50" s="28"/>
      <c r="M50" s="28"/>
      <c r="N50" s="29"/>
    </row>
    <row r="51" spans="2:14" x14ac:dyDescent="0.25">
      <c r="B51" s="27" t="s">
        <v>59</v>
      </c>
      <c r="C51" s="28" t="s">
        <v>19</v>
      </c>
      <c r="D51" s="28" t="s">
        <v>35</v>
      </c>
      <c r="E51" s="28">
        <v>51.400000000000006</v>
      </c>
      <c r="F51" s="28"/>
      <c r="G51" s="28"/>
      <c r="H51" s="28">
        <f t="shared" si="12"/>
        <v>25.700000000000003</v>
      </c>
      <c r="I51" s="28">
        <f t="shared" si="13"/>
        <v>0</v>
      </c>
      <c r="J51" s="28"/>
      <c r="K51" s="28"/>
      <c r="L51" s="28"/>
      <c r="M51" s="28"/>
      <c r="N51" s="29"/>
    </row>
    <row r="52" spans="2:14" x14ac:dyDescent="0.25">
      <c r="B52" s="27" t="s">
        <v>59</v>
      </c>
      <c r="C52" s="28" t="s">
        <v>57</v>
      </c>
      <c r="D52" s="28" t="s">
        <v>35</v>
      </c>
      <c r="E52" s="28">
        <v>3.5</v>
      </c>
      <c r="F52" s="28"/>
      <c r="G52" s="28"/>
      <c r="H52" s="28">
        <f t="shared" si="12"/>
        <v>1.75</v>
      </c>
      <c r="I52" s="28">
        <f t="shared" si="13"/>
        <v>0</v>
      </c>
      <c r="J52" s="28"/>
      <c r="K52" s="28"/>
      <c r="L52" s="28"/>
      <c r="M52" s="28"/>
      <c r="N52" s="29"/>
    </row>
    <row r="53" spans="2:14" x14ac:dyDescent="0.25">
      <c r="B53" s="27" t="s">
        <v>60</v>
      </c>
      <c r="C53" s="28" t="s">
        <v>19</v>
      </c>
      <c r="D53" s="28" t="s">
        <v>35</v>
      </c>
      <c r="E53" s="28">
        <v>1.18</v>
      </c>
      <c r="F53" s="28">
        <v>1.18</v>
      </c>
      <c r="G53" s="28"/>
      <c r="H53" s="28">
        <f t="shared" si="12"/>
        <v>0.59</v>
      </c>
      <c r="I53" s="28">
        <f t="shared" si="13"/>
        <v>0.59</v>
      </c>
      <c r="J53" s="28"/>
      <c r="K53" s="28"/>
      <c r="L53" s="28"/>
      <c r="M53" s="28"/>
      <c r="N53" s="29"/>
    </row>
    <row r="54" spans="2:14" x14ac:dyDescent="0.25">
      <c r="B54" s="27" t="s">
        <v>60</v>
      </c>
      <c r="C54" s="28" t="s">
        <v>22</v>
      </c>
      <c r="D54" s="28" t="s">
        <v>35</v>
      </c>
      <c r="E54" s="28">
        <v>0.72</v>
      </c>
      <c r="F54" s="28">
        <v>0.72</v>
      </c>
      <c r="G54" s="28"/>
      <c r="H54" s="28">
        <f t="shared" si="12"/>
        <v>0.36</v>
      </c>
      <c r="I54" s="28">
        <f t="shared" si="13"/>
        <v>0.36</v>
      </c>
      <c r="J54" s="28"/>
      <c r="K54" s="28"/>
      <c r="L54" s="28"/>
      <c r="M54" s="28"/>
      <c r="N54" s="29"/>
    </row>
    <row r="55" spans="2:14" x14ac:dyDescent="0.25">
      <c r="B55" s="27" t="s">
        <v>60</v>
      </c>
      <c r="C55" s="28" t="s">
        <v>61</v>
      </c>
      <c r="D55" s="28" t="s">
        <v>35</v>
      </c>
      <c r="E55" s="28">
        <v>2.95</v>
      </c>
      <c r="F55" s="28">
        <v>2.95</v>
      </c>
      <c r="G55" s="28"/>
      <c r="H55" s="28">
        <f t="shared" si="12"/>
        <v>1.4750000000000001</v>
      </c>
      <c r="I55" s="28">
        <f t="shared" si="13"/>
        <v>1.4750000000000001</v>
      </c>
      <c r="J55" s="28"/>
      <c r="K55" s="28"/>
      <c r="L55" s="28"/>
      <c r="M55" s="28"/>
      <c r="N55" s="29"/>
    </row>
    <row r="56" spans="2:14" x14ac:dyDescent="0.25">
      <c r="B56" s="27" t="s">
        <v>60</v>
      </c>
      <c r="C56" s="28" t="s">
        <v>20</v>
      </c>
      <c r="D56" s="28" t="s">
        <v>35</v>
      </c>
      <c r="E56" s="28">
        <v>0.26</v>
      </c>
      <c r="F56" s="28">
        <v>0.26</v>
      </c>
      <c r="G56" s="28"/>
      <c r="H56" s="28">
        <f t="shared" si="12"/>
        <v>0.13</v>
      </c>
      <c r="I56" s="28">
        <f t="shared" si="13"/>
        <v>0.13</v>
      </c>
      <c r="J56" s="28"/>
      <c r="K56" s="28"/>
      <c r="L56" s="28"/>
      <c r="M56" s="28"/>
      <c r="N56" s="29"/>
    </row>
    <row r="57" spans="2:14" x14ac:dyDescent="0.25">
      <c r="B57" s="27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9"/>
    </row>
    <row r="58" spans="2:14" x14ac:dyDescent="0.25">
      <c r="B58" s="27" t="s">
        <v>62</v>
      </c>
      <c r="C58" s="28"/>
      <c r="D58" s="28" t="s">
        <v>50</v>
      </c>
      <c r="E58" s="28" t="s">
        <v>30</v>
      </c>
      <c r="F58" s="28" t="s">
        <v>31</v>
      </c>
      <c r="G58" s="28"/>
      <c r="H58" s="28"/>
      <c r="I58" s="28"/>
      <c r="J58" s="28"/>
      <c r="K58" s="28"/>
      <c r="L58" s="28"/>
      <c r="M58" s="28"/>
      <c r="N58" s="29"/>
    </row>
    <row r="59" spans="2:14" x14ac:dyDescent="0.25">
      <c r="B59" s="27" t="s">
        <v>63</v>
      </c>
      <c r="C59" s="28" t="s">
        <v>20</v>
      </c>
      <c r="D59" s="28" t="s">
        <v>56</v>
      </c>
      <c r="E59" s="28">
        <v>0.42</v>
      </c>
      <c r="F59" s="28">
        <v>0.7</v>
      </c>
      <c r="G59" s="28">
        <f>F59/2</f>
        <v>0.35</v>
      </c>
      <c r="H59" s="28">
        <f>E59*0.47971+G59*0.52029</f>
        <v>0.38357969999999997</v>
      </c>
      <c r="I59" s="28"/>
      <c r="J59" s="28"/>
      <c r="K59" s="28"/>
      <c r="L59" s="28"/>
      <c r="M59" s="28"/>
      <c r="N59" s="29"/>
    </row>
    <row r="60" spans="2:14" x14ac:dyDescent="0.25">
      <c r="B60" s="27" t="s">
        <v>63</v>
      </c>
      <c r="C60" s="28" t="s">
        <v>19</v>
      </c>
      <c r="D60" s="28" t="s">
        <v>35</v>
      </c>
      <c r="E60" s="28">
        <v>0.8</v>
      </c>
      <c r="F60" s="28">
        <v>1.34</v>
      </c>
      <c r="G60" s="28">
        <f t="shared" ref="G60:G65" si="14">F60/2</f>
        <v>0.67</v>
      </c>
      <c r="H60" s="28">
        <f t="shared" ref="H60:H65" si="15">E60*0.47971+G60*0.52029</f>
        <v>0.73236230000000013</v>
      </c>
      <c r="I60" s="28"/>
      <c r="J60" s="28"/>
      <c r="K60" s="28"/>
      <c r="L60" s="28"/>
      <c r="M60" s="28"/>
      <c r="N60" s="29"/>
    </row>
    <row r="61" spans="2:14" x14ac:dyDescent="0.25">
      <c r="B61" s="27" t="s">
        <v>64</v>
      </c>
      <c r="C61" s="28" t="s">
        <v>22</v>
      </c>
      <c r="D61" s="28" t="s">
        <v>35</v>
      </c>
      <c r="E61" s="28">
        <v>3.46</v>
      </c>
      <c r="F61" s="28">
        <v>2.35</v>
      </c>
      <c r="G61" s="28">
        <f t="shared" si="14"/>
        <v>1.175</v>
      </c>
      <c r="H61" s="28">
        <f t="shared" si="15"/>
        <v>2.2711373500000001</v>
      </c>
      <c r="I61" s="28"/>
      <c r="J61" s="28"/>
      <c r="K61" s="28"/>
      <c r="L61" s="28"/>
      <c r="M61" s="28"/>
      <c r="N61" s="29"/>
    </row>
    <row r="62" spans="2:14" x14ac:dyDescent="0.25">
      <c r="B62" s="27" t="s">
        <v>64</v>
      </c>
      <c r="C62" s="28" t="s">
        <v>40</v>
      </c>
      <c r="D62" s="28" t="s">
        <v>35</v>
      </c>
      <c r="E62" s="28">
        <v>5.77</v>
      </c>
      <c r="F62" s="28">
        <v>3.92</v>
      </c>
      <c r="G62" s="28">
        <f t="shared" si="14"/>
        <v>1.96</v>
      </c>
      <c r="H62" s="28">
        <f t="shared" si="15"/>
        <v>3.7876950999999996</v>
      </c>
      <c r="I62" s="28"/>
      <c r="J62" s="28"/>
      <c r="K62" s="28"/>
      <c r="L62" s="28"/>
      <c r="M62" s="28"/>
      <c r="N62" s="29"/>
    </row>
    <row r="63" spans="2:14" x14ac:dyDescent="0.25">
      <c r="B63" s="27" t="s">
        <v>65</v>
      </c>
      <c r="C63" s="28" t="s">
        <v>20</v>
      </c>
      <c r="D63" s="28" t="s">
        <v>35</v>
      </c>
      <c r="E63" s="28">
        <v>50</v>
      </c>
      <c r="F63" s="28">
        <v>83.3</v>
      </c>
      <c r="G63" s="28">
        <f t="shared" si="14"/>
        <v>41.65</v>
      </c>
      <c r="H63" s="28">
        <f t="shared" si="15"/>
        <v>45.655578500000004</v>
      </c>
      <c r="I63" s="28"/>
      <c r="J63" s="28"/>
      <c r="K63" s="28"/>
      <c r="L63" s="28"/>
      <c r="M63" s="28"/>
      <c r="N63" s="29"/>
    </row>
    <row r="64" spans="2:14" x14ac:dyDescent="0.25">
      <c r="B64" s="27" t="s">
        <v>66</v>
      </c>
      <c r="C64" s="28" t="s">
        <v>22</v>
      </c>
      <c r="D64" s="28" t="s">
        <v>35</v>
      </c>
      <c r="E64" s="28">
        <v>1.39</v>
      </c>
      <c r="F64" s="28">
        <v>2.79</v>
      </c>
      <c r="G64" s="28">
        <f t="shared" si="14"/>
        <v>1.395</v>
      </c>
      <c r="H64" s="28">
        <f t="shared" si="15"/>
        <v>1.3926014500000001</v>
      </c>
      <c r="I64" s="28"/>
      <c r="J64" s="28"/>
      <c r="K64" s="28"/>
      <c r="L64" s="28"/>
      <c r="M64" s="28"/>
      <c r="N64" s="29"/>
    </row>
    <row r="65" spans="2:14" x14ac:dyDescent="0.25">
      <c r="B65" s="27" t="s">
        <v>66</v>
      </c>
      <c r="C65" s="28" t="s">
        <v>40</v>
      </c>
      <c r="D65" s="28" t="s">
        <v>35</v>
      </c>
      <c r="E65" s="28">
        <v>0.94</v>
      </c>
      <c r="F65" s="28">
        <v>1.89</v>
      </c>
      <c r="G65" s="28">
        <f t="shared" si="14"/>
        <v>0.94499999999999995</v>
      </c>
      <c r="H65" s="28">
        <f t="shared" si="15"/>
        <v>0.94260144999999995</v>
      </c>
      <c r="I65" s="28"/>
      <c r="J65" s="28"/>
      <c r="K65" s="28"/>
      <c r="L65" s="28"/>
      <c r="M65" s="28"/>
      <c r="N65" s="29"/>
    </row>
    <row r="66" spans="2:14" x14ac:dyDescent="0.25">
      <c r="B66" s="27" t="s">
        <v>67</v>
      </c>
      <c r="C66" s="28" t="s">
        <v>20</v>
      </c>
      <c r="D66" s="28" t="s">
        <v>35</v>
      </c>
      <c r="E66" s="28">
        <v>7.16</v>
      </c>
      <c r="F66" s="28"/>
      <c r="G66" s="28"/>
      <c r="H66" s="28">
        <f>E66</f>
        <v>7.16</v>
      </c>
      <c r="I66" s="28"/>
      <c r="J66" s="28"/>
      <c r="K66" s="28"/>
      <c r="L66" s="28"/>
      <c r="M66" s="28"/>
      <c r="N66" s="29"/>
    </row>
    <row r="67" spans="2:14" x14ac:dyDescent="0.25">
      <c r="B67" s="27" t="s">
        <v>67</v>
      </c>
      <c r="C67" s="28" t="s">
        <v>19</v>
      </c>
      <c r="D67" s="28" t="s">
        <v>35</v>
      </c>
      <c r="E67" s="28">
        <v>0.56000000000000005</v>
      </c>
      <c r="F67" s="28"/>
      <c r="G67" s="28"/>
      <c r="H67" s="28">
        <f t="shared" ref="H67:H69" si="16">E67</f>
        <v>0.56000000000000005</v>
      </c>
      <c r="I67" s="28"/>
      <c r="J67" s="28"/>
      <c r="K67" s="28"/>
      <c r="L67" s="28"/>
      <c r="M67" s="28"/>
      <c r="N67" s="29"/>
    </row>
    <row r="68" spans="2:14" x14ac:dyDescent="0.25">
      <c r="B68" s="27" t="s">
        <v>67</v>
      </c>
      <c r="C68" s="28" t="s">
        <v>22</v>
      </c>
      <c r="D68" s="28" t="s">
        <v>35</v>
      </c>
      <c r="E68" s="28">
        <v>0.03</v>
      </c>
      <c r="F68" s="28"/>
      <c r="G68" s="28"/>
      <c r="H68" s="28">
        <f t="shared" si="16"/>
        <v>0.03</v>
      </c>
      <c r="I68" s="28"/>
      <c r="J68" s="28"/>
      <c r="K68" s="28"/>
      <c r="L68" s="28"/>
      <c r="M68" s="28"/>
      <c r="N68" s="29"/>
    </row>
    <row r="69" spans="2:14" x14ac:dyDescent="0.25">
      <c r="B69" s="27" t="s">
        <v>67</v>
      </c>
      <c r="C69" s="28" t="s">
        <v>40</v>
      </c>
      <c r="D69" s="28" t="s">
        <v>35</v>
      </c>
      <c r="E69" s="28">
        <v>0.04</v>
      </c>
      <c r="F69" s="28"/>
      <c r="G69" s="28"/>
      <c r="H69" s="28">
        <f t="shared" si="16"/>
        <v>0.04</v>
      </c>
      <c r="I69" s="28"/>
      <c r="J69" s="28"/>
      <c r="K69" s="28"/>
      <c r="L69" s="28"/>
      <c r="M69" s="28"/>
      <c r="N69" s="29"/>
    </row>
    <row r="70" spans="2:14" x14ac:dyDescent="0.25"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</row>
    <row r="71" spans="2:14" x14ac:dyDescent="0.25">
      <c r="B71" s="27" t="s">
        <v>25</v>
      </c>
      <c r="C71" s="28"/>
      <c r="D71" s="28" t="s">
        <v>22</v>
      </c>
      <c r="E71" s="28" t="s">
        <v>35</v>
      </c>
      <c r="F71" s="28"/>
      <c r="G71" s="28"/>
      <c r="H71" s="28">
        <f>H42+H54+H61+H64+H68</f>
        <v>4.9537388</v>
      </c>
      <c r="I71" s="28">
        <f>I42+I54+H61+H64+H68</f>
        <v>5.0787388</v>
      </c>
      <c r="J71" s="28"/>
      <c r="K71" s="28"/>
      <c r="L71" s="28"/>
      <c r="M71" s="28"/>
      <c r="N71" s="29"/>
    </row>
    <row r="72" spans="2:14" x14ac:dyDescent="0.25">
      <c r="B72" s="27" t="s">
        <v>25</v>
      </c>
      <c r="C72" s="28"/>
      <c r="D72" s="28" t="s">
        <v>54</v>
      </c>
      <c r="E72" s="28" t="s">
        <v>35</v>
      </c>
      <c r="F72" s="28"/>
      <c r="G72" s="28"/>
      <c r="H72" s="28">
        <f>H43</f>
        <v>0.55000000000000004</v>
      </c>
      <c r="I72" s="28">
        <f>I43</f>
        <v>0.95</v>
      </c>
      <c r="J72" s="28"/>
      <c r="K72" s="28"/>
      <c r="L72" s="28"/>
      <c r="M72" s="28"/>
      <c r="N72" s="29"/>
    </row>
    <row r="73" spans="2:14" x14ac:dyDescent="0.25">
      <c r="B73" s="27" t="s">
        <v>25</v>
      </c>
      <c r="C73" s="28"/>
      <c r="D73" s="28" t="s">
        <v>20</v>
      </c>
      <c r="E73" s="28" t="s">
        <v>35</v>
      </c>
      <c r="F73" s="28"/>
      <c r="G73" s="28"/>
      <c r="H73" s="28">
        <f>((((H47+H50)/2)+H59)*2.6)+H56+H63+H66</f>
        <v>79.032885719999996</v>
      </c>
      <c r="I73" s="28">
        <f>I44*2.6+I56+H59*2.6+H63+H66</f>
        <v>103.60288572000002</v>
      </c>
      <c r="J73" s="28"/>
      <c r="K73" s="28"/>
      <c r="L73" s="28"/>
      <c r="M73" s="28"/>
      <c r="N73" s="29"/>
    </row>
    <row r="74" spans="2:14" x14ac:dyDescent="0.25">
      <c r="B74" s="27" t="s">
        <v>25</v>
      </c>
      <c r="C74" s="28"/>
      <c r="D74" s="28" t="s">
        <v>19</v>
      </c>
      <c r="E74" s="28" t="s">
        <v>35</v>
      </c>
      <c r="F74" s="28"/>
      <c r="G74" s="28"/>
      <c r="H74" s="28">
        <f>((H48+H51)/2)+H53+H60+H67</f>
        <v>25.082362300000003</v>
      </c>
      <c r="I74" s="28">
        <f>I45+I53+H60+H67</f>
        <v>27.3823623</v>
      </c>
      <c r="J74" s="28"/>
      <c r="K74" s="28"/>
      <c r="L74" s="28"/>
      <c r="M74" s="28"/>
      <c r="N74" s="29"/>
    </row>
    <row r="75" spans="2:14" x14ac:dyDescent="0.25">
      <c r="B75" s="27" t="s">
        <v>25</v>
      </c>
      <c r="C75" s="28"/>
      <c r="D75" s="28" t="s">
        <v>57</v>
      </c>
      <c r="E75" s="28" t="s">
        <v>35</v>
      </c>
      <c r="F75" s="28"/>
      <c r="G75" s="28"/>
      <c r="H75" s="28">
        <f>((H49+H52)/2)</f>
        <v>1.75</v>
      </c>
      <c r="I75" s="28">
        <f>I46</f>
        <v>2.15</v>
      </c>
      <c r="J75" s="28"/>
      <c r="K75" s="28"/>
      <c r="L75" s="28"/>
      <c r="M75" s="28"/>
      <c r="N75" s="29"/>
    </row>
    <row r="76" spans="2:14" x14ac:dyDescent="0.25">
      <c r="B76" s="27" t="s">
        <v>25</v>
      </c>
      <c r="C76" s="28"/>
      <c r="D76" s="28" t="s">
        <v>61</v>
      </c>
      <c r="E76" s="28" t="s">
        <v>35</v>
      </c>
      <c r="F76" s="28"/>
      <c r="G76" s="28"/>
      <c r="H76" s="28">
        <f>H55</f>
        <v>1.4750000000000001</v>
      </c>
      <c r="I76" s="28">
        <f>I55</f>
        <v>1.4750000000000001</v>
      </c>
      <c r="J76" s="28"/>
      <c r="K76" s="28"/>
      <c r="L76" s="28"/>
      <c r="M76" s="28"/>
      <c r="N76" s="29"/>
    </row>
    <row r="77" spans="2:14" x14ac:dyDescent="0.25">
      <c r="B77" s="27" t="s">
        <v>25</v>
      </c>
      <c r="C77" s="28"/>
      <c r="D77" s="28" t="s">
        <v>40</v>
      </c>
      <c r="E77" s="28" t="s">
        <v>35</v>
      </c>
      <c r="F77" s="28"/>
      <c r="G77" s="28"/>
      <c r="H77" s="28">
        <f>H62+H65</f>
        <v>4.7302965499999994</v>
      </c>
      <c r="I77" s="28">
        <f>H62+H69</f>
        <v>3.8276950999999997</v>
      </c>
      <c r="J77" s="28"/>
      <c r="K77" s="28"/>
      <c r="L77" s="28"/>
      <c r="M77" s="28"/>
      <c r="N77" s="29"/>
    </row>
    <row r="78" spans="2:14" x14ac:dyDescent="0.25">
      <c r="B78" s="27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9"/>
    </row>
    <row r="79" spans="2:14" x14ac:dyDescent="0.25">
      <c r="B79" s="27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9"/>
    </row>
    <row r="80" spans="2:14" x14ac:dyDescent="0.25">
      <c r="B80" s="27" t="s">
        <v>68</v>
      </c>
      <c r="C80" s="28" t="s">
        <v>28</v>
      </c>
      <c r="D80" s="28" t="s">
        <v>29</v>
      </c>
      <c r="E80" s="28"/>
      <c r="F80" s="28"/>
      <c r="G80" s="28"/>
      <c r="H80" s="28"/>
      <c r="I80" s="28"/>
      <c r="J80" s="28"/>
      <c r="K80" s="28"/>
      <c r="L80" s="28"/>
      <c r="M80" s="28"/>
      <c r="N80" s="29"/>
    </row>
    <row r="81" spans="2:14" x14ac:dyDescent="0.25">
      <c r="B81" s="27" t="s">
        <v>69</v>
      </c>
      <c r="C81" s="28" t="s">
        <v>20</v>
      </c>
      <c r="D81" s="28" t="s">
        <v>38</v>
      </c>
      <c r="E81" s="28">
        <v>25075</v>
      </c>
      <c r="F81" s="28"/>
      <c r="G81" s="28"/>
      <c r="H81" s="28"/>
      <c r="I81" s="28"/>
      <c r="J81" s="28"/>
      <c r="K81" s="28"/>
      <c r="L81" s="28"/>
      <c r="M81" s="28"/>
      <c r="N81" s="29"/>
    </row>
    <row r="82" spans="2:14" x14ac:dyDescent="0.25">
      <c r="B82" s="27"/>
      <c r="C82" s="28" t="s">
        <v>19</v>
      </c>
      <c r="D82" s="28" t="s">
        <v>70</v>
      </c>
      <c r="E82" s="28">
        <v>1177</v>
      </c>
      <c r="F82" s="28"/>
      <c r="G82" s="28"/>
      <c r="H82" s="28"/>
      <c r="I82" s="28"/>
      <c r="J82" s="28"/>
      <c r="K82" s="28"/>
      <c r="L82" s="28"/>
      <c r="M82" s="28"/>
      <c r="N82" s="29"/>
    </row>
    <row r="83" spans="2:14" x14ac:dyDescent="0.25">
      <c r="B83" s="27" t="s">
        <v>71</v>
      </c>
      <c r="C83" s="28" t="s">
        <v>20</v>
      </c>
      <c r="D83" s="28" t="s">
        <v>38</v>
      </c>
      <c r="E83" s="28">
        <v>10423</v>
      </c>
      <c r="F83" s="28"/>
      <c r="G83" s="28"/>
      <c r="H83" s="28"/>
      <c r="I83" s="28"/>
      <c r="J83" s="28"/>
      <c r="K83" s="28"/>
      <c r="L83" s="28"/>
      <c r="M83" s="28"/>
      <c r="N83" s="29"/>
    </row>
    <row r="84" spans="2:14" x14ac:dyDescent="0.25">
      <c r="B84" s="27"/>
      <c r="C84" s="28" t="s">
        <v>19</v>
      </c>
      <c r="D84" s="28" t="s">
        <v>70</v>
      </c>
      <c r="E84" s="28">
        <v>477</v>
      </c>
      <c r="F84" s="28"/>
      <c r="G84" s="28"/>
      <c r="H84" s="28"/>
      <c r="I84" s="28"/>
      <c r="J84" s="28"/>
      <c r="K84" s="28"/>
      <c r="L84" s="28"/>
      <c r="M84" s="28"/>
      <c r="N84" s="29"/>
    </row>
    <row r="85" spans="2:14" x14ac:dyDescent="0.25">
      <c r="B85" s="27" t="s">
        <v>72</v>
      </c>
      <c r="C85" s="28" t="s">
        <v>20</v>
      </c>
      <c r="D85" s="28" t="s">
        <v>38</v>
      </c>
      <c r="E85" s="28">
        <v>5358</v>
      </c>
      <c r="F85" s="28"/>
      <c r="G85" s="28"/>
      <c r="H85" s="28"/>
      <c r="I85" s="28"/>
      <c r="J85" s="28"/>
      <c r="K85" s="28"/>
      <c r="L85" s="28"/>
      <c r="M85" s="28"/>
      <c r="N85" s="29"/>
    </row>
    <row r="86" spans="2:14" x14ac:dyDescent="0.25">
      <c r="B86" s="27"/>
      <c r="C86" s="28" t="s">
        <v>19</v>
      </c>
      <c r="D86" s="28" t="s">
        <v>70</v>
      </c>
      <c r="E86" s="28">
        <v>238</v>
      </c>
      <c r="F86" s="28"/>
      <c r="G86" s="28"/>
      <c r="H86" s="28"/>
      <c r="I86" s="28"/>
      <c r="J86" s="28"/>
      <c r="K86" s="28"/>
      <c r="L86" s="28"/>
      <c r="M86" s="28"/>
      <c r="N86" s="29"/>
    </row>
    <row r="87" spans="2:14" x14ac:dyDescent="0.25">
      <c r="B87" s="27" t="s">
        <v>73</v>
      </c>
      <c r="C87" s="28" t="s">
        <v>20</v>
      </c>
      <c r="D87" s="28" t="s">
        <v>38</v>
      </c>
      <c r="E87" s="28">
        <v>1606</v>
      </c>
      <c r="F87" s="28"/>
      <c r="G87" s="28"/>
      <c r="H87" s="28"/>
      <c r="I87" s="28"/>
      <c r="J87" s="28"/>
      <c r="K87" s="28"/>
      <c r="L87" s="28"/>
      <c r="M87" s="28"/>
      <c r="N87" s="29"/>
    </row>
    <row r="88" spans="2:14" ht="15.75" thickBot="1" x14ac:dyDescent="0.3">
      <c r="B88" s="31"/>
      <c r="C88" s="32" t="s">
        <v>19</v>
      </c>
      <c r="D88" s="32" t="s">
        <v>70</v>
      </c>
      <c r="E88" s="32">
        <v>70</v>
      </c>
      <c r="F88" s="32"/>
      <c r="G88" s="32"/>
      <c r="H88" s="32"/>
      <c r="I88" s="32"/>
      <c r="J88" s="32"/>
      <c r="K88" s="32"/>
      <c r="L88" s="32"/>
      <c r="M88" s="32"/>
      <c r="N88" s="33"/>
    </row>
  </sheetData>
  <mergeCells count="2">
    <mergeCell ref="Q1:T1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Coversheet</vt:lpstr>
      <vt:lpstr>Final_input</vt:lpstr>
      <vt:lpstr>Literature sources</vt:lpstr>
      <vt:lpstr>OKO-institut 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van Engelenburg</dc:creator>
  <cp:lastModifiedBy>Martijn van Engelenburg</cp:lastModifiedBy>
  <dcterms:created xsi:type="dcterms:W3CDTF">2015-06-05T18:17:20Z</dcterms:created>
  <dcterms:modified xsi:type="dcterms:W3CDTF">2024-03-12T15:12:30Z</dcterms:modified>
</cp:coreProperties>
</file>