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Academic\Infrastructure\Output\5. Material intensities\"/>
    </mc:Choice>
  </mc:AlternateContent>
  <xr:revisionPtr revIDLastSave="0" documentId="13_ncr:1_{44545409-BC32-45A1-8E42-8545F57F025D}" xr6:coauthVersionLast="47" xr6:coauthVersionMax="47" xr10:uidLastSave="{00000000-0000-0000-0000-000000000000}"/>
  <bookViews>
    <workbookView xWindow="-40" yWindow="160" windowWidth="14410" windowHeight="13600" activeTab="1" xr2:uid="{00000000-000D-0000-FFFF-FFFF00000000}"/>
  </bookViews>
  <sheets>
    <sheet name="Material_intensities" sheetId="2" r:id="rId1"/>
    <sheet name="Literature sources" sheetId="4" r:id="rId2"/>
    <sheet name="OKO-institut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2" l="1"/>
  <c r="E12" i="2"/>
  <c r="E7" i="2"/>
  <c r="O7" i="4"/>
  <c r="O8" i="4"/>
  <c r="O9" i="4"/>
  <c r="O10" i="4"/>
  <c r="O11" i="4"/>
  <c r="O12" i="4"/>
  <c r="O13" i="4"/>
  <c r="O14" i="4"/>
  <c r="N7" i="4"/>
  <c r="N9" i="4"/>
  <c r="N10" i="4"/>
  <c r="N15" i="4"/>
  <c r="M4" i="4"/>
  <c r="M5" i="4"/>
  <c r="M6" i="4"/>
  <c r="M7" i="4"/>
  <c r="M8" i="4"/>
  <c r="M9" i="4"/>
  <c r="M10" i="4"/>
  <c r="M14" i="4"/>
  <c r="M15" i="4"/>
  <c r="H6" i="4"/>
  <c r="N6" i="4" s="1"/>
  <c r="H5" i="4"/>
  <c r="N5" i="4" s="1"/>
  <c r="H4" i="4"/>
  <c r="N4" i="4" s="1"/>
  <c r="H3" i="4"/>
  <c r="M3" i="4" s="1"/>
  <c r="K11" i="4"/>
  <c r="N11" i="4" s="1"/>
  <c r="L11" i="4"/>
  <c r="K12" i="4"/>
  <c r="N12" i="4" s="1"/>
  <c r="L12" i="4"/>
  <c r="K13" i="4"/>
  <c r="N13" i="4" s="1"/>
  <c r="L13" i="4"/>
  <c r="K14" i="4"/>
  <c r="N14" i="4" s="1"/>
  <c r="L14" i="4"/>
  <c r="K15" i="4"/>
  <c r="L15" i="4"/>
  <c r="O15" i="4" s="1"/>
  <c r="J15" i="4"/>
  <c r="J14" i="4"/>
  <c r="J13" i="4"/>
  <c r="M13" i="4" s="1"/>
  <c r="J12" i="4"/>
  <c r="M12" i="4" s="1"/>
  <c r="J11" i="4"/>
  <c r="M11" i="4" s="1"/>
  <c r="L8" i="4"/>
  <c r="K8" i="4"/>
  <c r="N8" i="4" s="1"/>
  <c r="K6" i="4"/>
  <c r="J4" i="4"/>
  <c r="K4" i="4"/>
  <c r="L4" i="4"/>
  <c r="J5" i="4"/>
  <c r="K5" i="4"/>
  <c r="L5" i="4"/>
  <c r="O5" i="4" s="1"/>
  <c r="K3" i="4"/>
  <c r="N3" i="4" s="1"/>
  <c r="L3" i="4"/>
  <c r="J3" i="4"/>
  <c r="L6" i="4"/>
  <c r="O6" i="4" s="1"/>
  <c r="J6" i="4"/>
  <c r="S5" i="5"/>
  <c r="S4" i="5"/>
  <c r="S3" i="5"/>
  <c r="S11" i="5"/>
  <c r="S10" i="5"/>
  <c r="S9" i="5"/>
  <c r="S8" i="5"/>
  <c r="H76" i="5"/>
  <c r="H75" i="5"/>
  <c r="H74" i="5"/>
  <c r="H73" i="5"/>
  <c r="H72" i="5"/>
  <c r="G72" i="5"/>
  <c r="H71" i="5"/>
  <c r="H70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41" i="5"/>
  <c r="S6" i="5"/>
  <c r="S7" i="5"/>
  <c r="S2" i="5"/>
  <c r="R7" i="5"/>
  <c r="R6" i="5"/>
  <c r="R5" i="5"/>
  <c r="R4" i="5"/>
  <c r="R3" i="5"/>
  <c r="R2" i="5"/>
  <c r="R11" i="5"/>
  <c r="R10" i="5"/>
  <c r="R9" i="5"/>
  <c r="R8" i="5"/>
  <c r="G76" i="5"/>
  <c r="G75" i="5"/>
  <c r="G74" i="5"/>
  <c r="G73" i="5"/>
  <c r="G70" i="5"/>
  <c r="G71" i="5"/>
  <c r="G66" i="5"/>
  <c r="G67" i="5"/>
  <c r="G68" i="5"/>
  <c r="G65" i="5"/>
  <c r="G59" i="5"/>
  <c r="G60" i="5"/>
  <c r="G61" i="5"/>
  <c r="G62" i="5"/>
  <c r="G63" i="5"/>
  <c r="G64" i="5"/>
  <c r="G58" i="5"/>
  <c r="F59" i="5"/>
  <c r="F60" i="5"/>
  <c r="F61" i="5"/>
  <c r="F62" i="5"/>
  <c r="F63" i="5"/>
  <c r="F64" i="5"/>
  <c r="F58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41" i="5"/>
  <c r="Q3" i="5"/>
  <c r="Q4" i="5"/>
  <c r="Q5" i="5"/>
  <c r="Q6" i="5"/>
  <c r="Q7" i="5"/>
  <c r="Q2" i="5"/>
  <c r="M19" i="5"/>
  <c r="M20" i="5"/>
  <c r="M21" i="5"/>
  <c r="M22" i="5"/>
  <c r="M23" i="5"/>
  <c r="M24" i="5"/>
  <c r="L3" i="5"/>
  <c r="M3" i="5"/>
  <c r="L4" i="5"/>
  <c r="M4" i="5" s="1"/>
  <c r="L5" i="5"/>
  <c r="M5" i="5"/>
  <c r="L6" i="5"/>
  <c r="M6" i="5" s="1"/>
  <c r="L7" i="5"/>
  <c r="M7" i="5"/>
  <c r="L8" i="5"/>
  <c r="M8" i="5"/>
  <c r="L9" i="5"/>
  <c r="M9" i="5"/>
  <c r="L10" i="5"/>
  <c r="M10" i="5"/>
  <c r="L11" i="5"/>
  <c r="M11" i="5" s="1"/>
  <c r="L12" i="5"/>
  <c r="M12" i="5"/>
  <c r="L13" i="5"/>
  <c r="M13" i="5"/>
  <c r="L14" i="5"/>
  <c r="M14" i="5"/>
  <c r="L15" i="5"/>
  <c r="M15" i="5"/>
  <c r="L16" i="5"/>
  <c r="M16" i="5"/>
  <c r="L17" i="5"/>
  <c r="M17" i="5"/>
  <c r="L2" i="5"/>
  <c r="M2" i="5" s="1"/>
  <c r="H24" i="5"/>
  <c r="H23" i="5"/>
  <c r="H21" i="5"/>
  <c r="H22" i="5"/>
  <c r="H20" i="5"/>
  <c r="H19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2" i="5"/>
  <c r="O4" i="4" l="1"/>
  <c r="O3" i="4"/>
  <c r="K16" i="4"/>
  <c r="J16" i="4"/>
  <c r="L16" i="4"/>
</calcChain>
</file>

<file path=xl/sharedStrings.xml><?xml version="1.0" encoding="utf-8"?>
<sst xmlns="http://schemas.openxmlformats.org/spreadsheetml/2006/main" count="338" uniqueCount="99">
  <si>
    <t>steel</t>
  </si>
  <si>
    <t>Global</t>
  </si>
  <si>
    <t>Region</t>
  </si>
  <si>
    <t>Rail</t>
  </si>
  <si>
    <t>Electrified rail</t>
  </si>
  <si>
    <t>High speed rail</t>
  </si>
  <si>
    <t>Zinc</t>
  </si>
  <si>
    <t>Author</t>
  </si>
  <si>
    <t>Stripple &amp; Uddenberg, 2010) standard</t>
  </si>
  <si>
    <t>Stripple &amp; Uddenberg, 2010) electrified</t>
  </si>
  <si>
    <t>von Rozycki et al. (2003)</t>
  </si>
  <si>
    <t>Han &amp; Xiang (2013), concrete tie</t>
  </si>
  <si>
    <t>Han &amp; Xiang (2013), wooden tie</t>
  </si>
  <si>
    <t>Wiedenhofer et al. (2015)</t>
  </si>
  <si>
    <t>Sweden</t>
  </si>
  <si>
    <t>Switzerland</t>
  </si>
  <si>
    <t>German</t>
  </si>
  <si>
    <t>China</t>
  </si>
  <si>
    <t>Aggregate</t>
  </si>
  <si>
    <t>Steel</t>
  </si>
  <si>
    <t>Concrete</t>
  </si>
  <si>
    <t>Wood</t>
  </si>
  <si>
    <t>Copper</t>
  </si>
  <si>
    <t>Neoprene</t>
  </si>
  <si>
    <t>Nylon</t>
  </si>
  <si>
    <t>Total</t>
  </si>
  <si>
    <t>Part</t>
  </si>
  <si>
    <t>Sub-part</t>
  </si>
  <si>
    <t>Material</t>
  </si>
  <si>
    <t>unit</t>
  </si>
  <si>
    <t>Single</t>
  </si>
  <si>
    <t>Double</t>
  </si>
  <si>
    <t>High speed rail single</t>
  </si>
  <si>
    <t>High speed rail double</t>
  </si>
  <si>
    <t>Track</t>
  </si>
  <si>
    <t>t/km</t>
  </si>
  <si>
    <t>Concrete tie</t>
  </si>
  <si>
    <t>tie</t>
  </si>
  <si>
    <t>m3</t>
  </si>
  <si>
    <t>fixation</t>
  </si>
  <si>
    <t>PE</t>
  </si>
  <si>
    <t>gravel bed</t>
  </si>
  <si>
    <t>Wooden tie</t>
  </si>
  <si>
    <t>Paint</t>
  </si>
  <si>
    <t>Steel tie</t>
  </si>
  <si>
    <t>Bridges</t>
  </si>
  <si>
    <t>m3/m</t>
  </si>
  <si>
    <t>t/m</t>
  </si>
  <si>
    <t>Tunnels</t>
  </si>
  <si>
    <t>Electrification</t>
  </si>
  <si>
    <t>Unit</t>
  </si>
  <si>
    <t>Rail - double track</t>
  </si>
  <si>
    <t>High speed</t>
  </si>
  <si>
    <t>Elec cable</t>
  </si>
  <si>
    <t>Bronze</t>
  </si>
  <si>
    <t>Catenary masts - high speed</t>
  </si>
  <si>
    <t>m3/km</t>
  </si>
  <si>
    <t>Aluminium</t>
  </si>
  <si>
    <t>Catenary masts - concrete</t>
  </si>
  <si>
    <t>Catenary masts - steel</t>
  </si>
  <si>
    <t>Traction substation</t>
  </si>
  <si>
    <t>Bricks</t>
  </si>
  <si>
    <t>Signalling and communication</t>
  </si>
  <si>
    <t>Track signals</t>
  </si>
  <si>
    <t>Communication lines</t>
  </si>
  <si>
    <t>Cablecanal</t>
  </si>
  <si>
    <t>Train protection system</t>
  </si>
  <si>
    <t>Signalling control</t>
  </si>
  <si>
    <t>Stations</t>
  </si>
  <si>
    <t>Category 1</t>
  </si>
  <si>
    <t>t</t>
  </si>
  <si>
    <t>Category 2</t>
  </si>
  <si>
    <t>Category 3</t>
  </si>
  <si>
    <t>Category 4-6</t>
  </si>
  <si>
    <t>Double/2</t>
  </si>
  <si>
    <t>Average</t>
  </si>
  <si>
    <t>Aggregates</t>
  </si>
  <si>
    <t>Oko-institut (2013)</t>
  </si>
  <si>
    <t>DE</t>
  </si>
  <si>
    <t>Oko-institut (2013) High Speed</t>
  </si>
  <si>
    <t>Oko-institut (2013) Electrified</t>
  </si>
  <si>
    <t>Standard</t>
  </si>
  <si>
    <t>Electrified</t>
  </si>
  <si>
    <t>Materials</t>
  </si>
  <si>
    <t>High speed (kg/km)</t>
  </si>
  <si>
    <t>Electrified (kg/km)</t>
  </si>
  <si>
    <t>Standard (kg/km)</t>
  </si>
  <si>
    <t>Tram (kg/km)</t>
  </si>
  <si>
    <t>Bridge_low (kg/km)</t>
  </si>
  <si>
    <t>Bridge_average (kg/km)</t>
  </si>
  <si>
    <t>Tunnel_average (kg/km)</t>
  </si>
  <si>
    <r>
      <t xml:space="preserve">Löchter, A. (n.d.). </t>
    </r>
    <r>
      <rPr>
        <i/>
        <sz val="11"/>
        <color theme="1"/>
        <rFont val="Calibri"/>
        <family val="2"/>
        <scheme val="minor"/>
      </rPr>
      <t>Martin Schmied, Öko-Institut e.V., Büro Berlin Moritz Mottschall, Öko-Institut e.V., Büro Berlin</t>
    </r>
    <r>
      <rPr>
        <sz val="11"/>
        <color theme="1"/>
        <rFont val="Calibri"/>
        <family val="2"/>
        <scheme val="minor"/>
      </rPr>
      <t>.</t>
    </r>
  </si>
  <si>
    <t>Spielmann, M., &amp; Scholz, R. (2005). Life Cycle Inventories of Transport Services: Background Data for Freight Transport (10 pp). The International Journal of Life Cycle Assessment, 10(1), 85–94. https://doi.org/10.1065/lca2004.10.181.10</t>
  </si>
  <si>
    <r>
      <t xml:space="preserve">Stripple, H., &amp; Uppenberg, S. (n.d.). </t>
    </r>
    <r>
      <rPr>
        <i/>
        <sz val="11"/>
        <color theme="1"/>
        <rFont val="Calibri"/>
        <family val="2"/>
        <scheme val="minor"/>
      </rPr>
      <t>Life cycle assessment of railways and rail transports—Application in environmental product declarations (EPDs) for the Bothnia Line</t>
    </r>
    <r>
      <rPr>
        <sz val="11"/>
        <color theme="1"/>
        <rFont val="Calibri"/>
        <family val="2"/>
        <scheme val="minor"/>
      </rPr>
      <t>.</t>
    </r>
  </si>
  <si>
    <t>Spielmann &amp; Scholz (2005)</t>
  </si>
  <si>
    <t>Rozycki, C. von, Koeser, H., &amp; Schwarz, H. (2003). Ecology profile of the german high-speed rail passenger transport system, ICE. The International Journal of Life Cycle Assessment, 8(2), 83–91. https://doi.org/10.1007/BF02978431</t>
  </si>
  <si>
    <t>Han, J., &amp; Xiang, W.-N. (2013). Analysis of material stock accumulation in China’s infrastructure and its regional disparity. Sustainability Science, 8(4), 553–564. https://doi.org/10.1007/s11625-012-0196-y</t>
  </si>
  <si>
    <t>Wiedenhofer, D., Steinberger, J. K., Eisenmenger, N., &amp; Haas, W. (2015). Maintenance and Expansion: Modeling Material Stocks and Flows for Residential Buildings and Transportation Networks in the EU25. Journal of Industrial Ecology, 19(4), 538–551. https://doi.org/10.1111/jiec.12216</t>
  </si>
  <si>
    <t>References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</si>
</sst>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F5496"/>
      <name val="Calibri"/>
      <family val="2"/>
      <scheme val="minor"/>
    </font>
    <font>
      <b/>
      <sz val="12"/>
      <color rgb="FF2F5496"/>
      <name val="Times New Roman"/>
      <family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2F3"/>
        <bgColor indexed="64"/>
      </patternFill>
    </fill>
  </fills>
  <borders count="7">
    <border>
      <left/>
      <right/>
      <top/>
      <bottom/>
      <diagonal/>
    </border>
    <border>
      <left style="medium">
        <color rgb="FF8EAADB"/>
      </left>
      <right style="medium">
        <color rgb="FF8EAADB"/>
      </right>
      <top style="medium">
        <color rgb="FF8EAADB"/>
      </top>
      <bottom style="thick">
        <color rgb="FF8EAADB"/>
      </bottom>
      <diagonal/>
    </border>
    <border>
      <left/>
      <right style="medium">
        <color rgb="FF8EAADB"/>
      </right>
      <top style="medium">
        <color rgb="FF8EAADB"/>
      </top>
      <bottom style="thick">
        <color rgb="FF8EAADB"/>
      </bottom>
      <diagonal/>
    </border>
    <border>
      <left style="medium">
        <color rgb="FF8EAADB"/>
      </left>
      <right style="medium">
        <color rgb="FF8EAADB"/>
      </right>
      <top/>
      <bottom style="medium">
        <color rgb="FF8EAADB"/>
      </bottom>
      <diagonal/>
    </border>
    <border>
      <left/>
      <right style="medium">
        <color rgb="FF8EAADB"/>
      </right>
      <top/>
      <bottom style="medium">
        <color rgb="FF8EAADB"/>
      </bottom>
      <diagonal/>
    </border>
    <border>
      <left/>
      <right style="medium">
        <color rgb="FF8EAADB"/>
      </right>
      <top/>
      <bottom/>
      <diagonal/>
    </border>
    <border>
      <left style="medium">
        <color rgb="FF8EAADB"/>
      </left>
      <right style="medium">
        <color rgb="FF8EAADB"/>
      </right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1" fontId="0" fillId="0" borderId="0" xfId="0" applyNumberFormat="1"/>
    <xf numFmtId="0" fontId="4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5" fillId="0" borderId="3" xfId="0" applyFont="1" applyBorder="1" applyAlignment="1">
      <alignment vertical="center"/>
    </xf>
    <xf numFmtId="0" fontId="6" fillId="0" borderId="4" xfId="0" applyFont="1" applyBorder="1" applyAlignment="1">
      <alignment horizontal="right" vertical="center"/>
    </xf>
    <xf numFmtId="0" fontId="6" fillId="2" borderId="4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vertical="top"/>
    </xf>
    <xf numFmtId="0" fontId="3" fillId="0" borderId="4" xfId="0" applyFont="1" applyBorder="1" applyAlignment="1">
      <alignment vertical="top"/>
    </xf>
    <xf numFmtId="0" fontId="5" fillId="0" borderId="5" xfId="0" applyFont="1" applyBorder="1" applyAlignment="1">
      <alignment vertical="center"/>
    </xf>
    <xf numFmtId="0" fontId="6" fillId="2" borderId="5" xfId="0" applyFont="1" applyFill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2" fillId="0" borderId="0" xfId="0" applyFont="1"/>
    <xf numFmtId="10" fontId="0" fillId="0" borderId="0" xfId="0" applyNumberFormat="1"/>
    <xf numFmtId="3" fontId="0" fillId="0" borderId="0" xfId="0" applyNumberFormat="1"/>
    <xf numFmtId="0" fontId="0" fillId="0" borderId="0" xfId="0" applyAlignment="1">
      <alignment horizontal="left" vertical="center" indent="2"/>
    </xf>
    <xf numFmtId="0" fontId="8" fillId="0" borderId="0" xfId="1" applyAlignment="1">
      <alignment horizontal="left" vertical="center" indent="2"/>
    </xf>
    <xf numFmtId="0" fontId="5" fillId="0" borderId="6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07/s11625-012-0196-y" TargetMode="External"/><Relationship Id="rId2" Type="http://schemas.openxmlformats.org/officeDocument/2006/relationships/hyperlink" Target="https://doi.org/10.1007/BF02978431" TargetMode="External"/><Relationship Id="rId1" Type="http://schemas.openxmlformats.org/officeDocument/2006/relationships/hyperlink" Target="https://doi.org/10.1065/lca2004.10.181.10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doi.org/10.1111/jiec.122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F392C-04B2-4810-B980-05F198A81C03}">
  <dimension ref="A1:H45"/>
  <sheetViews>
    <sheetView workbookViewId="0">
      <selection activeCell="F10" sqref="F10"/>
    </sheetView>
  </sheetViews>
  <sheetFormatPr defaultRowHeight="14.5" x14ac:dyDescent="0.35"/>
  <cols>
    <col min="1" max="1" width="13.453125" bestFit="1" customWidth="1"/>
    <col min="2" max="2" width="14.453125" bestFit="1" customWidth="1"/>
    <col min="3" max="3" width="14.81640625" bestFit="1" customWidth="1"/>
    <col min="4" max="4" width="17.7265625" bestFit="1" customWidth="1"/>
    <col min="5" max="5" width="15.1796875" bestFit="1" customWidth="1"/>
    <col min="6" max="6" width="15.81640625" bestFit="1" customWidth="1"/>
    <col min="7" max="7" width="18.7265625" bestFit="1" customWidth="1"/>
    <col min="8" max="8" width="11.26953125" bestFit="1" customWidth="1"/>
  </cols>
  <sheetData>
    <row r="1" spans="1:8" x14ac:dyDescent="0.35">
      <c r="A1" t="s">
        <v>83</v>
      </c>
      <c r="B1" t="s">
        <v>86</v>
      </c>
      <c r="C1" t="s">
        <v>85</v>
      </c>
      <c r="D1" t="s">
        <v>84</v>
      </c>
      <c r="E1" t="s">
        <v>87</v>
      </c>
      <c r="F1" t="s">
        <v>88</v>
      </c>
      <c r="G1" s="1" t="s">
        <v>89</v>
      </c>
      <c r="H1" t="s">
        <v>90</v>
      </c>
    </row>
    <row r="2" spans="1:8" x14ac:dyDescent="0.35">
      <c r="A2" t="s">
        <v>18</v>
      </c>
      <c r="B2" s="2">
        <v>4894078.0020000003</v>
      </c>
      <c r="C2" s="2">
        <v>4894078.0020000003</v>
      </c>
      <c r="D2" s="2">
        <v>5184858.6553333336</v>
      </c>
      <c r="E2" s="2">
        <v>133256</v>
      </c>
      <c r="F2" s="2"/>
      <c r="G2" s="2"/>
    </row>
    <row r="3" spans="1:8" x14ac:dyDescent="0.35">
      <c r="A3" t="s">
        <v>19</v>
      </c>
      <c r="B3" s="2">
        <v>119827.51739000001</v>
      </c>
      <c r="C3" s="2">
        <v>125994.18985000001</v>
      </c>
      <c r="D3" s="2">
        <v>126454.18985000001</v>
      </c>
      <c r="E3" s="2">
        <v>91394</v>
      </c>
      <c r="F3" s="2"/>
      <c r="G3" s="2">
        <v>5372500.0000000009</v>
      </c>
      <c r="H3" s="2">
        <v>3242857.1428571427</v>
      </c>
    </row>
    <row r="4" spans="1:8" x14ac:dyDescent="0.35">
      <c r="A4" t="s">
        <v>20</v>
      </c>
      <c r="B4" s="2">
        <v>265219.5</v>
      </c>
      <c r="C4" s="2">
        <v>278391.64762</v>
      </c>
      <c r="D4" s="2">
        <v>282486.64762</v>
      </c>
      <c r="E4" s="2">
        <v>249750</v>
      </c>
      <c r="F4" s="2">
        <v>36400000.000000007</v>
      </c>
      <c r="G4" s="18">
        <v>69147619.04761906</v>
      </c>
      <c r="H4" s="18">
        <v>110267368.42105262</v>
      </c>
    </row>
    <row r="5" spans="1:8" x14ac:dyDescent="0.35">
      <c r="A5" t="s">
        <v>21</v>
      </c>
      <c r="B5" s="2">
        <v>70740.75</v>
      </c>
      <c r="C5" s="2">
        <v>70740.75</v>
      </c>
      <c r="D5" s="2">
        <v>70740.75</v>
      </c>
      <c r="E5" s="2">
        <v>0</v>
      </c>
      <c r="F5" s="2"/>
      <c r="G5" s="2"/>
    </row>
    <row r="6" spans="1:8" x14ac:dyDescent="0.35">
      <c r="A6" s="16" t="s">
        <v>6</v>
      </c>
      <c r="B6" s="2">
        <v>0</v>
      </c>
      <c r="C6" s="2">
        <v>258</v>
      </c>
      <c r="D6" s="2">
        <v>258</v>
      </c>
      <c r="E6" s="2">
        <v>0</v>
      </c>
      <c r="F6" s="2"/>
      <c r="G6" s="2"/>
    </row>
    <row r="7" spans="1:8" x14ac:dyDescent="0.35">
      <c r="A7" t="s">
        <v>22</v>
      </c>
      <c r="B7" s="2">
        <v>0</v>
      </c>
      <c r="C7" s="2">
        <v>3365.8694</v>
      </c>
      <c r="D7" s="2">
        <v>3428.3694</v>
      </c>
      <c r="E7" s="2">
        <f>C7</f>
        <v>3365.8694</v>
      </c>
    </row>
    <row r="8" spans="1:8" x14ac:dyDescent="0.35">
      <c r="A8" s="16" t="s">
        <v>23</v>
      </c>
      <c r="B8" s="2">
        <v>462</v>
      </c>
      <c r="C8" s="2">
        <v>462</v>
      </c>
      <c r="D8" s="2">
        <v>462</v>
      </c>
      <c r="E8" s="2">
        <v>0</v>
      </c>
    </row>
    <row r="9" spans="1:8" x14ac:dyDescent="0.35">
      <c r="A9" s="16" t="s">
        <v>24</v>
      </c>
      <c r="B9" s="2">
        <v>307</v>
      </c>
      <c r="C9" s="2">
        <v>307</v>
      </c>
      <c r="D9" s="2">
        <v>307</v>
      </c>
      <c r="E9" s="2">
        <v>0</v>
      </c>
    </row>
    <row r="10" spans="1:8" x14ac:dyDescent="0.35">
      <c r="A10" t="s">
        <v>40</v>
      </c>
      <c r="B10" s="2">
        <v>1173.6576124999997</v>
      </c>
      <c r="C10" s="2">
        <v>5903.9541624999993</v>
      </c>
      <c r="D10" s="2">
        <v>5001.3527124999991</v>
      </c>
      <c r="E10" s="2">
        <v>0</v>
      </c>
    </row>
    <row r="11" spans="1:8" x14ac:dyDescent="0.35">
      <c r="A11" s="16" t="s">
        <v>43</v>
      </c>
      <c r="B11" s="2">
        <v>11114.999999999998</v>
      </c>
      <c r="C11" s="2">
        <v>11114.999999999998</v>
      </c>
      <c r="D11" s="2">
        <v>11114.999999999998</v>
      </c>
      <c r="E11" s="2">
        <v>0</v>
      </c>
    </row>
    <row r="12" spans="1:8" x14ac:dyDescent="0.35">
      <c r="A12" s="16" t="s">
        <v>54</v>
      </c>
      <c r="B12" s="2">
        <v>0</v>
      </c>
      <c r="C12" s="2">
        <v>550</v>
      </c>
      <c r="D12" s="2">
        <v>950</v>
      </c>
      <c r="E12" s="2">
        <f>C12</f>
        <v>550</v>
      </c>
    </row>
    <row r="13" spans="1:8" x14ac:dyDescent="0.35">
      <c r="A13" s="16" t="s">
        <v>61</v>
      </c>
      <c r="B13" s="2">
        <v>0</v>
      </c>
      <c r="C13" s="2">
        <v>1475</v>
      </c>
      <c r="D13" s="2">
        <v>1475</v>
      </c>
      <c r="E13" s="2">
        <v>0</v>
      </c>
    </row>
    <row r="14" spans="1:8" x14ac:dyDescent="0.35">
      <c r="A14" t="s">
        <v>57</v>
      </c>
      <c r="B14" s="2">
        <v>0</v>
      </c>
      <c r="C14" s="2">
        <v>1750</v>
      </c>
      <c r="D14" s="2">
        <v>2150</v>
      </c>
      <c r="E14" s="2">
        <f>C14</f>
        <v>1750</v>
      </c>
    </row>
    <row r="18" spans="6:8" x14ac:dyDescent="0.35">
      <c r="F18" s="2"/>
      <c r="G18" s="2"/>
      <c r="H18" s="2"/>
    </row>
    <row r="19" spans="6:8" x14ac:dyDescent="0.35">
      <c r="F19" s="2"/>
      <c r="G19" s="2"/>
      <c r="H19" s="2"/>
    </row>
    <row r="20" spans="6:8" x14ac:dyDescent="0.35">
      <c r="F20" s="2"/>
      <c r="G20" s="2"/>
      <c r="H20" s="2"/>
    </row>
    <row r="21" spans="6:8" x14ac:dyDescent="0.35">
      <c r="F21" s="2"/>
      <c r="G21" s="2"/>
      <c r="H21" s="2"/>
    </row>
    <row r="22" spans="6:8" x14ac:dyDescent="0.35">
      <c r="F22" s="2"/>
      <c r="G22" s="2"/>
      <c r="H22" s="2"/>
    </row>
    <row r="23" spans="6:8" x14ac:dyDescent="0.35">
      <c r="F23" s="2"/>
      <c r="G23" s="2"/>
      <c r="H23" s="2"/>
    </row>
    <row r="24" spans="6:8" x14ac:dyDescent="0.35">
      <c r="F24" s="2"/>
      <c r="G24" s="2"/>
      <c r="H24" s="2"/>
    </row>
    <row r="25" spans="6:8" x14ac:dyDescent="0.35">
      <c r="F25" s="2"/>
      <c r="G25" s="2"/>
      <c r="H25" s="2"/>
    </row>
    <row r="26" spans="6:8" x14ac:dyDescent="0.35">
      <c r="F26" s="2"/>
      <c r="G26" s="2"/>
      <c r="H26" s="2"/>
    </row>
    <row r="27" spans="6:8" x14ac:dyDescent="0.35">
      <c r="F27" s="2"/>
      <c r="G27" s="2"/>
      <c r="H27" s="2"/>
    </row>
    <row r="33" spans="2:4" x14ac:dyDescent="0.35">
      <c r="B33" s="2"/>
      <c r="C33" s="2"/>
      <c r="D33" s="2"/>
    </row>
    <row r="34" spans="2:4" x14ac:dyDescent="0.35">
      <c r="B34" s="2"/>
      <c r="C34" s="2"/>
      <c r="D34" s="2"/>
    </row>
    <row r="35" spans="2:4" x14ac:dyDescent="0.35">
      <c r="B35" s="2"/>
      <c r="C35" s="2"/>
      <c r="D35" s="2"/>
    </row>
    <row r="36" spans="2:4" x14ac:dyDescent="0.35">
      <c r="B36" s="2"/>
      <c r="C36" s="2"/>
      <c r="D36" s="2"/>
    </row>
    <row r="37" spans="2:4" x14ac:dyDescent="0.35">
      <c r="B37" s="2"/>
      <c r="C37" s="2"/>
      <c r="D37" s="2"/>
    </row>
    <row r="38" spans="2:4" x14ac:dyDescent="0.35">
      <c r="B38" s="2"/>
      <c r="C38" s="2"/>
      <c r="D38" s="2"/>
    </row>
    <row r="39" spans="2:4" x14ac:dyDescent="0.35">
      <c r="B39" s="2"/>
      <c r="C39" s="2"/>
      <c r="D39" s="2"/>
    </row>
    <row r="40" spans="2:4" x14ac:dyDescent="0.35">
      <c r="B40" s="2"/>
      <c r="C40" s="2"/>
      <c r="D40" s="2"/>
    </row>
    <row r="41" spans="2:4" x14ac:dyDescent="0.35">
      <c r="B41" s="2"/>
      <c r="C41" s="2"/>
      <c r="D41" s="2"/>
    </row>
    <row r="42" spans="2:4" x14ac:dyDescent="0.35">
      <c r="B42" s="2"/>
      <c r="C42" s="2"/>
      <c r="D42" s="2"/>
    </row>
    <row r="43" spans="2:4" x14ac:dyDescent="0.35">
      <c r="B43" s="2"/>
      <c r="C43" s="2"/>
      <c r="D43" s="2"/>
    </row>
    <row r="44" spans="2:4" x14ac:dyDescent="0.35">
      <c r="B44" s="2"/>
      <c r="C44" s="2"/>
      <c r="D44" s="2"/>
    </row>
    <row r="45" spans="2:4" x14ac:dyDescent="0.35">
      <c r="B45" s="2"/>
      <c r="C45" s="2"/>
      <c r="D45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480F6-61B6-4C35-9586-885AC027F560}">
  <dimension ref="A1:V23"/>
  <sheetViews>
    <sheetView tabSelected="1" workbookViewId="0">
      <selection activeCell="A18" sqref="A18"/>
    </sheetView>
  </sheetViews>
  <sheetFormatPr defaultRowHeight="14.5" x14ac:dyDescent="0.35"/>
  <sheetData>
    <row r="1" spans="1:22" ht="15.5" thickBot="1" x14ac:dyDescent="0.4">
      <c r="A1" s="3" t="s">
        <v>7</v>
      </c>
      <c r="B1" s="4" t="s">
        <v>8</v>
      </c>
      <c r="C1" s="4" t="s">
        <v>9</v>
      </c>
      <c r="D1" s="4" t="s">
        <v>94</v>
      </c>
      <c r="E1" s="4" t="s">
        <v>10</v>
      </c>
      <c r="F1" s="4" t="s">
        <v>11</v>
      </c>
      <c r="G1" s="4" t="s">
        <v>12</v>
      </c>
      <c r="H1" s="4" t="s">
        <v>12</v>
      </c>
      <c r="I1" s="4" t="s">
        <v>13</v>
      </c>
      <c r="J1" s="12" t="s">
        <v>77</v>
      </c>
      <c r="K1" s="12" t="s">
        <v>80</v>
      </c>
      <c r="L1" s="12" t="s">
        <v>79</v>
      </c>
    </row>
    <row r="2" spans="1:22" ht="15.5" thickTop="1" thickBot="1" x14ac:dyDescent="0.4">
      <c r="A2" s="5" t="s">
        <v>2</v>
      </c>
      <c r="B2" s="6" t="s">
        <v>14</v>
      </c>
      <c r="C2" s="6" t="s">
        <v>14</v>
      </c>
      <c r="D2" s="6" t="s">
        <v>15</v>
      </c>
      <c r="E2" s="6" t="s">
        <v>16</v>
      </c>
      <c r="F2" s="6" t="s">
        <v>17</v>
      </c>
      <c r="G2" s="6" t="s">
        <v>17</v>
      </c>
      <c r="H2" s="6" t="s">
        <v>17</v>
      </c>
      <c r="I2" s="6" t="s">
        <v>1</v>
      </c>
      <c r="J2" s="13" t="s">
        <v>78</v>
      </c>
      <c r="K2" s="13" t="s">
        <v>78</v>
      </c>
      <c r="L2" s="13" t="s">
        <v>78</v>
      </c>
      <c r="M2" s="13" t="s">
        <v>81</v>
      </c>
      <c r="N2" s="13" t="s">
        <v>82</v>
      </c>
      <c r="O2" s="13" t="s">
        <v>52</v>
      </c>
      <c r="T2" t="s">
        <v>3</v>
      </c>
      <c r="U2" t="s">
        <v>4</v>
      </c>
      <c r="V2" t="s">
        <v>5</v>
      </c>
    </row>
    <row r="3" spans="1:22" ht="15" thickBot="1" x14ac:dyDescent="0.4">
      <c r="A3" s="7" t="s">
        <v>18</v>
      </c>
      <c r="B3" s="8">
        <v>4334390</v>
      </c>
      <c r="C3" s="8">
        <v>4334390</v>
      </c>
      <c r="D3" s="8">
        <v>1130000</v>
      </c>
      <c r="E3" s="8">
        <v>5300000</v>
      </c>
      <c r="F3" s="8">
        <v>5340000</v>
      </c>
      <c r="G3" s="8">
        <v>5000000</v>
      </c>
      <c r="H3" s="8">
        <f>AVERAGE(F3:G3)</f>
        <v>5170000</v>
      </c>
      <c r="I3" s="8">
        <v>3419000</v>
      </c>
      <c r="J3">
        <f t="shared" ref="J3:L5" si="0">T3*1000</f>
        <v>10011078.012</v>
      </c>
      <c r="K3">
        <f t="shared" si="0"/>
        <v>10011078.012</v>
      </c>
      <c r="L3">
        <f t="shared" si="0"/>
        <v>11755761.932</v>
      </c>
      <c r="M3" s="2">
        <f>AVERAGE(B3,D3:E3,H3,I3,J3)</f>
        <v>4894078.0020000003</v>
      </c>
      <c r="N3" s="2">
        <f>AVERAGE(C3:E3,H3,I3,K3)</f>
        <v>4894078.0020000003</v>
      </c>
      <c r="O3" s="2">
        <f>AVERAGE(C3:E3,H3,I3,L3)</f>
        <v>5184858.6553333336</v>
      </c>
      <c r="S3" t="s">
        <v>76</v>
      </c>
      <c r="T3">
        <v>10011.078012</v>
      </c>
      <c r="U3">
        <v>10011.078012</v>
      </c>
      <c r="V3">
        <v>11755.761931999999</v>
      </c>
    </row>
    <row r="4" spans="1:22" ht="15" thickBot="1" x14ac:dyDescent="0.4">
      <c r="A4" s="5" t="s">
        <v>19</v>
      </c>
      <c r="B4" s="9">
        <v>76833</v>
      </c>
      <c r="C4" s="9">
        <v>82584</v>
      </c>
      <c r="D4" s="9">
        <v>41006</v>
      </c>
      <c r="E4" s="9">
        <v>107007</v>
      </c>
      <c r="F4" s="9">
        <v>230000</v>
      </c>
      <c r="G4" s="9">
        <v>205000</v>
      </c>
      <c r="H4" s="8">
        <f t="shared" ref="H4" si="1">AVERAGE(F4:G4)</f>
        <v>217500</v>
      </c>
      <c r="I4" s="10"/>
      <c r="J4">
        <f t="shared" si="0"/>
        <v>156791.58695</v>
      </c>
      <c r="K4">
        <f t="shared" si="0"/>
        <v>181873.94925000001</v>
      </c>
      <c r="L4">
        <f t="shared" si="0"/>
        <v>184173.94925000003</v>
      </c>
      <c r="M4" s="2">
        <f t="shared" ref="M4:M15" si="2">AVERAGE(B4,D4:E4,H4,I4,J4)</f>
        <v>119827.51739000001</v>
      </c>
      <c r="N4" s="2">
        <f t="shared" ref="N4:N15" si="3">AVERAGE(C4:E4,H4,I4,K4)</f>
        <v>125994.18985000001</v>
      </c>
      <c r="O4" s="2">
        <f t="shared" ref="O4:O15" si="4">AVERAGE(C4:E4,H4,I4,L4)</f>
        <v>126454.18985000001</v>
      </c>
      <c r="S4" t="s">
        <v>19</v>
      </c>
      <c r="T4">
        <v>156.79158695000001</v>
      </c>
      <c r="U4">
        <v>181.87394925000001</v>
      </c>
      <c r="V4">
        <v>184.17394925000002</v>
      </c>
    </row>
    <row r="5" spans="1:22" ht="15" thickBot="1" x14ac:dyDescent="0.4">
      <c r="A5" s="7" t="s">
        <v>20</v>
      </c>
      <c r="B5" s="8">
        <v>416667</v>
      </c>
      <c r="C5" s="8">
        <v>416667</v>
      </c>
      <c r="D5" s="8">
        <v>209000</v>
      </c>
      <c r="E5" s="8">
        <v>343000</v>
      </c>
      <c r="F5" s="8">
        <v>160000</v>
      </c>
      <c r="G5" s="11"/>
      <c r="H5" s="8">
        <f>F5/2</f>
        <v>80000</v>
      </c>
      <c r="I5" s="8">
        <v>308000</v>
      </c>
      <c r="J5">
        <f t="shared" si="0"/>
        <v>234650</v>
      </c>
      <c r="K5">
        <f t="shared" si="0"/>
        <v>313682.88572000002</v>
      </c>
      <c r="L5">
        <f t="shared" si="0"/>
        <v>338252.88572000002</v>
      </c>
      <c r="M5" s="2">
        <f t="shared" si="2"/>
        <v>265219.5</v>
      </c>
      <c r="N5" s="2">
        <f t="shared" si="3"/>
        <v>278391.64762</v>
      </c>
      <c r="O5" s="2">
        <f t="shared" si="4"/>
        <v>282486.64762</v>
      </c>
      <c r="S5" t="s">
        <v>20</v>
      </c>
      <c r="T5">
        <v>234.65</v>
      </c>
      <c r="U5">
        <v>313.68288572</v>
      </c>
      <c r="V5">
        <v>338.25288571999999</v>
      </c>
    </row>
    <row r="6" spans="1:22" ht="15" thickBot="1" x14ac:dyDescent="0.4">
      <c r="A6" s="5" t="s">
        <v>21</v>
      </c>
      <c r="B6" s="9">
        <v>65088</v>
      </c>
      <c r="C6" s="9">
        <v>65088</v>
      </c>
      <c r="D6" s="9">
        <v>41000</v>
      </c>
      <c r="E6" s="10"/>
      <c r="F6" s="10"/>
      <c r="G6" s="9">
        <v>140000</v>
      </c>
      <c r="H6" s="8">
        <f>G6/2</f>
        <v>70000</v>
      </c>
      <c r="I6" s="10"/>
      <c r="J6">
        <f>T7*1000</f>
        <v>106875</v>
      </c>
      <c r="K6">
        <f>U7*1000</f>
        <v>106875</v>
      </c>
      <c r="L6">
        <f>U7*1000</f>
        <v>106875</v>
      </c>
      <c r="M6" s="2">
        <f t="shared" si="2"/>
        <v>70740.75</v>
      </c>
      <c r="N6" s="2">
        <f t="shared" si="3"/>
        <v>70740.75</v>
      </c>
      <c r="O6" s="2">
        <f t="shared" si="4"/>
        <v>70740.75</v>
      </c>
      <c r="S6" t="s">
        <v>40</v>
      </c>
      <c r="T6">
        <v>1.1736576124999998</v>
      </c>
      <c r="U6">
        <v>5.9039541624999989</v>
      </c>
      <c r="V6">
        <v>5.0013527124999992</v>
      </c>
    </row>
    <row r="7" spans="1:22" ht="15" thickBot="1" x14ac:dyDescent="0.4">
      <c r="A7" s="7" t="s">
        <v>6</v>
      </c>
      <c r="B7" s="11"/>
      <c r="C7" s="8">
        <v>258</v>
      </c>
      <c r="D7" s="8"/>
      <c r="E7" s="8"/>
      <c r="F7" s="11"/>
      <c r="G7" s="11"/>
      <c r="H7" s="8"/>
      <c r="I7" s="11"/>
      <c r="J7">
        <v>0</v>
      </c>
      <c r="M7" s="2">
        <f t="shared" si="2"/>
        <v>0</v>
      </c>
      <c r="N7" s="2">
        <f t="shared" si="3"/>
        <v>258</v>
      </c>
      <c r="O7" s="2">
        <f t="shared" si="4"/>
        <v>258</v>
      </c>
      <c r="S7" t="s">
        <v>21</v>
      </c>
      <c r="T7">
        <v>106.875</v>
      </c>
      <c r="U7">
        <v>106.875</v>
      </c>
      <c r="V7">
        <v>106.875</v>
      </c>
    </row>
    <row r="8" spans="1:22" ht="15" thickBot="1" x14ac:dyDescent="0.4">
      <c r="A8" s="5" t="s">
        <v>22</v>
      </c>
      <c r="B8" s="10"/>
      <c r="C8" s="9">
        <v>1778</v>
      </c>
      <c r="D8" s="9"/>
      <c r="E8" s="9"/>
      <c r="F8" s="10"/>
      <c r="G8" s="10"/>
      <c r="H8" s="8"/>
      <c r="I8" s="10"/>
      <c r="J8">
        <v>0</v>
      </c>
      <c r="K8">
        <f>U9*1000</f>
        <v>4953.7388000000001</v>
      </c>
      <c r="L8">
        <f>V9*1000</f>
        <v>5078.7388000000001</v>
      </c>
      <c r="M8" s="2">
        <f t="shared" si="2"/>
        <v>0</v>
      </c>
      <c r="N8" s="2">
        <f t="shared" si="3"/>
        <v>3365.8694</v>
      </c>
      <c r="O8" s="2">
        <f t="shared" si="4"/>
        <v>3428.3694</v>
      </c>
      <c r="S8" t="s">
        <v>43</v>
      </c>
      <c r="T8">
        <v>11.114999999999998</v>
      </c>
      <c r="U8">
        <v>11.114999999999998</v>
      </c>
      <c r="V8">
        <v>11.114999999999998</v>
      </c>
    </row>
    <row r="9" spans="1:22" ht="15" thickBot="1" x14ac:dyDescent="0.4">
      <c r="A9" s="7" t="s">
        <v>23</v>
      </c>
      <c r="B9" s="8">
        <v>462</v>
      </c>
      <c r="C9" s="8">
        <v>462</v>
      </c>
      <c r="D9" s="11"/>
      <c r="E9" s="11"/>
      <c r="F9" s="11"/>
      <c r="G9" s="11"/>
      <c r="H9" s="8"/>
      <c r="I9" s="11"/>
      <c r="M9" s="2">
        <f t="shared" si="2"/>
        <v>462</v>
      </c>
      <c r="N9" s="2">
        <f t="shared" si="3"/>
        <v>462</v>
      </c>
      <c r="O9" s="2">
        <f t="shared" si="4"/>
        <v>462</v>
      </c>
      <c r="S9" t="s">
        <v>22</v>
      </c>
      <c r="U9">
        <v>4.9537388</v>
      </c>
      <c r="V9">
        <v>5.0787388</v>
      </c>
    </row>
    <row r="10" spans="1:22" ht="15" thickBot="1" x14ac:dyDescent="0.4">
      <c r="A10" s="5" t="s">
        <v>24</v>
      </c>
      <c r="B10" s="9">
        <v>307</v>
      </c>
      <c r="C10" s="9">
        <v>307</v>
      </c>
      <c r="D10" s="10"/>
      <c r="E10" s="10"/>
      <c r="F10" s="10"/>
      <c r="G10" s="10"/>
      <c r="H10" s="8"/>
      <c r="I10" s="10"/>
      <c r="M10" s="2">
        <f t="shared" si="2"/>
        <v>307</v>
      </c>
      <c r="N10" s="2">
        <f t="shared" si="3"/>
        <v>307</v>
      </c>
      <c r="O10" s="2">
        <f t="shared" si="4"/>
        <v>307</v>
      </c>
      <c r="S10" t="s">
        <v>54</v>
      </c>
      <c r="U10">
        <v>0.55000000000000004</v>
      </c>
      <c r="V10">
        <v>0.95</v>
      </c>
    </row>
    <row r="11" spans="1:22" x14ac:dyDescent="0.35">
      <c r="A11" s="14" t="s">
        <v>40</v>
      </c>
      <c r="J11">
        <f>T6*1000</f>
        <v>1173.6576124999997</v>
      </c>
      <c r="K11">
        <f>U6*1000</f>
        <v>5903.9541624999993</v>
      </c>
      <c r="L11">
        <f>V6*1000</f>
        <v>5001.3527124999991</v>
      </c>
      <c r="M11" s="2">
        <f t="shared" si="2"/>
        <v>1173.6576124999997</v>
      </c>
      <c r="N11" s="2">
        <f t="shared" si="3"/>
        <v>5903.9541624999993</v>
      </c>
      <c r="O11" s="2">
        <f t="shared" si="4"/>
        <v>5001.3527124999991</v>
      </c>
      <c r="S11" t="s">
        <v>61</v>
      </c>
      <c r="U11">
        <v>1.4750000000000001</v>
      </c>
      <c r="V11">
        <v>1.4750000000000001</v>
      </c>
    </row>
    <row r="12" spans="1:22" x14ac:dyDescent="0.35">
      <c r="A12" s="15" t="s">
        <v>43</v>
      </c>
      <c r="J12">
        <f>T8*1000</f>
        <v>11114.999999999998</v>
      </c>
      <c r="K12">
        <f>U8*1000</f>
        <v>11114.999999999998</v>
      </c>
      <c r="L12">
        <f>V8*1000</f>
        <v>11114.999999999998</v>
      </c>
      <c r="M12" s="2">
        <f t="shared" si="2"/>
        <v>11114.999999999998</v>
      </c>
      <c r="N12" s="2">
        <f t="shared" si="3"/>
        <v>11114.999999999998</v>
      </c>
      <c r="O12" s="2">
        <f t="shared" si="4"/>
        <v>11114.999999999998</v>
      </c>
      <c r="S12" t="s">
        <v>57</v>
      </c>
      <c r="U12">
        <v>1.75</v>
      </c>
      <c r="V12">
        <v>2.15</v>
      </c>
    </row>
    <row r="13" spans="1:22" x14ac:dyDescent="0.35">
      <c r="A13" s="14" t="s">
        <v>54</v>
      </c>
      <c r="J13">
        <f t="shared" ref="J13:L15" si="5">T10*1000</f>
        <v>0</v>
      </c>
      <c r="K13">
        <f t="shared" si="5"/>
        <v>550</v>
      </c>
      <c r="L13">
        <f t="shared" si="5"/>
        <v>950</v>
      </c>
      <c r="M13" s="2">
        <f t="shared" si="2"/>
        <v>0</v>
      </c>
      <c r="N13" s="2">
        <f t="shared" si="3"/>
        <v>550</v>
      </c>
      <c r="O13" s="2">
        <f t="shared" si="4"/>
        <v>950</v>
      </c>
    </row>
    <row r="14" spans="1:22" x14ac:dyDescent="0.35">
      <c r="A14" s="15" t="s">
        <v>61</v>
      </c>
      <c r="J14">
        <f t="shared" si="5"/>
        <v>0</v>
      </c>
      <c r="K14">
        <f t="shared" si="5"/>
        <v>1475</v>
      </c>
      <c r="L14">
        <f t="shared" si="5"/>
        <v>1475</v>
      </c>
      <c r="M14" s="2">
        <f t="shared" si="2"/>
        <v>0</v>
      </c>
      <c r="N14" s="2">
        <f t="shared" si="3"/>
        <v>1475</v>
      </c>
      <c r="O14" s="2">
        <f t="shared" si="4"/>
        <v>1475</v>
      </c>
    </row>
    <row r="15" spans="1:22" x14ac:dyDescent="0.35">
      <c r="A15" s="14" t="s">
        <v>57</v>
      </c>
      <c r="J15">
        <f t="shared" si="5"/>
        <v>0</v>
      </c>
      <c r="K15">
        <f t="shared" si="5"/>
        <v>1750</v>
      </c>
      <c r="L15">
        <f t="shared" si="5"/>
        <v>2150</v>
      </c>
      <c r="M15" s="2">
        <f t="shared" si="2"/>
        <v>0</v>
      </c>
      <c r="N15" s="2">
        <f t="shared" si="3"/>
        <v>1750</v>
      </c>
      <c r="O15" s="2">
        <f t="shared" si="4"/>
        <v>2150</v>
      </c>
    </row>
    <row r="16" spans="1:22" ht="15" thickBot="1" x14ac:dyDescent="0.4">
      <c r="A16" s="7" t="s">
        <v>25</v>
      </c>
      <c r="B16" s="8">
        <v>4893746</v>
      </c>
      <c r="C16" s="8">
        <v>4901533</v>
      </c>
      <c r="D16" s="8">
        <v>1421006</v>
      </c>
      <c r="E16" s="8">
        <v>5750012</v>
      </c>
      <c r="F16" s="8">
        <v>5730000</v>
      </c>
      <c r="G16" s="8">
        <v>5345000</v>
      </c>
      <c r="H16" s="8"/>
      <c r="I16" s="8">
        <v>3727000</v>
      </c>
      <c r="J16">
        <f>SUM(J3:J15)</f>
        <v>10521683.256562501</v>
      </c>
      <c r="K16">
        <f t="shared" ref="K16:L16" si="6">SUM(K3:K15)</f>
        <v>10639257.539932501</v>
      </c>
      <c r="L16">
        <f t="shared" si="6"/>
        <v>12410833.858482501</v>
      </c>
    </row>
    <row r="17" spans="1:4" x14ac:dyDescent="0.35">
      <c r="A17" s="21" t="s">
        <v>98</v>
      </c>
    </row>
    <row r="18" spans="1:4" x14ac:dyDescent="0.35">
      <c r="A18" s="19" t="s">
        <v>93</v>
      </c>
      <c r="C18" s="17"/>
      <c r="D18" s="17"/>
    </row>
    <row r="19" spans="1:4" x14ac:dyDescent="0.35">
      <c r="A19" s="20" t="s">
        <v>92</v>
      </c>
    </row>
    <row r="20" spans="1:4" x14ac:dyDescent="0.35">
      <c r="A20" s="19" t="s">
        <v>91</v>
      </c>
    </row>
    <row r="21" spans="1:4" x14ac:dyDescent="0.35">
      <c r="A21" s="20" t="s">
        <v>95</v>
      </c>
    </row>
    <row r="22" spans="1:4" x14ac:dyDescent="0.35">
      <c r="A22" s="20" t="s">
        <v>96</v>
      </c>
    </row>
    <row r="23" spans="1:4" x14ac:dyDescent="0.35">
      <c r="A23" s="20" t="s">
        <v>97</v>
      </c>
    </row>
  </sheetData>
  <hyperlinks>
    <hyperlink ref="A19" r:id="rId1" display="https://doi.org/10.1065/lca2004.10.181.10" xr:uid="{EE2DD7B8-1C63-4F00-BF30-A9B3CF3EA5E2}"/>
    <hyperlink ref="A21" r:id="rId2" display="https://doi.org/10.1007/BF02978431" xr:uid="{755AD026-991F-4E79-A8B8-76EE27028215}"/>
    <hyperlink ref="A22" r:id="rId3" display="https://doi.org/10.1007/s11625-012-0196-y" xr:uid="{3005A624-441A-4752-9260-12D171985F7D}"/>
    <hyperlink ref="A23" r:id="rId4" display="https://doi.org/10.1111/jiec.12216" xr:uid="{56CACB8C-958C-437C-A682-67E00FDFD579}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0778E-BA4C-4C94-BA4E-44D3526A3F9A}">
  <dimension ref="A1:S87"/>
  <sheetViews>
    <sheetView workbookViewId="0">
      <selection activeCell="D29" sqref="D29"/>
    </sheetView>
  </sheetViews>
  <sheetFormatPr defaultRowHeight="14.5" x14ac:dyDescent="0.35"/>
  <sheetData>
    <row r="1" spans="1:19" x14ac:dyDescent="0.3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74</v>
      </c>
      <c r="H1" t="s">
        <v>75</v>
      </c>
      <c r="J1" t="s">
        <v>32</v>
      </c>
      <c r="K1" t="s">
        <v>33</v>
      </c>
      <c r="Q1" t="s">
        <v>3</v>
      </c>
      <c r="R1" t="s">
        <v>4</v>
      </c>
      <c r="S1" t="s">
        <v>5</v>
      </c>
    </row>
    <row r="2" spans="1:19" x14ac:dyDescent="0.35">
      <c r="A2" t="s">
        <v>34</v>
      </c>
      <c r="C2" t="s">
        <v>18</v>
      </c>
      <c r="D2" t="s">
        <v>35</v>
      </c>
      <c r="E2">
        <v>7392</v>
      </c>
      <c r="F2">
        <v>12320</v>
      </c>
      <c r="G2">
        <f>F2/2</f>
        <v>6160</v>
      </c>
      <c r="H2">
        <f>E2*0.47971+G2*0.52029</f>
        <v>6751.0027200000004</v>
      </c>
      <c r="J2">
        <v>9632</v>
      </c>
      <c r="K2">
        <v>14896</v>
      </c>
      <c r="L2">
        <f>K2/2</f>
        <v>7448</v>
      </c>
      <c r="M2">
        <f>J2*0.47971+L2*0.52029</f>
        <v>8495.6866399999999</v>
      </c>
      <c r="P2" t="s">
        <v>76</v>
      </c>
      <c r="Q2">
        <f>H19</f>
        <v>10011.078012</v>
      </c>
      <c r="R2">
        <f>Q2</f>
        <v>10011.078012</v>
      </c>
      <c r="S2">
        <f>M19</f>
        <v>11755.761931999999</v>
      </c>
    </row>
    <row r="3" spans="1:19" x14ac:dyDescent="0.35">
      <c r="A3" t="s">
        <v>34</v>
      </c>
      <c r="C3" t="s">
        <v>19</v>
      </c>
      <c r="D3" t="s">
        <v>35</v>
      </c>
      <c r="E3">
        <v>120.68</v>
      </c>
      <c r="F3">
        <v>241.36</v>
      </c>
      <c r="G3">
        <f t="shared" ref="G3:G17" si="0">F3/2</f>
        <v>120.68</v>
      </c>
      <c r="H3">
        <f t="shared" ref="H3:H17" si="1">E3*0.47971+G3*0.52029</f>
        <v>120.68</v>
      </c>
      <c r="J3">
        <v>120.68</v>
      </c>
      <c r="K3">
        <v>241.36</v>
      </c>
      <c r="L3">
        <f t="shared" ref="L3:L17" si="2">K3/2</f>
        <v>120.68</v>
      </c>
      <c r="M3">
        <f t="shared" ref="M3:M17" si="3">J3*0.47971+L3*0.52029</f>
        <v>120.68</v>
      </c>
      <c r="P3" t="s">
        <v>19</v>
      </c>
      <c r="Q3">
        <f t="shared" ref="Q3:Q7" si="4">H20</f>
        <v>156.79158695000001</v>
      </c>
      <c r="R3">
        <f>G73+Q3</f>
        <v>181.87394925000001</v>
      </c>
      <c r="S3">
        <f>M20+H73</f>
        <v>184.17394925000002</v>
      </c>
    </row>
    <row r="4" spans="1:19" x14ac:dyDescent="0.35">
      <c r="A4" t="s">
        <v>36</v>
      </c>
      <c r="B4" t="s">
        <v>37</v>
      </c>
      <c r="C4" t="s">
        <v>20</v>
      </c>
      <c r="D4" t="s">
        <v>56</v>
      </c>
      <c r="E4">
        <v>190</v>
      </c>
      <c r="F4">
        <v>380</v>
      </c>
      <c r="G4">
        <f t="shared" si="0"/>
        <v>190</v>
      </c>
      <c r="H4">
        <f t="shared" si="1"/>
        <v>190</v>
      </c>
      <c r="J4">
        <v>190</v>
      </c>
      <c r="K4">
        <v>380</v>
      </c>
      <c r="L4">
        <f t="shared" si="2"/>
        <v>190</v>
      </c>
      <c r="M4">
        <f t="shared" si="3"/>
        <v>190</v>
      </c>
      <c r="P4" t="s">
        <v>20</v>
      </c>
      <c r="Q4">
        <f t="shared" si="4"/>
        <v>234.65</v>
      </c>
      <c r="R4">
        <f>Q4+G72</f>
        <v>313.68288572</v>
      </c>
      <c r="S4">
        <f>M21+H72</f>
        <v>338.25288571999999</v>
      </c>
    </row>
    <row r="5" spans="1:19" x14ac:dyDescent="0.35">
      <c r="A5" t="s">
        <v>36</v>
      </c>
      <c r="B5" t="s">
        <v>37</v>
      </c>
      <c r="C5" t="s">
        <v>19</v>
      </c>
      <c r="D5" t="s">
        <v>35</v>
      </c>
      <c r="E5">
        <v>11.7</v>
      </c>
      <c r="F5">
        <v>23.3</v>
      </c>
      <c r="G5">
        <f t="shared" si="0"/>
        <v>11.65</v>
      </c>
      <c r="H5">
        <f t="shared" si="1"/>
        <v>11.673985500000001</v>
      </c>
      <c r="J5">
        <v>11.7</v>
      </c>
      <c r="K5">
        <v>23.3</v>
      </c>
      <c r="L5">
        <f t="shared" si="2"/>
        <v>11.65</v>
      </c>
      <c r="M5">
        <f t="shared" si="3"/>
        <v>11.673985500000001</v>
      </c>
      <c r="P5" t="s">
        <v>40</v>
      </c>
      <c r="Q5">
        <f t="shared" si="4"/>
        <v>1.1736576124999998</v>
      </c>
      <c r="R5">
        <f>Q5+G76</f>
        <v>5.9039541624999989</v>
      </c>
      <c r="S5">
        <f>M22+H76</f>
        <v>5.0013527124999992</v>
      </c>
    </row>
    <row r="6" spans="1:19" x14ac:dyDescent="0.35">
      <c r="A6" t="s">
        <v>36</v>
      </c>
      <c r="B6" t="s">
        <v>39</v>
      </c>
      <c r="C6" t="s">
        <v>0</v>
      </c>
      <c r="D6" t="s">
        <v>35</v>
      </c>
      <c r="E6">
        <v>7.7</v>
      </c>
      <c r="F6">
        <v>15.3</v>
      </c>
      <c r="G6">
        <f t="shared" si="0"/>
        <v>7.65</v>
      </c>
      <c r="H6">
        <f t="shared" si="1"/>
        <v>7.6739855000000006</v>
      </c>
      <c r="J6">
        <v>7.7</v>
      </c>
      <c r="K6">
        <v>15.3</v>
      </c>
      <c r="L6">
        <f t="shared" si="2"/>
        <v>7.65</v>
      </c>
      <c r="M6">
        <f t="shared" si="3"/>
        <v>7.6739855000000006</v>
      </c>
      <c r="P6" t="s">
        <v>21</v>
      </c>
      <c r="Q6">
        <f t="shared" si="4"/>
        <v>106.875</v>
      </c>
      <c r="R6">
        <f>Q6</f>
        <v>106.875</v>
      </c>
      <c r="S6">
        <f t="shared" ref="S6:S7" si="5">M23</f>
        <v>106.875</v>
      </c>
    </row>
    <row r="7" spans="1:19" x14ac:dyDescent="0.35">
      <c r="A7" t="s">
        <v>36</v>
      </c>
      <c r="B7" t="s">
        <v>39</v>
      </c>
      <c r="C7" t="s">
        <v>40</v>
      </c>
      <c r="D7" t="s">
        <v>35</v>
      </c>
      <c r="E7">
        <v>2</v>
      </c>
      <c r="F7">
        <v>4</v>
      </c>
      <c r="G7">
        <f t="shared" si="0"/>
        <v>2</v>
      </c>
      <c r="H7">
        <f t="shared" si="1"/>
        <v>2</v>
      </c>
      <c r="J7">
        <v>2</v>
      </c>
      <c r="K7">
        <v>4</v>
      </c>
      <c r="L7">
        <f t="shared" si="2"/>
        <v>2</v>
      </c>
      <c r="M7">
        <f t="shared" si="3"/>
        <v>2</v>
      </c>
      <c r="P7" t="s">
        <v>43</v>
      </c>
      <c r="Q7">
        <f t="shared" si="4"/>
        <v>11.114999999999998</v>
      </c>
      <c r="R7">
        <f>Q7</f>
        <v>11.114999999999998</v>
      </c>
      <c r="S7">
        <f t="shared" si="5"/>
        <v>11.114999999999998</v>
      </c>
    </row>
    <row r="8" spans="1:19" x14ac:dyDescent="0.35">
      <c r="A8" t="s">
        <v>36</v>
      </c>
      <c r="B8" t="s">
        <v>41</v>
      </c>
      <c r="C8" t="s">
        <v>18</v>
      </c>
      <c r="D8" t="s">
        <v>35</v>
      </c>
      <c r="E8">
        <v>3573</v>
      </c>
      <c r="F8">
        <v>7099</v>
      </c>
      <c r="G8">
        <f t="shared" si="0"/>
        <v>3549.5</v>
      </c>
      <c r="H8">
        <f t="shared" si="1"/>
        <v>3560.773185</v>
      </c>
      <c r="J8">
        <v>3573</v>
      </c>
      <c r="K8">
        <v>7099</v>
      </c>
      <c r="L8">
        <f t="shared" si="2"/>
        <v>3549.5</v>
      </c>
      <c r="M8">
        <f t="shared" si="3"/>
        <v>3560.773185</v>
      </c>
      <c r="P8" s="1" t="s">
        <v>22</v>
      </c>
      <c r="R8">
        <f>G70</f>
        <v>4.9537388</v>
      </c>
      <c r="S8">
        <f>H70</f>
        <v>5.0787388</v>
      </c>
    </row>
    <row r="9" spans="1:19" x14ac:dyDescent="0.35">
      <c r="A9" t="s">
        <v>42</v>
      </c>
      <c r="B9" t="s">
        <v>37</v>
      </c>
      <c r="C9" t="s">
        <v>21</v>
      </c>
      <c r="D9" t="s">
        <v>38</v>
      </c>
      <c r="E9">
        <v>375</v>
      </c>
      <c r="F9">
        <v>750</v>
      </c>
      <c r="G9">
        <f t="shared" si="0"/>
        <v>375</v>
      </c>
      <c r="H9">
        <f t="shared" si="1"/>
        <v>375</v>
      </c>
      <c r="J9">
        <v>375</v>
      </c>
      <c r="K9">
        <v>750</v>
      </c>
      <c r="L9">
        <f t="shared" si="2"/>
        <v>375</v>
      </c>
      <c r="M9">
        <f t="shared" si="3"/>
        <v>375</v>
      </c>
      <c r="P9" t="s">
        <v>54</v>
      </c>
      <c r="R9">
        <f>G71</f>
        <v>0.55000000000000004</v>
      </c>
      <c r="S9">
        <f>H71</f>
        <v>0.95</v>
      </c>
    </row>
    <row r="10" spans="1:19" x14ac:dyDescent="0.35">
      <c r="A10" t="s">
        <v>42</v>
      </c>
      <c r="B10" t="s">
        <v>37</v>
      </c>
      <c r="C10" t="s">
        <v>43</v>
      </c>
      <c r="D10" t="s">
        <v>35</v>
      </c>
      <c r="E10">
        <v>23.4</v>
      </c>
      <c r="F10">
        <v>46.8</v>
      </c>
      <c r="G10">
        <f t="shared" si="0"/>
        <v>23.4</v>
      </c>
      <c r="H10">
        <f t="shared" si="1"/>
        <v>23.4</v>
      </c>
      <c r="J10">
        <v>23.4</v>
      </c>
      <c r="K10">
        <v>46.8</v>
      </c>
      <c r="L10">
        <f t="shared" si="2"/>
        <v>23.4</v>
      </c>
      <c r="M10">
        <f t="shared" si="3"/>
        <v>23.4</v>
      </c>
      <c r="P10" t="s">
        <v>61</v>
      </c>
      <c r="R10">
        <f>G75</f>
        <v>1.4750000000000001</v>
      </c>
      <c r="S10">
        <f>H75</f>
        <v>1.4750000000000001</v>
      </c>
    </row>
    <row r="11" spans="1:19" x14ac:dyDescent="0.35">
      <c r="A11" t="s">
        <v>42</v>
      </c>
      <c r="B11" t="s">
        <v>39</v>
      </c>
      <c r="C11" t="s">
        <v>19</v>
      </c>
      <c r="D11" t="s">
        <v>35</v>
      </c>
      <c r="E11">
        <v>43.2</v>
      </c>
      <c r="F11">
        <v>86.4</v>
      </c>
      <c r="G11">
        <f t="shared" si="0"/>
        <v>43.2</v>
      </c>
      <c r="H11">
        <f t="shared" si="1"/>
        <v>43.2</v>
      </c>
      <c r="J11">
        <v>43.2</v>
      </c>
      <c r="K11">
        <v>86.4</v>
      </c>
      <c r="L11">
        <f t="shared" si="2"/>
        <v>43.2</v>
      </c>
      <c r="M11">
        <f t="shared" si="3"/>
        <v>43.2</v>
      </c>
      <c r="P11" t="s">
        <v>57</v>
      </c>
      <c r="R11">
        <f>G74</f>
        <v>1.75</v>
      </c>
      <c r="S11">
        <f>H74</f>
        <v>2.15</v>
      </c>
    </row>
    <row r="12" spans="1:19" x14ac:dyDescent="0.35">
      <c r="A12" t="s">
        <v>42</v>
      </c>
      <c r="B12" t="s">
        <v>39</v>
      </c>
      <c r="C12" t="s">
        <v>40</v>
      </c>
      <c r="D12" t="s">
        <v>35</v>
      </c>
      <c r="E12">
        <v>0.4</v>
      </c>
      <c r="F12">
        <v>0.9</v>
      </c>
      <c r="G12">
        <f t="shared" si="0"/>
        <v>0.45</v>
      </c>
      <c r="H12">
        <f t="shared" si="1"/>
        <v>0.42601450000000007</v>
      </c>
      <c r="J12">
        <v>0.4</v>
      </c>
      <c r="K12">
        <v>0.9</v>
      </c>
      <c r="L12">
        <f t="shared" si="2"/>
        <v>0.45</v>
      </c>
      <c r="M12">
        <f t="shared" si="3"/>
        <v>0.42601450000000007</v>
      </c>
    </row>
    <row r="13" spans="1:19" x14ac:dyDescent="0.35">
      <c r="A13" t="s">
        <v>42</v>
      </c>
      <c r="B13" t="s">
        <v>41</v>
      </c>
      <c r="C13" t="s">
        <v>18</v>
      </c>
      <c r="D13" t="s">
        <v>35</v>
      </c>
      <c r="E13">
        <v>3030</v>
      </c>
      <c r="F13">
        <v>6141</v>
      </c>
      <c r="G13">
        <f t="shared" si="0"/>
        <v>3070.5</v>
      </c>
      <c r="H13">
        <f t="shared" si="1"/>
        <v>3051.0717450000002</v>
      </c>
      <c r="J13">
        <v>3030</v>
      </c>
      <c r="K13">
        <v>6141</v>
      </c>
      <c r="L13">
        <f t="shared" si="2"/>
        <v>3070.5</v>
      </c>
      <c r="M13">
        <f t="shared" si="3"/>
        <v>3051.0717450000002</v>
      </c>
    </row>
    <row r="14" spans="1:19" x14ac:dyDescent="0.35">
      <c r="A14" t="s">
        <v>44</v>
      </c>
      <c r="B14" t="s">
        <v>37</v>
      </c>
      <c r="C14" t="s">
        <v>19</v>
      </c>
      <c r="D14" t="s">
        <v>35</v>
      </c>
      <c r="E14">
        <v>118.9</v>
      </c>
      <c r="F14">
        <v>237.8</v>
      </c>
      <c r="G14">
        <f t="shared" si="0"/>
        <v>118.9</v>
      </c>
      <c r="H14">
        <f t="shared" si="1"/>
        <v>118.9</v>
      </c>
      <c r="J14">
        <v>118.9</v>
      </c>
      <c r="K14">
        <v>237.8</v>
      </c>
      <c r="L14">
        <f t="shared" si="2"/>
        <v>118.9</v>
      </c>
      <c r="M14">
        <f t="shared" si="3"/>
        <v>118.9</v>
      </c>
    </row>
    <row r="15" spans="1:19" x14ac:dyDescent="0.35">
      <c r="A15" t="s">
        <v>44</v>
      </c>
      <c r="B15" t="s">
        <v>39</v>
      </c>
      <c r="C15" t="s">
        <v>19</v>
      </c>
      <c r="D15" t="s">
        <v>35</v>
      </c>
      <c r="E15">
        <v>9.1</v>
      </c>
      <c r="F15">
        <v>18.3</v>
      </c>
      <c r="G15">
        <f t="shared" si="0"/>
        <v>9.15</v>
      </c>
      <c r="H15">
        <f t="shared" si="1"/>
        <v>9.1260145000000001</v>
      </c>
      <c r="J15">
        <v>9.1</v>
      </c>
      <c r="K15">
        <v>18.3</v>
      </c>
      <c r="L15">
        <f t="shared" si="2"/>
        <v>9.15</v>
      </c>
      <c r="M15">
        <f t="shared" si="3"/>
        <v>9.1260145000000001</v>
      </c>
    </row>
    <row r="16" spans="1:19" x14ac:dyDescent="0.35">
      <c r="A16" t="s">
        <v>44</v>
      </c>
      <c r="B16" t="s">
        <v>39</v>
      </c>
      <c r="C16" t="s">
        <v>40</v>
      </c>
      <c r="D16" t="s">
        <v>35</v>
      </c>
      <c r="E16">
        <v>0.4</v>
      </c>
      <c r="F16">
        <v>0.9</v>
      </c>
      <c r="G16">
        <f t="shared" si="0"/>
        <v>0.45</v>
      </c>
      <c r="H16">
        <f t="shared" si="1"/>
        <v>0.42601450000000007</v>
      </c>
      <c r="J16">
        <v>0.4</v>
      </c>
      <c r="K16">
        <v>0.9</v>
      </c>
      <c r="L16">
        <f t="shared" si="2"/>
        <v>0.45</v>
      </c>
      <c r="M16">
        <f t="shared" si="3"/>
        <v>0.42601450000000007</v>
      </c>
    </row>
    <row r="17" spans="1:13" x14ac:dyDescent="0.35">
      <c r="A17" t="s">
        <v>44</v>
      </c>
      <c r="B17" t="s">
        <v>41</v>
      </c>
      <c r="C17" t="s">
        <v>18</v>
      </c>
      <c r="D17" t="s">
        <v>35</v>
      </c>
      <c r="E17">
        <v>2319</v>
      </c>
      <c r="F17">
        <v>4907</v>
      </c>
      <c r="G17">
        <f t="shared" si="0"/>
        <v>2453.5</v>
      </c>
      <c r="H17">
        <f t="shared" si="1"/>
        <v>2388.9790050000001</v>
      </c>
      <c r="J17">
        <v>2319</v>
      </c>
      <c r="K17">
        <v>4907</v>
      </c>
      <c r="L17">
        <f t="shared" si="2"/>
        <v>2453.5</v>
      </c>
      <c r="M17">
        <f t="shared" si="3"/>
        <v>2388.9790050000001</v>
      </c>
    </row>
    <row r="19" spans="1:13" x14ac:dyDescent="0.35">
      <c r="A19" t="s">
        <v>25</v>
      </c>
      <c r="C19" t="s">
        <v>76</v>
      </c>
      <c r="D19" t="s">
        <v>35</v>
      </c>
      <c r="H19">
        <f>H2+H8*0.475+H13*0.475+H17*0.05</f>
        <v>10011.078012</v>
      </c>
      <c r="M19">
        <f t="shared" ref="M19" si="6">M2+M8*0.475+M13*0.475+M17*0.05</f>
        <v>11755.761931999999</v>
      </c>
    </row>
    <row r="20" spans="1:13" x14ac:dyDescent="0.35">
      <c r="A20" t="s">
        <v>25</v>
      </c>
      <c r="C20" t="s">
        <v>19</v>
      </c>
      <c r="D20" t="s">
        <v>35</v>
      </c>
      <c r="H20">
        <f>H3+H5*0.475+H6*0.475+H11*0.475+H14*0.05+H15*0.05</f>
        <v>156.79158695000001</v>
      </c>
      <c r="M20">
        <f t="shared" ref="M20" si="7">M3+M5*0.475+M6*0.475+M11*0.475+M14*0.05+M15*0.05</f>
        <v>156.79158695000001</v>
      </c>
    </row>
    <row r="21" spans="1:13" x14ac:dyDescent="0.35">
      <c r="A21" t="s">
        <v>25</v>
      </c>
      <c r="C21" t="s">
        <v>20</v>
      </c>
      <c r="D21" t="s">
        <v>35</v>
      </c>
      <c r="H21">
        <f>H4*0.475*2.6</f>
        <v>234.65</v>
      </c>
      <c r="M21">
        <f t="shared" ref="M21" si="8">M4*0.475*2.6</f>
        <v>234.65</v>
      </c>
    </row>
    <row r="22" spans="1:13" x14ac:dyDescent="0.35">
      <c r="A22" t="s">
        <v>25</v>
      </c>
      <c r="C22" t="s">
        <v>40</v>
      </c>
      <c r="D22" t="s">
        <v>35</v>
      </c>
      <c r="H22">
        <f>H7*0.475+H12*0.475+H16*0.05</f>
        <v>1.1736576124999998</v>
      </c>
      <c r="M22">
        <f t="shared" ref="M22" si="9">M7*0.475+M12*0.475+M16*0.05</f>
        <v>1.1736576124999998</v>
      </c>
    </row>
    <row r="23" spans="1:13" x14ac:dyDescent="0.35">
      <c r="A23" t="s">
        <v>25</v>
      </c>
      <c r="C23" t="s">
        <v>21</v>
      </c>
      <c r="D23" t="s">
        <v>35</v>
      </c>
      <c r="H23">
        <f>H9*0.475*0.6</f>
        <v>106.875</v>
      </c>
      <c r="M23">
        <f t="shared" ref="M23" si="10">M9*0.475*0.6</f>
        <v>106.875</v>
      </c>
    </row>
    <row r="24" spans="1:13" x14ac:dyDescent="0.35">
      <c r="A24" t="s">
        <v>25</v>
      </c>
      <c r="C24" t="s">
        <v>43</v>
      </c>
      <c r="D24" t="s">
        <v>35</v>
      </c>
      <c r="H24">
        <f>H10*0.475</f>
        <v>11.114999999999998</v>
      </c>
      <c r="M24">
        <f t="shared" ref="M24" si="11">M10*0.475</f>
        <v>11.114999999999998</v>
      </c>
    </row>
    <row r="29" spans="1:13" x14ac:dyDescent="0.35">
      <c r="A29" t="s">
        <v>45</v>
      </c>
      <c r="B29" t="s">
        <v>28</v>
      </c>
    </row>
    <row r="30" spans="1:13" x14ac:dyDescent="0.35">
      <c r="A30" t="s">
        <v>45</v>
      </c>
      <c r="B30" t="s">
        <v>20</v>
      </c>
      <c r="C30" t="s">
        <v>46</v>
      </c>
      <c r="D30">
        <v>31.633333333333333</v>
      </c>
    </row>
    <row r="31" spans="1:13" x14ac:dyDescent="0.35">
      <c r="A31" t="s">
        <v>45</v>
      </c>
      <c r="B31" t="s">
        <v>19</v>
      </c>
      <c r="C31" t="s">
        <v>47</v>
      </c>
      <c r="D31">
        <v>4.2233333333333345</v>
      </c>
    </row>
    <row r="32" spans="1:13" x14ac:dyDescent="0.35">
      <c r="A32" t="s">
        <v>45</v>
      </c>
      <c r="B32" t="s">
        <v>20</v>
      </c>
      <c r="C32" t="s">
        <v>47</v>
      </c>
      <c r="D32">
        <v>82.24666666666667</v>
      </c>
    </row>
    <row r="34" spans="1:8" x14ac:dyDescent="0.35">
      <c r="A34" t="s">
        <v>48</v>
      </c>
      <c r="B34" t="s">
        <v>28</v>
      </c>
    </row>
    <row r="35" spans="1:8" x14ac:dyDescent="0.35">
      <c r="A35" t="s">
        <v>48</v>
      </c>
      <c r="B35" t="s">
        <v>20</v>
      </c>
      <c r="C35" t="s">
        <v>46</v>
      </c>
      <c r="D35">
        <v>42.410526315789468</v>
      </c>
    </row>
    <row r="36" spans="1:8" x14ac:dyDescent="0.35">
      <c r="A36" t="s">
        <v>48</v>
      </c>
      <c r="B36" t="s">
        <v>20</v>
      </c>
      <c r="C36" t="s">
        <v>47</v>
      </c>
      <c r="D36">
        <v>110.26736842105262</v>
      </c>
    </row>
    <row r="37" spans="1:8" x14ac:dyDescent="0.35">
      <c r="A37" t="s">
        <v>48</v>
      </c>
      <c r="B37" t="s">
        <v>19</v>
      </c>
      <c r="C37" t="s">
        <v>47</v>
      </c>
      <c r="D37">
        <v>3.2428571428571429</v>
      </c>
    </row>
    <row r="39" spans="1:8" x14ac:dyDescent="0.35">
      <c r="A39" t="s">
        <v>49</v>
      </c>
    </row>
    <row r="40" spans="1:8" x14ac:dyDescent="0.35">
      <c r="B40" t="s">
        <v>28</v>
      </c>
      <c r="C40" t="s">
        <v>50</v>
      </c>
      <c r="D40" t="s">
        <v>51</v>
      </c>
      <c r="E40" t="s">
        <v>52</v>
      </c>
    </row>
    <row r="41" spans="1:8" x14ac:dyDescent="0.35">
      <c r="A41" t="s">
        <v>53</v>
      </c>
      <c r="B41" t="s">
        <v>22</v>
      </c>
      <c r="C41" t="s">
        <v>35</v>
      </c>
      <c r="D41">
        <v>1.8</v>
      </c>
      <c r="E41">
        <v>2.0499999999999998</v>
      </c>
      <c r="G41">
        <f>D41/2</f>
        <v>0.9</v>
      </c>
      <c r="H41">
        <f>E41/2</f>
        <v>1.0249999999999999</v>
      </c>
    </row>
    <row r="42" spans="1:8" x14ac:dyDescent="0.35">
      <c r="A42" t="s">
        <v>53</v>
      </c>
      <c r="B42" t="s">
        <v>54</v>
      </c>
      <c r="C42" t="s">
        <v>35</v>
      </c>
      <c r="D42">
        <v>1.1000000000000001</v>
      </c>
      <c r="E42">
        <v>1.9</v>
      </c>
      <c r="G42">
        <f t="shared" ref="G42:G55" si="12">D42/2</f>
        <v>0.55000000000000004</v>
      </c>
      <c r="H42">
        <f t="shared" ref="H42:H55" si="13">E42/2</f>
        <v>0.95</v>
      </c>
    </row>
    <row r="43" spans="1:8" x14ac:dyDescent="0.35">
      <c r="A43" t="s">
        <v>55</v>
      </c>
      <c r="B43" t="s">
        <v>20</v>
      </c>
      <c r="C43" t="s">
        <v>56</v>
      </c>
      <c r="E43">
        <v>38.200000000000003</v>
      </c>
      <c r="G43">
        <f t="shared" si="12"/>
        <v>0</v>
      </c>
      <c r="H43">
        <f t="shared" si="13"/>
        <v>19.100000000000001</v>
      </c>
    </row>
    <row r="44" spans="1:8" x14ac:dyDescent="0.35">
      <c r="A44" t="s">
        <v>55</v>
      </c>
      <c r="B44" t="s">
        <v>19</v>
      </c>
      <c r="C44" t="s">
        <v>35</v>
      </c>
      <c r="E44">
        <v>51</v>
      </c>
      <c r="G44">
        <f t="shared" si="12"/>
        <v>0</v>
      </c>
      <c r="H44">
        <f t="shared" si="13"/>
        <v>25.5</v>
      </c>
    </row>
    <row r="45" spans="1:8" x14ac:dyDescent="0.35">
      <c r="A45" t="s">
        <v>55</v>
      </c>
      <c r="B45" t="s">
        <v>57</v>
      </c>
      <c r="C45" t="s">
        <v>35</v>
      </c>
      <c r="E45">
        <v>4.3</v>
      </c>
      <c r="G45">
        <f t="shared" si="12"/>
        <v>0</v>
      </c>
      <c r="H45">
        <f t="shared" si="13"/>
        <v>2.15</v>
      </c>
    </row>
    <row r="46" spans="1:8" x14ac:dyDescent="0.35">
      <c r="A46" t="s">
        <v>58</v>
      </c>
      <c r="B46" t="s">
        <v>20</v>
      </c>
      <c r="C46" t="s">
        <v>56</v>
      </c>
      <c r="D46">
        <v>31.1</v>
      </c>
      <c r="G46">
        <f t="shared" si="12"/>
        <v>15.55</v>
      </c>
      <c r="H46">
        <f t="shared" si="13"/>
        <v>0</v>
      </c>
    </row>
    <row r="47" spans="1:8" x14ac:dyDescent="0.35">
      <c r="A47" t="s">
        <v>58</v>
      </c>
      <c r="B47" t="s">
        <v>19</v>
      </c>
      <c r="C47" t="s">
        <v>35</v>
      </c>
      <c r="D47">
        <v>41.4</v>
      </c>
      <c r="G47">
        <f t="shared" si="12"/>
        <v>20.7</v>
      </c>
      <c r="H47">
        <f t="shared" si="13"/>
        <v>0</v>
      </c>
    </row>
    <row r="48" spans="1:8" x14ac:dyDescent="0.35">
      <c r="A48" t="s">
        <v>58</v>
      </c>
      <c r="B48" t="s">
        <v>57</v>
      </c>
      <c r="C48" t="s">
        <v>35</v>
      </c>
      <c r="D48">
        <v>3.5</v>
      </c>
      <c r="G48">
        <f t="shared" si="12"/>
        <v>1.75</v>
      </c>
      <c r="H48">
        <f t="shared" si="13"/>
        <v>0</v>
      </c>
    </row>
    <row r="49" spans="1:8" x14ac:dyDescent="0.35">
      <c r="A49" t="s">
        <v>59</v>
      </c>
      <c r="B49" t="s">
        <v>20</v>
      </c>
      <c r="C49" t="s">
        <v>56</v>
      </c>
      <c r="D49">
        <v>7.5</v>
      </c>
      <c r="G49">
        <f t="shared" si="12"/>
        <v>3.75</v>
      </c>
      <c r="H49">
        <f t="shared" si="13"/>
        <v>0</v>
      </c>
    </row>
    <row r="50" spans="1:8" x14ac:dyDescent="0.35">
      <c r="A50" t="s">
        <v>59</v>
      </c>
      <c r="B50" t="s">
        <v>19</v>
      </c>
      <c r="C50" t="s">
        <v>35</v>
      </c>
      <c r="D50">
        <v>51.400000000000006</v>
      </c>
      <c r="G50">
        <f t="shared" si="12"/>
        <v>25.700000000000003</v>
      </c>
      <c r="H50">
        <f t="shared" si="13"/>
        <v>0</v>
      </c>
    </row>
    <row r="51" spans="1:8" x14ac:dyDescent="0.35">
      <c r="A51" t="s">
        <v>59</v>
      </c>
      <c r="B51" t="s">
        <v>57</v>
      </c>
      <c r="C51" t="s">
        <v>35</v>
      </c>
      <c r="D51">
        <v>3.5</v>
      </c>
      <c r="G51">
        <f t="shared" si="12"/>
        <v>1.75</v>
      </c>
      <c r="H51">
        <f t="shared" si="13"/>
        <v>0</v>
      </c>
    </row>
    <row r="52" spans="1:8" x14ac:dyDescent="0.35">
      <c r="A52" t="s">
        <v>60</v>
      </c>
      <c r="B52" t="s">
        <v>19</v>
      </c>
      <c r="C52" t="s">
        <v>35</v>
      </c>
      <c r="D52">
        <v>1.18</v>
      </c>
      <c r="E52">
        <v>1.18</v>
      </c>
      <c r="G52">
        <f t="shared" si="12"/>
        <v>0.59</v>
      </c>
      <c r="H52">
        <f t="shared" si="13"/>
        <v>0.59</v>
      </c>
    </row>
    <row r="53" spans="1:8" x14ac:dyDescent="0.35">
      <c r="A53" t="s">
        <v>60</v>
      </c>
      <c r="B53" t="s">
        <v>22</v>
      </c>
      <c r="C53" t="s">
        <v>35</v>
      </c>
      <c r="D53">
        <v>0.72</v>
      </c>
      <c r="E53">
        <v>0.72</v>
      </c>
      <c r="G53">
        <f t="shared" si="12"/>
        <v>0.36</v>
      </c>
      <c r="H53">
        <f t="shared" si="13"/>
        <v>0.36</v>
      </c>
    </row>
    <row r="54" spans="1:8" x14ac:dyDescent="0.35">
      <c r="A54" t="s">
        <v>60</v>
      </c>
      <c r="B54" t="s">
        <v>61</v>
      </c>
      <c r="C54" t="s">
        <v>35</v>
      </c>
      <c r="D54">
        <v>2.95</v>
      </c>
      <c r="E54">
        <v>2.95</v>
      </c>
      <c r="G54">
        <f t="shared" si="12"/>
        <v>1.4750000000000001</v>
      </c>
      <c r="H54">
        <f t="shared" si="13"/>
        <v>1.4750000000000001</v>
      </c>
    </row>
    <row r="55" spans="1:8" x14ac:dyDescent="0.35">
      <c r="A55" t="s">
        <v>60</v>
      </c>
      <c r="B55" t="s">
        <v>20</v>
      </c>
      <c r="C55" t="s">
        <v>35</v>
      </c>
      <c r="D55">
        <v>0.26</v>
      </c>
      <c r="E55">
        <v>0.26</v>
      </c>
      <c r="G55">
        <f t="shared" si="12"/>
        <v>0.13</v>
      </c>
      <c r="H55">
        <f t="shared" si="13"/>
        <v>0.13</v>
      </c>
    </row>
    <row r="57" spans="1:8" x14ac:dyDescent="0.35">
      <c r="A57" t="s">
        <v>62</v>
      </c>
      <c r="C57" t="s">
        <v>50</v>
      </c>
      <c r="D57" t="s">
        <v>30</v>
      </c>
      <c r="E57" t="s">
        <v>31</v>
      </c>
    </row>
    <row r="58" spans="1:8" x14ac:dyDescent="0.35">
      <c r="A58" t="s">
        <v>63</v>
      </c>
      <c r="B58" t="s">
        <v>20</v>
      </c>
      <c r="C58" t="s">
        <v>56</v>
      </c>
      <c r="D58">
        <v>0.42</v>
      </c>
      <c r="E58">
        <v>0.7</v>
      </c>
      <c r="F58">
        <f>E58/2</f>
        <v>0.35</v>
      </c>
      <c r="G58">
        <f>D58*0.47971+F58*0.52029</f>
        <v>0.38357969999999997</v>
      </c>
    </row>
    <row r="59" spans="1:8" x14ac:dyDescent="0.35">
      <c r="A59" t="s">
        <v>63</v>
      </c>
      <c r="B59" t="s">
        <v>19</v>
      </c>
      <c r="C59" t="s">
        <v>35</v>
      </c>
      <c r="D59">
        <v>0.8</v>
      </c>
      <c r="E59">
        <v>1.34</v>
      </c>
      <c r="F59">
        <f t="shared" ref="F59:F64" si="14">E59/2</f>
        <v>0.67</v>
      </c>
      <c r="G59">
        <f t="shared" ref="G59:G64" si="15">D59*0.47971+F59*0.52029</f>
        <v>0.73236230000000013</v>
      </c>
    </row>
    <row r="60" spans="1:8" x14ac:dyDescent="0.35">
      <c r="A60" t="s">
        <v>64</v>
      </c>
      <c r="B60" t="s">
        <v>22</v>
      </c>
      <c r="C60" t="s">
        <v>35</v>
      </c>
      <c r="D60">
        <v>3.46</v>
      </c>
      <c r="E60">
        <v>2.35</v>
      </c>
      <c r="F60">
        <f t="shared" si="14"/>
        <v>1.175</v>
      </c>
      <c r="G60">
        <f t="shared" si="15"/>
        <v>2.2711373500000001</v>
      </c>
    </row>
    <row r="61" spans="1:8" x14ac:dyDescent="0.35">
      <c r="A61" t="s">
        <v>64</v>
      </c>
      <c r="B61" t="s">
        <v>40</v>
      </c>
      <c r="C61" t="s">
        <v>35</v>
      </c>
      <c r="D61">
        <v>5.77</v>
      </c>
      <c r="E61">
        <v>3.92</v>
      </c>
      <c r="F61">
        <f t="shared" si="14"/>
        <v>1.96</v>
      </c>
      <c r="G61">
        <f t="shared" si="15"/>
        <v>3.7876950999999996</v>
      </c>
    </row>
    <row r="62" spans="1:8" x14ac:dyDescent="0.35">
      <c r="A62" t="s">
        <v>65</v>
      </c>
      <c r="B62" t="s">
        <v>20</v>
      </c>
      <c r="C62" t="s">
        <v>35</v>
      </c>
      <c r="D62">
        <v>50</v>
      </c>
      <c r="E62">
        <v>83.3</v>
      </c>
      <c r="F62">
        <f t="shared" si="14"/>
        <v>41.65</v>
      </c>
      <c r="G62">
        <f t="shared" si="15"/>
        <v>45.655578500000004</v>
      </c>
    </row>
    <row r="63" spans="1:8" x14ac:dyDescent="0.35">
      <c r="A63" t="s">
        <v>66</v>
      </c>
      <c r="B63" t="s">
        <v>22</v>
      </c>
      <c r="C63" t="s">
        <v>35</v>
      </c>
      <c r="D63">
        <v>1.39</v>
      </c>
      <c r="E63">
        <v>2.79</v>
      </c>
      <c r="F63">
        <f t="shared" si="14"/>
        <v>1.395</v>
      </c>
      <c r="G63">
        <f t="shared" si="15"/>
        <v>1.3926014500000001</v>
      </c>
    </row>
    <row r="64" spans="1:8" x14ac:dyDescent="0.35">
      <c r="A64" t="s">
        <v>66</v>
      </c>
      <c r="B64" t="s">
        <v>40</v>
      </c>
      <c r="C64" t="s">
        <v>35</v>
      </c>
      <c r="D64">
        <v>0.94</v>
      </c>
      <c r="E64">
        <v>1.89</v>
      </c>
      <c r="F64">
        <f t="shared" si="14"/>
        <v>0.94499999999999995</v>
      </c>
      <c r="G64">
        <f t="shared" si="15"/>
        <v>0.94260144999999995</v>
      </c>
    </row>
    <row r="65" spans="1:8" x14ac:dyDescent="0.35">
      <c r="A65" t="s">
        <v>67</v>
      </c>
      <c r="B65" t="s">
        <v>20</v>
      </c>
      <c r="C65" t="s">
        <v>35</v>
      </c>
      <c r="D65">
        <v>7.16</v>
      </c>
      <c r="G65">
        <f>D65</f>
        <v>7.16</v>
      </c>
    </row>
    <row r="66" spans="1:8" x14ac:dyDescent="0.35">
      <c r="A66" t="s">
        <v>67</v>
      </c>
      <c r="B66" t="s">
        <v>19</v>
      </c>
      <c r="C66" t="s">
        <v>35</v>
      </c>
      <c r="D66">
        <v>0.56000000000000005</v>
      </c>
      <c r="G66">
        <f t="shared" ref="G66:G68" si="16">D66</f>
        <v>0.56000000000000005</v>
      </c>
    </row>
    <row r="67" spans="1:8" x14ac:dyDescent="0.35">
      <c r="A67" t="s">
        <v>67</v>
      </c>
      <c r="B67" t="s">
        <v>22</v>
      </c>
      <c r="C67" t="s">
        <v>35</v>
      </c>
      <c r="D67">
        <v>0.03</v>
      </c>
      <c r="G67">
        <f t="shared" si="16"/>
        <v>0.03</v>
      </c>
    </row>
    <row r="68" spans="1:8" x14ac:dyDescent="0.35">
      <c r="A68" t="s">
        <v>67</v>
      </c>
      <c r="B68" t="s">
        <v>40</v>
      </c>
      <c r="C68" t="s">
        <v>35</v>
      </c>
      <c r="D68">
        <v>0.04</v>
      </c>
      <c r="G68">
        <f t="shared" si="16"/>
        <v>0.04</v>
      </c>
    </row>
    <row r="70" spans="1:8" x14ac:dyDescent="0.35">
      <c r="A70" t="s">
        <v>25</v>
      </c>
      <c r="C70" t="s">
        <v>22</v>
      </c>
      <c r="D70" t="s">
        <v>35</v>
      </c>
      <c r="G70">
        <f>G41+G53+G60+G63+G67</f>
        <v>4.9537388</v>
      </c>
      <c r="H70">
        <f>H41+H53+G60+G63+G67</f>
        <v>5.0787388</v>
      </c>
    </row>
    <row r="71" spans="1:8" x14ac:dyDescent="0.35">
      <c r="A71" t="s">
        <v>25</v>
      </c>
      <c r="C71" t="s">
        <v>54</v>
      </c>
      <c r="D71" t="s">
        <v>35</v>
      </c>
      <c r="G71">
        <f>G42</f>
        <v>0.55000000000000004</v>
      </c>
      <c r="H71">
        <f>H42</f>
        <v>0.95</v>
      </c>
    </row>
    <row r="72" spans="1:8" x14ac:dyDescent="0.35">
      <c r="A72" t="s">
        <v>25</v>
      </c>
      <c r="C72" t="s">
        <v>20</v>
      </c>
      <c r="D72" t="s">
        <v>35</v>
      </c>
      <c r="G72">
        <f>((((G46+G49)/2)+G58)*2.6)+G55+G62+G65</f>
        <v>79.032885719999996</v>
      </c>
      <c r="H72">
        <f>H43*2.6+H55+G58*2.6+G62+G65</f>
        <v>103.60288572000002</v>
      </c>
    </row>
    <row r="73" spans="1:8" x14ac:dyDescent="0.35">
      <c r="A73" t="s">
        <v>25</v>
      </c>
      <c r="C73" t="s">
        <v>19</v>
      </c>
      <c r="D73" t="s">
        <v>35</v>
      </c>
      <c r="G73">
        <f>((G47+G50)/2)+G52+G59+G66</f>
        <v>25.082362300000003</v>
      </c>
      <c r="H73">
        <f>H44+H52+G59+G66</f>
        <v>27.3823623</v>
      </c>
    </row>
    <row r="74" spans="1:8" x14ac:dyDescent="0.35">
      <c r="A74" t="s">
        <v>25</v>
      </c>
      <c r="C74" t="s">
        <v>57</v>
      </c>
      <c r="D74" t="s">
        <v>35</v>
      </c>
      <c r="G74">
        <f>((G48+G51)/2)</f>
        <v>1.75</v>
      </c>
      <c r="H74">
        <f>H45</f>
        <v>2.15</v>
      </c>
    </row>
    <row r="75" spans="1:8" x14ac:dyDescent="0.35">
      <c r="A75" t="s">
        <v>25</v>
      </c>
      <c r="C75" t="s">
        <v>61</v>
      </c>
      <c r="D75" t="s">
        <v>35</v>
      </c>
      <c r="G75">
        <f>G54</f>
        <v>1.4750000000000001</v>
      </c>
      <c r="H75">
        <f>H54</f>
        <v>1.4750000000000001</v>
      </c>
    </row>
    <row r="76" spans="1:8" x14ac:dyDescent="0.35">
      <c r="A76" t="s">
        <v>25</v>
      </c>
      <c r="C76" t="s">
        <v>40</v>
      </c>
      <c r="D76" t="s">
        <v>35</v>
      </c>
      <c r="G76">
        <f>G61+G64</f>
        <v>4.7302965499999994</v>
      </c>
      <c r="H76">
        <f>G61+G68</f>
        <v>3.8276950999999997</v>
      </c>
    </row>
    <row r="79" spans="1:8" x14ac:dyDescent="0.35">
      <c r="A79" t="s">
        <v>68</v>
      </c>
      <c r="B79" t="s">
        <v>28</v>
      </c>
      <c r="C79" t="s">
        <v>29</v>
      </c>
    </row>
    <row r="80" spans="1:8" x14ac:dyDescent="0.35">
      <c r="A80" t="s">
        <v>69</v>
      </c>
      <c r="B80" t="s">
        <v>20</v>
      </c>
      <c r="C80" t="s">
        <v>38</v>
      </c>
      <c r="D80">
        <v>25075</v>
      </c>
    </row>
    <row r="81" spans="1:4" x14ac:dyDescent="0.35">
      <c r="B81" t="s">
        <v>19</v>
      </c>
      <c r="C81" t="s">
        <v>70</v>
      </c>
      <c r="D81">
        <v>1177</v>
      </c>
    </row>
    <row r="82" spans="1:4" x14ac:dyDescent="0.35">
      <c r="A82" t="s">
        <v>71</v>
      </c>
      <c r="B82" t="s">
        <v>20</v>
      </c>
      <c r="C82" t="s">
        <v>38</v>
      </c>
      <c r="D82">
        <v>10423</v>
      </c>
    </row>
    <row r="83" spans="1:4" x14ac:dyDescent="0.35">
      <c r="B83" t="s">
        <v>19</v>
      </c>
      <c r="C83" t="s">
        <v>70</v>
      </c>
      <c r="D83">
        <v>477</v>
      </c>
    </row>
    <row r="84" spans="1:4" x14ac:dyDescent="0.35">
      <c r="A84" t="s">
        <v>72</v>
      </c>
      <c r="B84" t="s">
        <v>20</v>
      </c>
      <c r="C84" t="s">
        <v>38</v>
      </c>
      <c r="D84">
        <v>5358</v>
      </c>
    </row>
    <row r="85" spans="1:4" x14ac:dyDescent="0.35">
      <c r="B85" t="s">
        <v>19</v>
      </c>
      <c r="C85" t="s">
        <v>70</v>
      </c>
      <c r="D85">
        <v>238</v>
      </c>
    </row>
    <row r="86" spans="1:4" x14ac:dyDescent="0.35">
      <c r="A86" t="s">
        <v>73</v>
      </c>
      <c r="B86" t="s">
        <v>20</v>
      </c>
      <c r="C86" t="s">
        <v>38</v>
      </c>
      <c r="D86">
        <v>1606</v>
      </c>
    </row>
    <row r="87" spans="1:4" x14ac:dyDescent="0.35">
      <c r="B87" t="s">
        <v>19</v>
      </c>
      <c r="C87" t="s">
        <v>70</v>
      </c>
      <c r="D87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Material_intensities</vt:lpstr>
      <vt:lpstr>Literature sources</vt:lpstr>
      <vt:lpstr>OKO-institut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van Engelenburg</dc:creator>
  <cp:lastModifiedBy>Martijn van Engelenburg</cp:lastModifiedBy>
  <dcterms:created xsi:type="dcterms:W3CDTF">2015-06-05T18:17:20Z</dcterms:created>
  <dcterms:modified xsi:type="dcterms:W3CDTF">2023-11-26T20:20:36Z</dcterms:modified>
</cp:coreProperties>
</file>