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xampp\htdocs\bayes-baru\DATASET\"/>
    </mc:Choice>
  </mc:AlternateContent>
  <xr:revisionPtr revIDLastSave="0" documentId="13_ncr:1_{32012424-BA22-4975-8F7B-029536A51225}" xr6:coauthVersionLast="47" xr6:coauthVersionMax="47" xr10:uidLastSave="{00000000-0000-0000-0000-000000000000}"/>
  <bookViews>
    <workbookView xWindow="-108" yWindow="-108" windowWidth="23256" windowHeight="12456" firstSheet="2" activeTab="8" xr2:uid="{00000000-000D-0000-FFFF-FFFF00000000}"/>
  </bookViews>
  <sheets>
    <sheet name="C4.5-Diskrit" sheetId="10" r:id="rId1"/>
    <sheet name="C4.5-Info Gain" sheetId="6" r:id="rId2"/>
    <sheet name="Sheet3" sheetId="16" r:id="rId3"/>
    <sheet name="Regresi" sheetId="14" r:id="rId4"/>
    <sheet name="C4.5-gini index" sheetId="13" r:id="rId5"/>
    <sheet name="Multi-Class" sheetId="12" r:id="rId6"/>
    <sheet name="k-nn-Campuran" sheetId="7" r:id="rId7"/>
    <sheet name="k-nn-Numerik" sheetId="11" r:id="rId8"/>
    <sheet name="NBC-Campuran" sheetId="5" r:id="rId9"/>
    <sheet name="NBC-Diskrit" sheetId="8" r:id="rId10"/>
    <sheet name="NBC-Numerik" sheetId="9" r:id="rId11"/>
  </sheets>
  <definedNames>
    <definedName name="_xlnm._FilterDatabase" localSheetId="8" hidden="1">'NBC-Campuran'!$H$1:$H$45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5" l="1"/>
  <c r="M18" i="5"/>
  <c r="L18" i="5"/>
  <c r="L19" i="5"/>
  <c r="L11" i="5"/>
  <c r="O34" i="11"/>
  <c r="O33" i="11"/>
  <c r="O28" i="11"/>
  <c r="O29" i="11"/>
  <c r="O30" i="11"/>
  <c r="O31" i="11"/>
  <c r="O27" i="11"/>
  <c r="R23" i="11" l="1"/>
  <c r="R24" i="11"/>
  <c r="R25" i="11"/>
  <c r="R26" i="11"/>
  <c r="R22" i="11"/>
  <c r="L21" i="6"/>
  <c r="B55" i="5" l="1"/>
  <c r="D29" i="5" l="1"/>
  <c r="C44" i="13" l="1"/>
  <c r="B44" i="13"/>
  <c r="C43" i="13"/>
  <c r="B43" i="13"/>
  <c r="G45" i="13" s="1"/>
  <c r="W129" i="13"/>
  <c r="V129" i="13"/>
  <c r="U129" i="13"/>
  <c r="W128" i="13"/>
  <c r="V128" i="13"/>
  <c r="U128" i="13"/>
  <c r="W126" i="13"/>
  <c r="V126" i="13"/>
  <c r="U126" i="13"/>
  <c r="W125" i="13"/>
  <c r="V125" i="13"/>
  <c r="U125" i="13"/>
  <c r="W121" i="13"/>
  <c r="V121" i="13"/>
  <c r="U121" i="13"/>
  <c r="W120" i="13"/>
  <c r="V120" i="13"/>
  <c r="U120" i="13"/>
  <c r="W118" i="13"/>
  <c r="V118" i="13"/>
  <c r="U118" i="13"/>
  <c r="W117" i="13"/>
  <c r="V117" i="13"/>
  <c r="U117" i="13"/>
  <c r="W113" i="13"/>
  <c r="V113" i="13"/>
  <c r="U113" i="13"/>
  <c r="W112" i="13"/>
  <c r="V112" i="13"/>
  <c r="U112" i="13"/>
  <c r="W110" i="13"/>
  <c r="V110" i="13"/>
  <c r="U110" i="13"/>
  <c r="W109" i="13"/>
  <c r="V109" i="13"/>
  <c r="U109" i="13"/>
  <c r="W105" i="13"/>
  <c r="V105" i="13"/>
  <c r="U105" i="13"/>
  <c r="W104" i="13"/>
  <c r="V104" i="13"/>
  <c r="U104" i="13"/>
  <c r="W102" i="13"/>
  <c r="V102" i="13"/>
  <c r="U102" i="13"/>
  <c r="W101" i="13"/>
  <c r="V101" i="13"/>
  <c r="U101" i="13"/>
  <c r="W91" i="13"/>
  <c r="W96" i="13"/>
  <c r="V97" i="13"/>
  <c r="V96" i="13"/>
  <c r="V93" i="13"/>
  <c r="V91" i="13"/>
  <c r="U96" i="13"/>
  <c r="U91" i="13"/>
  <c r="W97" i="13"/>
  <c r="U97" i="13"/>
  <c r="W94" i="13"/>
  <c r="V94" i="13"/>
  <c r="U94" i="13"/>
  <c r="W93" i="13"/>
  <c r="U93" i="13"/>
  <c r="W92" i="13"/>
  <c r="V92" i="13"/>
  <c r="U92" i="13"/>
  <c r="P95" i="13"/>
  <c r="O95" i="13"/>
  <c r="N95" i="13"/>
  <c r="M95" i="13"/>
  <c r="P94" i="13"/>
  <c r="O94" i="13"/>
  <c r="N94" i="13"/>
  <c r="M94" i="13"/>
  <c r="U87" i="13"/>
  <c r="W87" i="13"/>
  <c r="V87" i="13"/>
  <c r="H31" i="13"/>
  <c r="H36" i="13"/>
  <c r="H35" i="13"/>
  <c r="H34" i="13"/>
  <c r="H33" i="13"/>
  <c r="H32" i="13"/>
  <c r="N52" i="13"/>
  <c r="M52" i="13"/>
  <c r="L52" i="13"/>
  <c r="N51" i="13"/>
  <c r="M51" i="13"/>
  <c r="L51" i="13"/>
  <c r="N49" i="13"/>
  <c r="M49" i="13"/>
  <c r="L49" i="13"/>
  <c r="N48" i="13"/>
  <c r="M48" i="13"/>
  <c r="L48" i="13"/>
  <c r="N43" i="13"/>
  <c r="M43" i="13"/>
  <c r="L43" i="13"/>
  <c r="N42" i="13"/>
  <c r="M42" i="13"/>
  <c r="L42" i="13"/>
  <c r="N40" i="13"/>
  <c r="M40" i="13"/>
  <c r="L40" i="13"/>
  <c r="N39" i="13"/>
  <c r="M39" i="13"/>
  <c r="L39" i="13"/>
  <c r="L33" i="13"/>
  <c r="L31" i="13"/>
  <c r="L30" i="13"/>
  <c r="N34" i="13"/>
  <c r="M34" i="13"/>
  <c r="L34" i="13"/>
  <c r="N33" i="13"/>
  <c r="M33" i="13"/>
  <c r="N31" i="13"/>
  <c r="M31" i="13"/>
  <c r="N30" i="13"/>
  <c r="M30" i="13"/>
  <c r="N25" i="13"/>
  <c r="M25" i="13"/>
  <c r="L25" i="13"/>
  <c r="N24" i="13"/>
  <c r="M24" i="13"/>
  <c r="L24" i="13"/>
  <c r="N22" i="13"/>
  <c r="M22" i="13"/>
  <c r="L22" i="13"/>
  <c r="N21" i="13"/>
  <c r="M21" i="13"/>
  <c r="L21" i="13"/>
  <c r="F23" i="13"/>
  <c r="F24" i="13"/>
  <c r="E24" i="13"/>
  <c r="D24" i="13"/>
  <c r="C24" i="13"/>
  <c r="E23" i="13"/>
  <c r="D23" i="13"/>
  <c r="C23" i="13"/>
  <c r="N16" i="13"/>
  <c r="M16" i="13"/>
  <c r="L16" i="13"/>
  <c r="N15" i="13"/>
  <c r="M15" i="13"/>
  <c r="L15" i="13"/>
  <c r="N13" i="13"/>
  <c r="M13" i="13"/>
  <c r="L13" i="13"/>
  <c r="N12" i="13"/>
  <c r="M12" i="13"/>
  <c r="L12" i="13"/>
  <c r="N11" i="13"/>
  <c r="M11" i="13"/>
  <c r="L11" i="13"/>
  <c r="N10" i="13"/>
  <c r="M10" i="13"/>
  <c r="L10" i="13"/>
  <c r="L4" i="13"/>
  <c r="N4" i="13"/>
  <c r="M4" i="13"/>
  <c r="G44" i="13" l="1"/>
  <c r="G43" i="13"/>
  <c r="X101" i="13"/>
  <c r="X102" i="13"/>
  <c r="X109" i="13"/>
  <c r="O31" i="13"/>
  <c r="O15" i="13"/>
  <c r="X97" i="13"/>
  <c r="O12" i="13"/>
  <c r="O13" i="13"/>
  <c r="X104" i="13"/>
  <c r="X120" i="13"/>
  <c r="Y101" i="13"/>
  <c r="O11" i="13"/>
  <c r="O22" i="13"/>
  <c r="O39" i="13"/>
  <c r="P39" i="13" s="1"/>
  <c r="X105" i="13"/>
  <c r="Y104" i="13" s="1"/>
  <c r="X121" i="13"/>
  <c r="O10" i="13"/>
  <c r="O25" i="13"/>
  <c r="X92" i="13"/>
  <c r="X93" i="13"/>
  <c r="X91" i="13"/>
  <c r="O49" i="13"/>
  <c r="X94" i="13"/>
  <c r="X96" i="13"/>
  <c r="X110" i="13"/>
  <c r="X112" i="13"/>
  <c r="O16" i="13"/>
  <c r="P15" i="13" s="1"/>
  <c r="O21" i="13"/>
  <c r="P21" i="13" s="1"/>
  <c r="O40" i="13"/>
  <c r="O24" i="13"/>
  <c r="O43" i="13"/>
  <c r="O48" i="13"/>
  <c r="X113" i="13"/>
  <c r="O51" i="13"/>
  <c r="X129" i="13"/>
  <c r="Y128" i="13" s="1"/>
  <c r="O42" i="13"/>
  <c r="O52" i="13"/>
  <c r="X117" i="13"/>
  <c r="X118" i="13"/>
  <c r="X126" i="13"/>
  <c r="Y125" i="13" s="1"/>
  <c r="O30" i="13"/>
  <c r="O34" i="13"/>
  <c r="O33" i="13"/>
  <c r="P10" i="13" l="1"/>
  <c r="P30" i="13"/>
  <c r="Y117" i="13"/>
  <c r="AB90" i="13" s="1"/>
  <c r="P24" i="13"/>
  <c r="P48" i="13"/>
  <c r="Y109" i="13"/>
  <c r="Y96" i="13"/>
  <c r="Y91" i="13"/>
  <c r="Y120" i="13"/>
  <c r="P42" i="13"/>
  <c r="Y112" i="13"/>
  <c r="P51" i="13"/>
  <c r="P33" i="13"/>
  <c r="E24" i="12"/>
  <c r="D24" i="12"/>
  <c r="C24" i="12"/>
  <c r="B24" i="12"/>
  <c r="S23" i="13" l="1"/>
  <c r="H56" i="5"/>
  <c r="W38" i="7"/>
  <c r="W39" i="7"/>
  <c r="W40" i="7"/>
  <c r="H59" i="10"/>
  <c r="H60" i="10"/>
  <c r="E42" i="8"/>
  <c r="G44" i="6"/>
  <c r="G45" i="6"/>
  <c r="I25" i="11" l="1"/>
  <c r="H25" i="11"/>
  <c r="G25" i="11"/>
  <c r="I24" i="11"/>
  <c r="H24" i="11"/>
  <c r="G24" i="11"/>
  <c r="I23" i="11"/>
  <c r="H23" i="11"/>
  <c r="G23" i="11"/>
  <c r="I22" i="11"/>
  <c r="H22" i="11"/>
  <c r="G22" i="11"/>
  <c r="I21" i="11"/>
  <c r="H21" i="11"/>
  <c r="G21" i="11"/>
  <c r="G3" i="11"/>
  <c r="I17" i="11"/>
  <c r="H17" i="11"/>
  <c r="G17" i="11"/>
  <c r="I16" i="11"/>
  <c r="H16" i="11"/>
  <c r="G16" i="11"/>
  <c r="I15" i="11"/>
  <c r="H15" i="11"/>
  <c r="G15" i="11"/>
  <c r="I14" i="11"/>
  <c r="H14" i="11"/>
  <c r="G14" i="11"/>
  <c r="I13" i="11"/>
  <c r="H13" i="11"/>
  <c r="G13" i="11"/>
  <c r="I12" i="11"/>
  <c r="H12" i="11"/>
  <c r="G12" i="11"/>
  <c r="I11" i="11"/>
  <c r="H11" i="11"/>
  <c r="G11" i="11"/>
  <c r="I10" i="11"/>
  <c r="H10" i="11"/>
  <c r="G10" i="11"/>
  <c r="I9" i="11"/>
  <c r="H9" i="11"/>
  <c r="G9" i="11"/>
  <c r="I8" i="11"/>
  <c r="H8" i="11"/>
  <c r="G8" i="11"/>
  <c r="I7" i="11"/>
  <c r="H7" i="11"/>
  <c r="G7" i="11"/>
  <c r="I6" i="11"/>
  <c r="H6" i="11"/>
  <c r="G6" i="11"/>
  <c r="I5" i="11"/>
  <c r="H5" i="11"/>
  <c r="G5" i="11"/>
  <c r="I4" i="11"/>
  <c r="H4" i="11"/>
  <c r="G4" i="11"/>
  <c r="I3" i="11"/>
  <c r="H3" i="11"/>
  <c r="K4" i="11" l="1"/>
  <c r="K8" i="11"/>
  <c r="K12" i="11"/>
  <c r="K16" i="11"/>
  <c r="K15" i="11"/>
  <c r="K5" i="11"/>
  <c r="K9" i="11"/>
  <c r="K13" i="11"/>
  <c r="K17" i="11"/>
  <c r="K6" i="11"/>
  <c r="K10" i="11"/>
  <c r="K14" i="11"/>
  <c r="K3" i="11"/>
  <c r="K7" i="11"/>
  <c r="K11" i="11"/>
  <c r="N7" i="11"/>
  <c r="O7" i="11"/>
  <c r="M7" i="11"/>
  <c r="N11" i="11"/>
  <c r="O11" i="11"/>
  <c r="M11" i="11"/>
  <c r="N15" i="11"/>
  <c r="O15" i="11"/>
  <c r="M15" i="11"/>
  <c r="L6" i="11"/>
  <c r="M6" i="11"/>
  <c r="N6" i="11"/>
  <c r="O6" i="11"/>
  <c r="M10" i="11"/>
  <c r="N10" i="11"/>
  <c r="O10" i="11"/>
  <c r="L14" i="11"/>
  <c r="M14" i="11"/>
  <c r="N14" i="11"/>
  <c r="O14" i="11"/>
  <c r="N3" i="11"/>
  <c r="O3" i="11"/>
  <c r="M3" i="11"/>
  <c r="M5" i="11"/>
  <c r="N5" i="11"/>
  <c r="O5" i="11"/>
  <c r="M9" i="11"/>
  <c r="N9" i="11"/>
  <c r="O9" i="11"/>
  <c r="M13" i="11"/>
  <c r="N13" i="11"/>
  <c r="O13" i="11"/>
  <c r="M17" i="11"/>
  <c r="N17" i="11"/>
  <c r="O17" i="11"/>
  <c r="O4" i="11"/>
  <c r="M4" i="11"/>
  <c r="N4" i="11"/>
  <c r="O8" i="11"/>
  <c r="M8" i="11"/>
  <c r="N8" i="11"/>
  <c r="O12" i="11"/>
  <c r="M12" i="11"/>
  <c r="N12" i="11"/>
  <c r="O16" i="11"/>
  <c r="M16" i="11"/>
  <c r="N16" i="11"/>
  <c r="L7" i="11"/>
  <c r="L11" i="11"/>
  <c r="L15" i="11"/>
  <c r="L16" i="11"/>
  <c r="L12" i="11"/>
  <c r="L8" i="11"/>
  <c r="L4" i="11"/>
  <c r="L3" i="11"/>
  <c r="L5" i="11"/>
  <c r="L9" i="11"/>
  <c r="L13" i="11"/>
  <c r="L17" i="11"/>
  <c r="L10" i="11"/>
  <c r="C58" i="10"/>
  <c r="I50" i="10"/>
  <c r="D59" i="10" s="1"/>
  <c r="I51" i="10"/>
  <c r="D58" i="10" s="1"/>
  <c r="I52" i="10"/>
  <c r="I49" i="10"/>
  <c r="C59" i="10" s="1"/>
  <c r="U53" i="10"/>
  <c r="T53" i="10"/>
  <c r="T52" i="10"/>
  <c r="U44" i="10"/>
  <c r="T46" i="10"/>
  <c r="T45" i="10"/>
  <c r="T44" i="10"/>
  <c r="U46" i="10"/>
  <c r="Q12" i="11" l="1"/>
  <c r="Q3" i="11"/>
  <c r="U16" i="11"/>
  <c r="T8" i="11"/>
  <c r="U12" i="11"/>
  <c r="T4" i="11"/>
  <c r="T17" i="11"/>
  <c r="U5" i="11"/>
  <c r="U3" i="11"/>
  <c r="T15" i="11"/>
  <c r="U9" i="11"/>
  <c r="U6" i="11"/>
  <c r="T9" i="11"/>
  <c r="U10" i="11"/>
  <c r="U11" i="11"/>
  <c r="U7" i="11"/>
  <c r="T5" i="11"/>
  <c r="T3" i="11"/>
  <c r="T12" i="11"/>
  <c r="U4" i="11"/>
  <c r="U13" i="11"/>
  <c r="U14" i="11"/>
  <c r="T6" i="11"/>
  <c r="T16" i="11"/>
  <c r="U8" i="11"/>
  <c r="U17" i="11"/>
  <c r="T13" i="11"/>
  <c r="T14" i="11"/>
  <c r="T10" i="11"/>
  <c r="U15" i="11"/>
  <c r="T11" i="11"/>
  <c r="T7" i="11"/>
  <c r="Q17" i="11"/>
  <c r="R10" i="11"/>
  <c r="R9" i="11"/>
  <c r="R8" i="11"/>
  <c r="Q14" i="11"/>
  <c r="Q16" i="11"/>
  <c r="Q8" i="11"/>
  <c r="R14" i="11"/>
  <c r="Q4" i="11"/>
  <c r="Q13" i="11"/>
  <c r="Q7" i="11"/>
  <c r="R5" i="11"/>
  <c r="R12" i="11"/>
  <c r="Q10" i="11"/>
  <c r="R15" i="11"/>
  <c r="R7" i="11"/>
  <c r="Q9" i="11"/>
  <c r="R17" i="11"/>
  <c r="R3" i="11"/>
  <c r="R16" i="11"/>
  <c r="Q6" i="11"/>
  <c r="S3" i="11"/>
  <c r="Q5" i="11"/>
  <c r="R13" i="11"/>
  <c r="R4" i="11"/>
  <c r="Q15" i="11"/>
  <c r="R11" i="11"/>
  <c r="R6" i="11"/>
  <c r="Q11" i="11"/>
  <c r="S15" i="11"/>
  <c r="S17" i="11"/>
  <c r="S16" i="11"/>
  <c r="S5" i="11"/>
  <c r="S9" i="11"/>
  <c r="S11" i="11"/>
  <c r="S12" i="11"/>
  <c r="S6" i="11"/>
  <c r="S7" i="11"/>
  <c r="S8" i="11"/>
  <c r="S13" i="11"/>
  <c r="S14" i="11"/>
  <c r="S10" i="11"/>
  <c r="S4" i="11"/>
  <c r="H58" i="10"/>
  <c r="U59" i="10"/>
  <c r="T59" i="10"/>
  <c r="U58" i="10"/>
  <c r="T58" i="10"/>
  <c r="U56" i="10"/>
  <c r="T56" i="10"/>
  <c r="U55" i="10"/>
  <c r="T55" i="10"/>
  <c r="U52" i="10"/>
  <c r="U51" i="10"/>
  <c r="T51" i="10"/>
  <c r="U49" i="10"/>
  <c r="T49" i="10"/>
  <c r="U48" i="10"/>
  <c r="T48" i="10"/>
  <c r="U45" i="10"/>
  <c r="S59" i="10"/>
  <c r="S58" i="10"/>
  <c r="S56" i="10"/>
  <c r="S55" i="10"/>
  <c r="S52" i="10"/>
  <c r="S53" i="10"/>
  <c r="V53" i="10" s="1"/>
  <c r="S51" i="10"/>
  <c r="S49" i="10"/>
  <c r="S48" i="10"/>
  <c r="S45" i="10"/>
  <c r="S46" i="10"/>
  <c r="S44" i="10"/>
  <c r="U42" i="10"/>
  <c r="U41" i="10"/>
  <c r="T42" i="10"/>
  <c r="T41" i="10"/>
  <c r="S42" i="10"/>
  <c r="S41" i="10"/>
  <c r="U39" i="10"/>
  <c r="T39" i="10"/>
  <c r="S39" i="10"/>
  <c r="K3" i="10"/>
  <c r="M23" i="10"/>
  <c r="L23" i="10"/>
  <c r="N23" i="10" s="1"/>
  <c r="K23" i="10"/>
  <c r="M22" i="10"/>
  <c r="L22" i="10"/>
  <c r="K22" i="10"/>
  <c r="M20" i="10"/>
  <c r="L20" i="10"/>
  <c r="K20" i="10"/>
  <c r="M19" i="10"/>
  <c r="L19" i="10"/>
  <c r="K19" i="10"/>
  <c r="M17" i="10"/>
  <c r="L17" i="10"/>
  <c r="K17" i="10"/>
  <c r="M16" i="10"/>
  <c r="L16" i="10"/>
  <c r="K16" i="10"/>
  <c r="M15" i="10"/>
  <c r="L15" i="10"/>
  <c r="K15" i="10"/>
  <c r="M13" i="10"/>
  <c r="L13" i="10"/>
  <c r="K13" i="10"/>
  <c r="M12" i="10"/>
  <c r="L12" i="10"/>
  <c r="K12" i="10"/>
  <c r="M10" i="10"/>
  <c r="L10" i="10"/>
  <c r="K10" i="10"/>
  <c r="M9" i="10"/>
  <c r="L9" i="10"/>
  <c r="K9" i="10"/>
  <c r="M8" i="10"/>
  <c r="L8" i="10"/>
  <c r="K8" i="10"/>
  <c r="M6" i="10"/>
  <c r="L6" i="10"/>
  <c r="K6" i="10"/>
  <c r="M5" i="10"/>
  <c r="L5" i="10"/>
  <c r="K5" i="10"/>
  <c r="M3" i="10"/>
  <c r="L3" i="10"/>
  <c r="S25" i="11" l="1"/>
  <c r="K30" i="11" s="1"/>
  <c r="S26" i="11"/>
  <c r="K31" i="11" s="1"/>
  <c r="S24" i="11"/>
  <c r="K29" i="11" s="1"/>
  <c r="S23" i="11"/>
  <c r="K28" i="11" s="1"/>
  <c r="S22" i="11"/>
  <c r="K27" i="11" s="1"/>
  <c r="N22" i="10"/>
  <c r="N3" i="10"/>
  <c r="O11" i="10" s="1"/>
  <c r="N8" i="10"/>
  <c r="N13" i="10"/>
  <c r="N15" i="10"/>
  <c r="N19" i="10"/>
  <c r="V48" i="10"/>
  <c r="V55" i="10"/>
  <c r="V58" i="10"/>
  <c r="V41" i="10"/>
  <c r="N6" i="10"/>
  <c r="N12" i="10"/>
  <c r="V39" i="10"/>
  <c r="N5" i="10"/>
  <c r="N10" i="10"/>
  <c r="N17" i="10"/>
  <c r="O14" i="10"/>
  <c r="O21" i="10"/>
  <c r="L27" i="11" l="1"/>
  <c r="M27" i="11" s="1"/>
  <c r="L28" i="11"/>
  <c r="L29" i="11"/>
  <c r="L30" i="11"/>
  <c r="L31" i="11"/>
  <c r="O7" i="10"/>
  <c r="O4" i="10"/>
  <c r="W47" i="10"/>
  <c r="W43" i="10"/>
  <c r="W61" i="10" s="1"/>
  <c r="W50" i="10"/>
  <c r="W40" i="10"/>
  <c r="W57" i="10"/>
  <c r="O18" i="10"/>
  <c r="O25" i="10" s="1"/>
  <c r="W54" i="10"/>
  <c r="N29" i="11" l="1"/>
  <c r="N31" i="11"/>
  <c r="N28" i="11"/>
  <c r="N27" i="11"/>
  <c r="N30" i="11"/>
  <c r="M29" i="11"/>
  <c r="M30" i="11"/>
  <c r="M31" i="11"/>
  <c r="M28" i="11"/>
  <c r="A43" i="9"/>
  <c r="B42" i="9"/>
  <c r="C42" i="9" s="1"/>
  <c r="B41" i="9"/>
  <c r="C41" i="9" s="1"/>
  <c r="B40" i="9"/>
  <c r="C40" i="9" s="1"/>
  <c r="B39" i="9"/>
  <c r="C39" i="9" s="1"/>
  <c r="C38" i="9"/>
  <c r="B38" i="9"/>
  <c r="C26" i="9"/>
  <c r="C25" i="9"/>
  <c r="C27" i="9" s="1"/>
  <c r="G21" i="9"/>
  <c r="F21" i="9"/>
  <c r="E21" i="9"/>
  <c r="D21" i="9"/>
  <c r="C21" i="9"/>
  <c r="B21" i="9"/>
  <c r="G20" i="9"/>
  <c r="F20" i="9"/>
  <c r="Q13" i="9" s="1"/>
  <c r="E20" i="9"/>
  <c r="D20" i="9"/>
  <c r="O13" i="9" s="1"/>
  <c r="C20" i="9"/>
  <c r="B20" i="9"/>
  <c r="M13" i="9" s="1"/>
  <c r="G15" i="9"/>
  <c r="R14" i="9" s="1"/>
  <c r="F15" i="9"/>
  <c r="E15" i="9"/>
  <c r="P14" i="9" s="1"/>
  <c r="D15" i="9"/>
  <c r="C15" i="9"/>
  <c r="N14" i="9" s="1"/>
  <c r="S14" i="9" s="1"/>
  <c r="B15" i="9"/>
  <c r="Q14" i="9"/>
  <c r="O14" i="9"/>
  <c r="M14" i="9"/>
  <c r="G14" i="9"/>
  <c r="F14" i="9"/>
  <c r="E14" i="9"/>
  <c r="D14" i="9"/>
  <c r="C14" i="9"/>
  <c r="B14" i="9"/>
  <c r="R13" i="9"/>
  <c r="P13" i="9"/>
  <c r="N13" i="9"/>
  <c r="K31" i="8"/>
  <c r="K25" i="8"/>
  <c r="J25" i="8"/>
  <c r="K24" i="8"/>
  <c r="K26" i="8" s="1"/>
  <c r="J24" i="8"/>
  <c r="J26" i="8" s="1"/>
  <c r="K21" i="8"/>
  <c r="J21" i="8"/>
  <c r="K20" i="8"/>
  <c r="J20" i="8"/>
  <c r="K17" i="8"/>
  <c r="J17" i="8"/>
  <c r="K16" i="8"/>
  <c r="J16" i="8"/>
  <c r="F16" i="8"/>
  <c r="K15" i="8"/>
  <c r="J15" i="8"/>
  <c r="F15" i="8"/>
  <c r="J33" i="8" s="1"/>
  <c r="K12" i="8"/>
  <c r="J12" i="8"/>
  <c r="K11" i="8"/>
  <c r="J11" i="8"/>
  <c r="K8" i="8"/>
  <c r="J8" i="8"/>
  <c r="K7" i="8"/>
  <c r="J7" i="8"/>
  <c r="K6" i="8"/>
  <c r="J6" i="8"/>
  <c r="J9" i="8" s="1"/>
  <c r="K3" i="8"/>
  <c r="J3" i="8"/>
  <c r="K2" i="8"/>
  <c r="J2" i="8"/>
  <c r="C43" i="9" l="1"/>
  <c r="E38" i="9" s="1"/>
  <c r="S13" i="9"/>
  <c r="S16" i="9" s="1"/>
  <c r="K29" i="8"/>
  <c r="J32" i="8"/>
  <c r="I32" i="8" s="1"/>
  <c r="K33" i="8"/>
  <c r="I33" i="8" s="1"/>
  <c r="J31" i="8"/>
  <c r="K32" i="8"/>
  <c r="J30" i="8"/>
  <c r="I30" i="8" s="1"/>
  <c r="J29" i="8"/>
  <c r="K30" i="8"/>
  <c r="F34" i="8" l="1"/>
  <c r="I29" i="8"/>
  <c r="I31" i="8"/>
  <c r="E34" i="8" s="1"/>
  <c r="E40" i="8" l="1"/>
  <c r="E35" i="8"/>
  <c r="F35" i="8"/>
  <c r="E38" i="8" l="1"/>
  <c r="S23" i="6" l="1"/>
  <c r="P14" i="6"/>
  <c r="AD93" i="6"/>
  <c r="AD92" i="6"/>
  <c r="AD91" i="6"/>
  <c r="N48" i="6"/>
  <c r="M48" i="6"/>
  <c r="H35" i="6"/>
  <c r="H34" i="6"/>
  <c r="H33" i="6"/>
  <c r="H32" i="6"/>
  <c r="H31" i="6"/>
  <c r="H36" i="6"/>
  <c r="B45" i="5"/>
  <c r="M32" i="7" l="1"/>
  <c r="M36" i="7"/>
  <c r="D39" i="7"/>
  <c r="E39" i="7"/>
  <c r="N33" i="7" s="1"/>
  <c r="F39" i="7"/>
  <c r="G39" i="7"/>
  <c r="D38" i="7"/>
  <c r="E38" i="7"/>
  <c r="F38" i="7"/>
  <c r="G38" i="7"/>
  <c r="B39" i="7"/>
  <c r="K35" i="7" s="1"/>
  <c r="B38" i="7"/>
  <c r="M4" i="7"/>
  <c r="M5" i="7"/>
  <c r="M7" i="7" s="1"/>
  <c r="N5" i="7"/>
  <c r="O5" i="7"/>
  <c r="P5" i="7"/>
  <c r="N4" i="7"/>
  <c r="O4" i="7"/>
  <c r="P4" i="7"/>
  <c r="K5" i="7"/>
  <c r="K4" i="7"/>
  <c r="K7" i="7" l="1"/>
  <c r="M22" i="7"/>
  <c r="N19" i="7"/>
  <c r="P8" i="7"/>
  <c r="K36" i="7"/>
  <c r="K9" i="7"/>
  <c r="K13" i="7"/>
  <c r="K17" i="7"/>
  <c r="K21" i="7"/>
  <c r="K25" i="7"/>
  <c r="K10" i="7"/>
  <c r="K14" i="7"/>
  <c r="K18" i="7"/>
  <c r="K22" i="7"/>
  <c r="K26" i="7"/>
  <c r="K11" i="7"/>
  <c r="K15" i="7"/>
  <c r="K19" i="7"/>
  <c r="K23" i="7"/>
  <c r="K8" i="7"/>
  <c r="K12" i="7"/>
  <c r="K16" i="7"/>
  <c r="K20" i="7"/>
  <c r="K24" i="7"/>
  <c r="M26" i="7"/>
  <c r="P33" i="7"/>
  <c r="P34" i="7"/>
  <c r="P31" i="7"/>
  <c r="P32" i="7"/>
  <c r="P36" i="7"/>
  <c r="M34" i="7"/>
  <c r="M33" i="7"/>
  <c r="P35" i="7"/>
  <c r="O32" i="7"/>
  <c r="O36" i="7"/>
  <c r="O31" i="7"/>
  <c r="O33" i="7"/>
  <c r="N8" i="7"/>
  <c r="N23" i="7"/>
  <c r="N35" i="7"/>
  <c r="N32" i="7"/>
  <c r="N36" i="7"/>
  <c r="K32" i="7"/>
  <c r="O35" i="7"/>
  <c r="M9" i="7"/>
  <c r="M18" i="7"/>
  <c r="M10" i="7"/>
  <c r="M19" i="7"/>
  <c r="M14" i="7"/>
  <c r="K33" i="7"/>
  <c r="N31" i="7"/>
  <c r="O34" i="7"/>
  <c r="M11" i="7"/>
  <c r="N34" i="7"/>
  <c r="K34" i="7"/>
  <c r="M31" i="7"/>
  <c r="M35" i="7"/>
  <c r="O8" i="7"/>
  <c r="K31" i="7"/>
  <c r="P7" i="7"/>
  <c r="P23" i="7"/>
  <c r="P19" i="7"/>
  <c r="P15" i="7"/>
  <c r="P11" i="7"/>
  <c r="P26" i="7"/>
  <c r="P22" i="7"/>
  <c r="P18" i="7"/>
  <c r="P14" i="7"/>
  <c r="P10" i="7"/>
  <c r="N15" i="7"/>
  <c r="P25" i="7"/>
  <c r="P21" i="7"/>
  <c r="P17" i="7"/>
  <c r="P13" i="7"/>
  <c r="P9" i="7"/>
  <c r="M23" i="7"/>
  <c r="M15" i="7"/>
  <c r="N7" i="7"/>
  <c r="N11" i="7"/>
  <c r="P24" i="7"/>
  <c r="P20" i="7"/>
  <c r="P16" i="7"/>
  <c r="P12" i="7"/>
  <c r="O7" i="7"/>
  <c r="O23" i="7"/>
  <c r="O19" i="7"/>
  <c r="O11" i="7"/>
  <c r="N26" i="7"/>
  <c r="N22" i="7"/>
  <c r="N14" i="7"/>
  <c r="N10" i="7"/>
  <c r="O26" i="7"/>
  <c r="O22" i="7"/>
  <c r="O18" i="7"/>
  <c r="O10" i="7"/>
  <c r="M25" i="7"/>
  <c r="M21" i="7"/>
  <c r="M17" i="7"/>
  <c r="M13" i="7"/>
  <c r="M8" i="7"/>
  <c r="N25" i="7"/>
  <c r="N21" i="7"/>
  <c r="N17" i="7"/>
  <c r="N13" i="7"/>
  <c r="N9" i="7"/>
  <c r="O25" i="7"/>
  <c r="O21" i="7"/>
  <c r="O17" i="7"/>
  <c r="O13" i="7"/>
  <c r="O9" i="7"/>
  <c r="O15" i="7"/>
  <c r="N18" i="7"/>
  <c r="O14" i="7"/>
  <c r="M24" i="7"/>
  <c r="M20" i="7"/>
  <c r="M16" i="7"/>
  <c r="M12" i="7"/>
  <c r="N24" i="7"/>
  <c r="N20" i="7"/>
  <c r="N16" i="7"/>
  <c r="N12" i="7"/>
  <c r="O24" i="7"/>
  <c r="O20" i="7"/>
  <c r="O16" i="7"/>
  <c r="O12" i="7"/>
  <c r="X13" i="7" l="1"/>
  <c r="W12" i="7"/>
  <c r="W14" i="7"/>
  <c r="S13" i="7"/>
  <c r="V13" i="7"/>
  <c r="T13" i="7"/>
  <c r="W13" i="7"/>
  <c r="X12" i="7"/>
  <c r="U14" i="7"/>
  <c r="S7" i="7"/>
  <c r="S11" i="7"/>
  <c r="V14" i="7"/>
  <c r="U13" i="7"/>
  <c r="T8" i="7"/>
  <c r="V11" i="7"/>
  <c r="U12" i="7"/>
  <c r="S12" i="7"/>
  <c r="V7" i="7"/>
  <c r="V8" i="7"/>
  <c r="T7" i="7"/>
  <c r="T11" i="7"/>
  <c r="U7" i="7"/>
  <c r="X11" i="7"/>
  <c r="T14" i="7"/>
  <c r="V12" i="7"/>
  <c r="T12" i="7"/>
  <c r="W7" i="7"/>
  <c r="U11" i="7"/>
  <c r="S14" i="7"/>
  <c r="W8" i="7"/>
  <c r="X7" i="7"/>
  <c r="S8" i="7"/>
  <c r="U8" i="7"/>
  <c r="W11" i="7"/>
  <c r="X14" i="7"/>
  <c r="X10" i="7"/>
  <c r="S10" i="7"/>
  <c r="T10" i="7"/>
  <c r="W10" i="7"/>
  <c r="V10" i="7"/>
  <c r="U10" i="7"/>
  <c r="X8" i="7"/>
  <c r="V9" i="7"/>
  <c r="U9" i="7"/>
  <c r="S9" i="7"/>
  <c r="W9" i="7"/>
  <c r="X9" i="7"/>
  <c r="T9" i="7"/>
  <c r="X15" i="7"/>
  <c r="W15" i="7"/>
  <c r="U15" i="7"/>
  <c r="T15" i="7"/>
  <c r="S15" i="7"/>
  <c r="V15" i="7"/>
  <c r="X16" i="7"/>
  <c r="W16" i="7"/>
  <c r="U16" i="7"/>
  <c r="T16" i="7"/>
  <c r="S16" i="7"/>
  <c r="V16" i="7"/>
  <c r="X18" i="7" l="1"/>
  <c r="W18" i="7"/>
  <c r="U18" i="7"/>
  <c r="T18" i="7"/>
  <c r="S18" i="7"/>
  <c r="V18" i="7"/>
  <c r="X17" i="7"/>
  <c r="W17" i="7"/>
  <c r="U17" i="7"/>
  <c r="T17" i="7"/>
  <c r="S17" i="7"/>
  <c r="V17" i="7"/>
  <c r="S20" i="7" l="1"/>
  <c r="V20" i="7"/>
  <c r="T20" i="7"/>
  <c r="U20" i="7"/>
  <c r="X20" i="7"/>
  <c r="W20" i="7"/>
  <c r="X19" i="7"/>
  <c r="W19" i="7"/>
  <c r="U19" i="7"/>
  <c r="T19" i="7"/>
  <c r="S19" i="7"/>
  <c r="V19" i="7"/>
  <c r="X21" i="7" l="1"/>
  <c r="W21" i="7"/>
  <c r="U21" i="7"/>
  <c r="T21" i="7"/>
  <c r="V21" i="7"/>
  <c r="S21" i="7"/>
  <c r="X22" i="7"/>
  <c r="W22" i="7"/>
  <c r="U22" i="7"/>
  <c r="T22" i="7"/>
  <c r="S22" i="7"/>
  <c r="V22" i="7"/>
  <c r="W23" i="7" l="1"/>
  <c r="X23" i="7"/>
  <c r="T23" i="7"/>
  <c r="U23" i="7"/>
  <c r="V23" i="7"/>
  <c r="S23" i="7"/>
  <c r="X24" i="7"/>
  <c r="W24" i="7"/>
  <c r="U24" i="7"/>
  <c r="T24" i="7"/>
  <c r="S24" i="7"/>
  <c r="V24" i="7"/>
  <c r="C44" i="6"/>
  <c r="C43" i="6"/>
  <c r="B44" i="6"/>
  <c r="B43" i="6"/>
  <c r="AE94" i="6"/>
  <c r="AD94" i="6"/>
  <c r="AE93" i="6"/>
  <c r="AE92" i="6"/>
  <c r="AE91" i="6"/>
  <c r="W129" i="6"/>
  <c r="V129" i="6"/>
  <c r="X129" i="6" s="1"/>
  <c r="U129" i="6"/>
  <c r="W128" i="6"/>
  <c r="V128" i="6"/>
  <c r="U128" i="6"/>
  <c r="W126" i="6"/>
  <c r="V126" i="6"/>
  <c r="U126" i="6"/>
  <c r="W125" i="6"/>
  <c r="V125" i="6"/>
  <c r="U125" i="6"/>
  <c r="U117" i="6"/>
  <c r="U120" i="6"/>
  <c r="W121" i="6"/>
  <c r="V121" i="6"/>
  <c r="U121" i="6"/>
  <c r="W120" i="6"/>
  <c r="V120" i="6"/>
  <c r="W118" i="6"/>
  <c r="V118" i="6"/>
  <c r="U118" i="6"/>
  <c r="W117" i="6"/>
  <c r="V117" i="6"/>
  <c r="W113" i="6"/>
  <c r="V113" i="6"/>
  <c r="W112" i="6"/>
  <c r="V112" i="6"/>
  <c r="W110" i="6"/>
  <c r="V110" i="6"/>
  <c r="U110" i="6"/>
  <c r="W109" i="6"/>
  <c r="V109" i="6"/>
  <c r="U109" i="6"/>
  <c r="U113" i="6"/>
  <c r="U112" i="6"/>
  <c r="W105" i="6"/>
  <c r="V105" i="6"/>
  <c r="X105" i="6" s="1"/>
  <c r="U105" i="6"/>
  <c r="W104" i="6"/>
  <c r="V104" i="6"/>
  <c r="X104" i="6" s="1"/>
  <c r="U104" i="6"/>
  <c r="W102" i="6"/>
  <c r="W101" i="6"/>
  <c r="V102" i="6"/>
  <c r="V101" i="6"/>
  <c r="U102" i="6"/>
  <c r="U101" i="6"/>
  <c r="O95" i="6"/>
  <c r="N95" i="6"/>
  <c r="P95" i="6"/>
  <c r="M95" i="6"/>
  <c r="N94" i="6"/>
  <c r="O94" i="6"/>
  <c r="P94" i="6"/>
  <c r="M94" i="6"/>
  <c r="W97" i="6"/>
  <c r="W96" i="6"/>
  <c r="V97" i="6"/>
  <c r="V96" i="6"/>
  <c r="U97" i="6"/>
  <c r="U96" i="6"/>
  <c r="X120" i="6" l="1"/>
  <c r="X102" i="6"/>
  <c r="X112" i="6"/>
  <c r="X126" i="6"/>
  <c r="X96" i="6"/>
  <c r="X109" i="6"/>
  <c r="X97" i="6"/>
  <c r="G43" i="6"/>
  <c r="X25" i="7"/>
  <c r="W25" i="7"/>
  <c r="U25" i="7"/>
  <c r="T25" i="7"/>
  <c r="S25" i="7"/>
  <c r="V25" i="7"/>
  <c r="S26" i="7"/>
  <c r="T26" i="7"/>
  <c r="AA26" i="7" s="1"/>
  <c r="W26" i="7"/>
  <c r="V26" i="7"/>
  <c r="AC18" i="7" s="1"/>
  <c r="X26" i="7"/>
  <c r="U26" i="7"/>
  <c r="X117" i="6"/>
  <c r="X121" i="6"/>
  <c r="X118" i="6"/>
  <c r="X113" i="6"/>
  <c r="X110" i="6"/>
  <c r="AB26" i="7" l="1"/>
  <c r="AC23" i="7"/>
  <c r="AD23" i="7"/>
  <c r="AE16" i="7"/>
  <c r="AD22" i="7"/>
  <c r="AE26" i="7"/>
  <c r="Z26" i="7"/>
  <c r="AC16" i="7"/>
  <c r="AC7" i="7"/>
  <c r="AD9" i="7"/>
  <c r="AE13" i="7"/>
  <c r="AA18" i="7"/>
  <c r="AB24" i="7"/>
  <c r="AE23" i="7"/>
  <c r="Z10" i="7"/>
  <c r="AD7" i="7"/>
  <c r="Z21" i="7"/>
  <c r="Z23" i="7"/>
  <c r="Z22" i="7"/>
  <c r="AE15" i="7"/>
  <c r="Z20" i="7"/>
  <c r="AE24" i="7"/>
  <c r="AB8" i="7"/>
  <c r="AB15" i="7"/>
  <c r="AB22" i="7"/>
  <c r="AA13" i="7"/>
  <c r="AA12" i="7"/>
  <c r="AA21" i="7"/>
  <c r="AE17" i="7"/>
  <c r="AB23" i="7"/>
  <c r="AB21" i="7"/>
  <c r="AB9" i="7"/>
  <c r="AE18" i="7"/>
  <c r="Z16" i="7"/>
  <c r="AE20" i="7"/>
  <c r="Z12" i="7"/>
  <c r="AA24" i="7"/>
  <c r="AA10" i="7"/>
  <c r="AA20" i="7"/>
  <c r="AA11" i="7"/>
  <c r="AA17" i="7"/>
  <c r="Z14" i="7"/>
  <c r="AC26" i="7"/>
  <c r="AC10" i="7"/>
  <c r="AC25" i="7"/>
  <c r="AC13" i="7"/>
  <c r="AC21" i="7"/>
  <c r="AC11" i="7"/>
  <c r="AC8" i="7"/>
  <c r="AC22" i="7"/>
  <c r="AC9" i="7"/>
  <c r="AC17" i="7"/>
  <c r="AC19" i="7"/>
  <c r="AC20" i="7"/>
  <c r="AC15" i="7"/>
  <c r="AD25" i="7"/>
  <c r="AD17" i="7"/>
  <c r="AD10" i="7"/>
  <c r="AD19" i="7"/>
  <c r="AD15" i="7"/>
  <c r="AD11" i="7"/>
  <c r="AD21" i="7"/>
  <c r="AD20" i="7"/>
  <c r="AD14" i="7"/>
  <c r="AD16" i="7"/>
  <c r="AC14" i="7"/>
  <c r="Z13" i="7"/>
  <c r="Z11" i="7"/>
  <c r="AE8" i="7"/>
  <c r="AD24" i="7"/>
  <c r="AB16" i="7"/>
  <c r="AD18" i="7"/>
  <c r="Z18" i="7"/>
  <c r="AE19" i="7"/>
  <c r="AE11" i="7"/>
  <c r="Z7" i="7"/>
  <c r="Z15" i="7"/>
  <c r="AA15" i="7"/>
  <c r="AA14" i="7"/>
  <c r="AA16" i="7"/>
  <c r="AA25" i="7"/>
  <c r="AB13" i="7"/>
  <c r="AA7" i="7"/>
  <c r="AB25" i="7"/>
  <c r="AB18" i="7"/>
  <c r="AB10" i="7"/>
  <c r="AB20" i="7"/>
  <c r="AB7" i="7"/>
  <c r="AB14" i="7"/>
  <c r="AB17" i="7"/>
  <c r="AB12" i="7"/>
  <c r="AB19" i="7"/>
  <c r="AD26" i="7"/>
  <c r="AD13" i="7"/>
  <c r="Z25" i="7"/>
  <c r="Z8" i="7"/>
  <c r="AE25" i="7"/>
  <c r="AE10" i="7"/>
  <c r="AE22" i="7"/>
  <c r="AB11" i="7"/>
  <c r="AE12" i="7"/>
  <c r="AC12" i="7"/>
  <c r="Z9" i="7"/>
  <c r="AC24" i="7"/>
  <c r="AD12" i="7"/>
  <c r="AD8" i="7"/>
  <c r="Z17" i="7"/>
  <c r="AE9" i="7"/>
  <c r="AE21" i="7"/>
  <c r="AE7" i="7"/>
  <c r="AE14" i="7"/>
  <c r="Z19" i="7"/>
  <c r="AA8" i="7"/>
  <c r="AA9" i="7"/>
  <c r="AA22" i="7"/>
  <c r="AA19" i="7"/>
  <c r="AA23" i="7"/>
  <c r="Z24" i="7"/>
  <c r="W92" i="6"/>
  <c r="W93" i="6"/>
  <c r="W94" i="6"/>
  <c r="W91" i="6"/>
  <c r="V92" i="6"/>
  <c r="V93" i="6"/>
  <c r="V94" i="6"/>
  <c r="V91" i="6"/>
  <c r="U92" i="6"/>
  <c r="U93" i="6"/>
  <c r="U94" i="6"/>
  <c r="U91" i="6"/>
  <c r="W87" i="6"/>
  <c r="V87" i="6"/>
  <c r="U87" i="6"/>
  <c r="AE28" i="7" l="1"/>
  <c r="AB39" i="7" s="1"/>
  <c r="AE29" i="7"/>
  <c r="AD28" i="7"/>
  <c r="AB38" i="7" s="1"/>
  <c r="AA38" i="7" s="1"/>
  <c r="AD29" i="7"/>
  <c r="AC38" i="7" s="1"/>
  <c r="AC28" i="7"/>
  <c r="AB37" i="7" s="1"/>
  <c r="AC29" i="7"/>
  <c r="AB29" i="7"/>
  <c r="AB28" i="7"/>
  <c r="AB36" i="7" s="1"/>
  <c r="AA36" i="7" s="1"/>
  <c r="AA29" i="7"/>
  <c r="AA28" i="7"/>
  <c r="Z28" i="7"/>
  <c r="AB34" i="7" s="1"/>
  <c r="Z29" i="7"/>
  <c r="AC34" i="7" s="1"/>
  <c r="X93" i="6"/>
  <c r="AC37" i="7"/>
  <c r="AC36" i="7"/>
  <c r="AC35" i="7"/>
  <c r="AC39" i="7"/>
  <c r="AB35" i="7"/>
  <c r="AA35" i="7" s="1"/>
  <c r="X87" i="6"/>
  <c r="N52" i="6"/>
  <c r="M52" i="6"/>
  <c r="L52" i="6"/>
  <c r="N51" i="6"/>
  <c r="M51" i="6"/>
  <c r="L51" i="6"/>
  <c r="N49" i="6"/>
  <c r="M49" i="6"/>
  <c r="L49" i="6"/>
  <c r="L48" i="6"/>
  <c r="N43" i="6"/>
  <c r="M43" i="6"/>
  <c r="L43" i="6"/>
  <c r="N42" i="6"/>
  <c r="M42" i="6"/>
  <c r="L42" i="6"/>
  <c r="N40" i="6"/>
  <c r="M40" i="6"/>
  <c r="L40" i="6"/>
  <c r="N39" i="6"/>
  <c r="M39" i="6"/>
  <c r="L39" i="6"/>
  <c r="N34" i="6"/>
  <c r="M34" i="6"/>
  <c r="L34" i="6"/>
  <c r="N33" i="6"/>
  <c r="M33" i="6"/>
  <c r="L33" i="6"/>
  <c r="N31" i="6"/>
  <c r="M31" i="6"/>
  <c r="L31" i="6"/>
  <c r="N30" i="6"/>
  <c r="M30" i="6"/>
  <c r="L30" i="6"/>
  <c r="N22" i="6"/>
  <c r="N24" i="6"/>
  <c r="N25" i="6"/>
  <c r="N21" i="6"/>
  <c r="M22" i="6"/>
  <c r="M24" i="6"/>
  <c r="M25" i="6"/>
  <c r="M21" i="6"/>
  <c r="L22" i="6"/>
  <c r="L24" i="6"/>
  <c r="L25" i="6"/>
  <c r="AA34" i="7" l="1"/>
  <c r="AA39" i="7"/>
  <c r="AA37" i="7"/>
  <c r="Y119" i="6"/>
  <c r="Y116" i="6"/>
  <c r="Y103" i="6"/>
  <c r="Y100" i="6"/>
  <c r="Y95" i="6"/>
  <c r="Y90" i="6"/>
  <c r="Y124" i="6"/>
  <c r="Y127" i="6"/>
  <c r="Y108" i="6"/>
  <c r="Y111" i="6"/>
  <c r="O21" i="6"/>
  <c r="O40" i="6"/>
  <c r="O39" i="6"/>
  <c r="O43" i="6"/>
  <c r="O30" i="6"/>
  <c r="O33" i="6"/>
  <c r="O52" i="6"/>
  <c r="O51" i="6"/>
  <c r="O49" i="6"/>
  <c r="O48" i="6"/>
  <c r="O42" i="6"/>
  <c r="O31" i="6"/>
  <c r="O25" i="6"/>
  <c r="O24" i="6"/>
  <c r="O22" i="6"/>
  <c r="W33" i="7" l="1"/>
  <c r="AB90" i="6"/>
  <c r="V34" i="7"/>
  <c r="W34" i="7"/>
  <c r="V33" i="7"/>
  <c r="D24" i="6"/>
  <c r="E24" i="6"/>
  <c r="F24" i="6"/>
  <c r="C24" i="6"/>
  <c r="D23" i="6"/>
  <c r="E23" i="6"/>
  <c r="F23" i="6"/>
  <c r="C23" i="6"/>
  <c r="L15" i="6" l="1"/>
  <c r="M15" i="6"/>
  <c r="N15" i="6"/>
  <c r="L16" i="6"/>
  <c r="M16" i="6"/>
  <c r="N16" i="6"/>
  <c r="N11" i="6"/>
  <c r="N12" i="6"/>
  <c r="N13" i="6"/>
  <c r="N10" i="6"/>
  <c r="M11" i="6"/>
  <c r="M12" i="6"/>
  <c r="M13" i="6"/>
  <c r="M10" i="6"/>
  <c r="L11" i="6"/>
  <c r="L12" i="6"/>
  <c r="L13" i="6"/>
  <c r="L10" i="6"/>
  <c r="N4" i="6"/>
  <c r="M4" i="6"/>
  <c r="L4" i="6"/>
  <c r="K28" i="5"/>
  <c r="K27" i="5"/>
  <c r="B47" i="5"/>
  <c r="B50" i="5"/>
  <c r="B49" i="5"/>
  <c r="B48" i="5"/>
  <c r="B46" i="5"/>
  <c r="L33" i="5"/>
  <c r="M33" i="5"/>
  <c r="N33" i="5"/>
  <c r="K33" i="5"/>
  <c r="L32" i="5"/>
  <c r="M32" i="5"/>
  <c r="N32" i="5"/>
  <c r="K32" i="5"/>
  <c r="L28" i="5"/>
  <c r="M28" i="5"/>
  <c r="N28" i="5"/>
  <c r="L27" i="5"/>
  <c r="M27" i="5"/>
  <c r="N27" i="5"/>
  <c r="C30" i="5"/>
  <c r="C29" i="5"/>
  <c r="M12" i="5"/>
  <c r="M13" i="5"/>
  <c r="M14" i="5"/>
  <c r="M11" i="5"/>
  <c r="L12" i="5"/>
  <c r="L13" i="5"/>
  <c r="L14" i="5"/>
  <c r="L6" i="5"/>
  <c r="L5" i="5"/>
  <c r="C56" i="5" l="1"/>
  <c r="O11" i="6"/>
  <c r="O4" i="6"/>
  <c r="O12" i="6"/>
  <c r="O10" i="6"/>
  <c r="O13" i="6"/>
  <c r="O16" i="6"/>
  <c r="O15" i="6"/>
  <c r="B56" i="5"/>
  <c r="C55" i="5"/>
  <c r="B30" i="5"/>
  <c r="E29" i="5"/>
  <c r="E30" i="5" s="1"/>
  <c r="D30" i="5"/>
  <c r="G29" i="5"/>
  <c r="G30" i="5" s="1"/>
  <c r="F29" i="5"/>
  <c r="F30" i="5" s="1"/>
  <c r="B29" i="5"/>
  <c r="L20" i="5"/>
  <c r="M20" i="5"/>
  <c r="M15" i="5"/>
  <c r="L15" i="5"/>
  <c r="L7" i="5"/>
  <c r="H55" i="5" l="1"/>
  <c r="P9" i="6"/>
  <c r="P23" i="6"/>
  <c r="P20" i="6"/>
  <c r="P32" i="6"/>
  <c r="P38" i="6"/>
  <c r="P29" i="6"/>
  <c r="P50" i="6"/>
  <c r="P41" i="6"/>
  <c r="P47" i="6"/>
  <c r="H54" i="5"/>
  <c r="H30" i="5"/>
  <c r="H29" i="5"/>
  <c r="H2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Muiz</author>
  </authors>
  <commentList>
    <comment ref="N2" authorId="0" shapeId="0" xr:uid="{CB63CB49-A66A-45AD-85B2-3160406F6730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Jika pada entropy didapat hasilnya #NUM! / #DIV/0 maka ganti dengan nilai 0 karena #NUM sama dengan 0</t>
        </r>
      </text>
    </comment>
    <comment ref="I48" authorId="0" shapeId="0" xr:uid="{0C8634FE-CDD7-46AF-92FA-402CA7135303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Rumus sesuai dengan alur pohon keputusan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Muiz</author>
  </authors>
  <commentList>
    <comment ref="O8" authorId="0" shapeId="0" xr:uid="{D8FCEC6E-E989-4D59-9037-060CB155F1B1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Jika pada entropy didapat hasilnya #NUM! / #DIV/0 maka ganti dengan nilai 0 karena #NUM sama dengan 0</t>
        </r>
      </text>
    </comment>
    <comment ref="O19" authorId="0" shapeId="0" xr:uid="{3260B0D0-3EEC-443A-B2DC-919B2F9EBCBB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Jika pada entropy didapat hasilnya #NUM! / #DIV/0 maka ganti dengan nilai 0 karena #NUM sama dengan 0</t>
        </r>
      </text>
    </comment>
    <comment ref="J20" authorId="0" shapeId="0" xr:uid="{F08B7E70-CAB2-4856-88C5-DD39FDC57BC0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Cell yang bewarna biru adalah atribut yang dipakai IPS 3 karena memiliki nilai gain terbesar</t>
        </r>
      </text>
    </comment>
    <comment ref="O28" authorId="0" shapeId="0" xr:uid="{8A4F0D39-3F7D-4E14-8AD5-B22A8CD64198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Jika pada entropy didapat hasilnya #NUM! / #DIV/0 maka ganti dengan nilai 0 karena #NUM sama dengan 0</t>
        </r>
      </text>
    </comment>
    <comment ref="J29" authorId="0" shapeId="0" xr:uid="{9E5E3647-AAA8-4B56-A826-DFDE5F8BD58A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Cell yang bewarna biru adalah atribut yang dipakai IPS 4 karena memiliki nilai gain terbesar</t>
        </r>
      </text>
    </comment>
    <comment ref="H31" authorId="0" shapeId="0" xr:uid="{20FBEF9F-6B1D-4416-B6FA-296D78DAA597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Prediksi diambil dari pohon keputusan yang sudah dilakukan pruning.
</t>
        </r>
      </text>
    </comment>
    <comment ref="O37" authorId="0" shapeId="0" xr:uid="{FC69BC9A-8D89-4EC8-B3FE-CE3296C358F0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Jika pada entropy didapat hasilnya #NUM! / #DIV/0 maka ganti dengan nilai 0 karena #NUM sama dengan 0</t>
        </r>
      </text>
    </comment>
    <comment ref="J38" authorId="0" shapeId="0" xr:uid="{9639AE97-FA30-4DE5-9F18-47091F346BD4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Cell yang bewarna biru adalah atribut yang dipakai IPS 5 karena memiliki nilai gain terbesar</t>
        </r>
      </text>
    </comment>
    <comment ref="O46" authorId="0" shapeId="0" xr:uid="{89FC3FC3-634C-4A9E-8D69-7777AFFC98D4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Jika pada entropy didapat hasilnya #NUM! / #DIV/0 maka ganti dengan nilai 0 karena #NUM sama dengan 0</t>
        </r>
      </text>
    </comment>
    <comment ref="J47" authorId="0" shapeId="0" xr:uid="{CE74EC0F-705F-4019-9A03-9C636B1C847E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Cell yang bewarna biru adalah atribut yang dipakai IPS 6 karena memiliki nilai gain terbesar</t>
        </r>
      </text>
    </comment>
    <comment ref="X89" authorId="0" shapeId="0" xr:uid="{26820797-1706-43EE-9B28-C77F8DE1441C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Jika pada entropy didapat hasilnya #NUM! / #DIV/0 maka ganti dengan nilai 0 karena #NUM sama dengan 0</t>
        </r>
      </text>
    </comment>
    <comment ref="X99" authorId="0" shapeId="0" xr:uid="{0B751D2E-E4F9-4A26-BFF9-3F56173382DF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Jika pada entropy didapat hasilnya #NUM! / #DIV/0 maka ganti dengan nilai 0 karena #NUM sama dengan 0</t>
        </r>
      </text>
    </comment>
    <comment ref="S100" authorId="0" shapeId="0" xr:uid="{2EFDE314-4755-4C71-A440-ADDCE2B737AA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Cell yang bewarna biru adalah atribut yang dipakai IPS 3 karena memiliki nilai gain terbesar</t>
        </r>
      </text>
    </comment>
    <comment ref="X107" authorId="0" shapeId="0" xr:uid="{B654C7F4-8CAF-43E2-A2C2-29DE3B287329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Jika pada entropy didapat hasilnya #NUM! / #DIV/0 maka ganti dengan nilai 0 karena #NUM sama dengan 0</t>
        </r>
      </text>
    </comment>
    <comment ref="S108" authorId="0" shapeId="0" xr:uid="{F74C8C42-8614-4D48-8BEC-5FA61198C92C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Cell yang bewarna biru adalah atribut yang dipakai IPS 3 karena memiliki nilai gain terbesar</t>
        </r>
      </text>
    </comment>
    <comment ref="X115" authorId="0" shapeId="0" xr:uid="{09325DC7-15AB-4A68-B393-499E4014D7EA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Jika pada entropy didapat hasilnya #NUM! / #DIV/0 maka ganti dengan nilai 0 karena #NUM sama dengan 0</t>
        </r>
      </text>
    </comment>
    <comment ref="S116" authorId="0" shapeId="0" xr:uid="{351286F9-1078-4564-8867-EEA8380D8558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Cell yang bewarna biru adalah atribut yang dipakai IPS 3 karena memiliki nilai gain terbesar</t>
        </r>
      </text>
    </comment>
    <comment ref="X123" authorId="0" shapeId="0" xr:uid="{47678B4D-7DB5-4778-BF9F-E99AC2855CDB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Jika pada entropy didapat hasilnya #NUM! / #DIV/0 maka ganti dengan nilai 0 karena #NUM sama dengan 0</t>
        </r>
      </text>
    </comment>
    <comment ref="S124" authorId="0" shapeId="0" xr:uid="{FF02EBEA-6507-4C4B-AE41-6ADBEC9015C3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Cell yang bewarna biru adalah atribut yang dipakai IPS 3 karena memiliki nilai gain terbesar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Muiz</author>
  </authors>
  <commentList>
    <comment ref="J20" authorId="0" shapeId="0" xr:uid="{C792A905-B9D4-493A-98F4-5F0AAE048CA3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Cell yang bewarna biru adalah atribut yang dipakai IPS 3 karena memiliki nilai gini index terkecil</t>
        </r>
      </text>
    </comment>
    <comment ref="J29" authorId="0" shapeId="0" xr:uid="{FE0D63D6-7EA3-43ED-84AC-41AB54232E20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Cell yang bewarna biru adalah atribut yang dipakai IPS 4 karena memiliki nilai gain terbesar</t>
        </r>
      </text>
    </comment>
    <comment ref="H31" authorId="0" shapeId="0" xr:uid="{401C2662-E086-46C6-ADFA-D4EC31004E3D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Prediksi diambil dari pohon keputusan yang sudah dilakukan pruning.
</t>
        </r>
      </text>
    </comment>
    <comment ref="J38" authorId="0" shapeId="0" xr:uid="{E1EEEE32-FD3D-4B01-B838-93F19251E189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Cell yang bewarna biru adalah atribut yang dipakai IPS 5 karena memiliki nilai gain terbesar</t>
        </r>
      </text>
    </comment>
    <comment ref="J47" authorId="0" shapeId="0" xr:uid="{0D1D1BDA-3676-4BEB-839B-4E5163B1CF5B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Cell yang bewarna biru adalah atribut yang dipakai IPS 6 karena memiliki nilai gain terbesar</t>
        </r>
      </text>
    </comment>
    <comment ref="S100" authorId="0" shapeId="0" xr:uid="{59BE8D79-AB77-4D6C-A6A3-4C7E3E284AD5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Cell yang bewarna biru adalah atribut yang dipakai IPS 3 karena memiliki nilai gini index terkecil</t>
        </r>
      </text>
    </comment>
    <comment ref="S108" authorId="0" shapeId="0" xr:uid="{DD061BAD-5845-4D02-9840-EFA68A92BF5F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Cell yang bewarna biru adalah atribut yang dipakai IPS 3 karena memiliki nilai gini index terkecil</t>
        </r>
      </text>
    </comment>
    <comment ref="S116" authorId="0" shapeId="0" xr:uid="{C10D56FC-3811-4658-808C-9EB8DE10FDB0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Cell yang bewarna biru adalah atribut yang dipakai IPS 3 karena memiliki nilai gini index terkecil</t>
        </r>
      </text>
    </comment>
    <comment ref="S124" authorId="0" shapeId="0" xr:uid="{9CD467F4-7909-4902-9959-873759AE04CB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Cell yang bewarna biru adalah atribut yang dipakai IPS 3 karena memiliki nilai gini index terkecil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Muiz</author>
  </authors>
  <commentList>
    <comment ref="S5" authorId="0" shapeId="0" xr:uid="{AEF4B167-B594-4BC6-AE25-D5399E70D0DE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cara hitung
=akar(normalisasi data latih ke n atribut n -normalisasi data uji ke n atribut n)pangkat 2 + ulangi sampai atribut n lainnya)</t>
        </r>
      </text>
    </comment>
    <comment ref="L6" authorId="0" shapeId="0" xr:uid="{0D337B93-87C5-4410-A27B-09A9B9E308B4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Tidak perlu normalisasi, karena bilangan sudah interval antara 0-1</t>
        </r>
      </text>
    </comment>
    <comment ref="Z6" authorId="0" shapeId="0" xr:uid="{949172BE-D955-4216-B0B6-6A5ACD315721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Masukkan nilai </t>
        </r>
        <r>
          <rPr>
            <i/>
            <sz val="9"/>
            <color indexed="81"/>
            <rFont val="Tahoma"/>
            <family val="2"/>
          </rPr>
          <t>k</t>
        </r>
        <r>
          <rPr>
            <sz val="9"/>
            <color indexed="81"/>
            <rFont val="Tahoma"/>
            <family val="2"/>
          </rPr>
          <t xml:space="preserve"> di cell ini, maka cell dibawah akan otomatis kalkulasi</t>
        </r>
      </text>
    </comment>
    <comment ref="AA6" authorId="0" shapeId="0" xr:uid="{21C6D8CD-8764-44BA-B753-1D199E5A9741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Masukkan nilai k di cell ini, maka cell dibawah akan otomatis kalkulasi</t>
        </r>
      </text>
    </comment>
    <comment ref="AB6" authorId="0" shapeId="0" xr:uid="{7348C80D-9156-4ED0-B075-AC251119017B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Masukkan nilai k di cell ini, maka cell dibawah akan otomatis kalkulasi</t>
        </r>
      </text>
    </comment>
    <comment ref="AC6" authorId="0" shapeId="0" xr:uid="{E4201AA9-CBC9-4ECC-87D4-40E6727E5E34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Masukkan nilai k di cell ini, maka cell dibawah akan otomatis kalkulasi</t>
        </r>
      </text>
    </comment>
    <comment ref="AD6" authorId="0" shapeId="0" xr:uid="{0419E19D-A7E0-40BF-8305-F5FBEC59E948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Masukkan nilai k di cell ini, maka cell dibawah akan otomatis kalkulasi</t>
        </r>
      </text>
    </comment>
    <comment ref="AE6" authorId="0" shapeId="0" xr:uid="{1B41DE55-0109-440C-A627-0FFBB4121C33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Masukkan nilai k di cell ini, maka cell dibawah akan otomatis kalkulasi</t>
        </r>
      </text>
    </comment>
    <comment ref="Y28" authorId="0" shapeId="0" xr:uid="{FD18956E-5974-4785-9EF9-8AE32DE02E79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pada cell ini jangan di ubah, akan otoatis jika mengubah nilai k</t>
        </r>
      </text>
    </comment>
    <comment ref="Y29" authorId="0" shapeId="0" xr:uid="{9A9BE201-2F24-4364-A2C8-376E52460B88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pada cell ini jangan di ubah, akan otoatis jika mengubah nilai k</t>
        </r>
      </text>
    </comment>
    <comment ref="AA33" authorId="0" shapeId="0" xr:uid="{0EB4FC6F-A62C-4740-A844-501C49FD8B50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pada cell ini jangan di ubah, akan otoatis jika mengubah nilai </t>
        </r>
        <r>
          <rPr>
            <i/>
            <sz val="9"/>
            <color indexed="81"/>
            <rFont val="Tahoma"/>
            <family val="2"/>
          </rPr>
          <t>k</t>
        </r>
      </text>
    </comment>
    <comment ref="AB33" authorId="0" shapeId="0" xr:uid="{B9717DA0-5161-4ECF-AFDB-99E9F0B7B88D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pada cell ini jangan di ubah, akan otoatis jika mengubah nilai </t>
        </r>
        <r>
          <rPr>
            <i/>
            <sz val="9"/>
            <color indexed="81"/>
            <rFont val="Tahoma"/>
            <family val="2"/>
          </rPr>
          <t>k</t>
        </r>
      </text>
    </comment>
    <comment ref="AC33" authorId="0" shapeId="0" xr:uid="{CA556420-B1FB-44E1-A0F9-62185120D4AD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pada cell ini jangan di ubah, akan otoatis jika mengubah nilai </t>
        </r>
        <r>
          <rPr>
            <i/>
            <sz val="9"/>
            <color indexed="81"/>
            <rFont val="Tahoma"/>
            <family val="2"/>
          </rPr>
          <t>k</t>
        </r>
      </text>
    </comment>
    <comment ref="W37" authorId="0" shapeId="0" xr:uid="{A97E3AA1-983A-4A97-A7A9-927D70EB5855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Jangan di ubah, hasil ini akan otomatis berubah jika tabel confusion berubah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Muiz</author>
  </authors>
  <commentList>
    <comment ref="K1" authorId="0" shapeId="0" xr:uid="{281CF193-828D-4550-AF90-8F47A215B4EC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cara hitung
=akar(normalisasi data latih ke n atribut n -normalisasi data uji ke n atribut n)pangkat 2 + ulangi sampai atribut n lainnya)</t>
        </r>
      </text>
    </comment>
    <comment ref="S21" authorId="0" shapeId="0" xr:uid="{B98AB15B-7F2E-4F7C-91AA-BCA2EA633D3D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pada cell ini jangan di ubah, akan otoatis jika mengubah nilai </t>
        </r>
        <r>
          <rPr>
            <i/>
            <sz val="9"/>
            <color indexed="81"/>
            <rFont val="Tahoma"/>
            <family val="2"/>
          </rPr>
          <t>k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Muiz</author>
  </authors>
  <commentList>
    <comment ref="L5" authorId="0" shapeId="0" xr:uid="{7AC9FAF6-FD8E-4CBA-B532-6069F7136B52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Jumlah Kategori Y, dibagi dengan jumlah data</t>
        </r>
      </text>
    </comment>
    <comment ref="L6" authorId="0" shapeId="0" xr:uid="{EB21B1CA-0724-4E52-91E3-E51AB9CFFB29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Jumlah Kategori T, dibagi dengan jumlah data</t>
        </r>
      </text>
    </comment>
    <comment ref="L11" authorId="0" shapeId="0" xr:uid="{D6F0C6CB-857A-4B36-B8D5-5F1681841901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Pada rumus ini ada penulisan $, ini bertujuan mengunci cell, agar nanti kalau di copy rumusnya ke bawah, cell nya tetap absolute</t>
        </r>
      </text>
    </comment>
    <comment ref="M11" authorId="0" shapeId="0" xr:uid="{6311E242-AFBF-4CED-BD73-FB118B8BA92B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Pada rumus ini ada penulisan $, ini bertujuan mengunci cell, agar nanti kalau di copy rumusnya ke bawah, cell nya tetap absolute</t>
        </r>
      </text>
    </comment>
    <comment ref="L18" authorId="0" shapeId="0" xr:uid="{52DEA441-C692-4028-9E40-20F4B16A7A15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Pada rumus ini ada penulisan $, ini bertujuan mengunci cell, agar nanti kalau di copy rumusnya ke bawah, cell nya tetap absolute</t>
        </r>
      </text>
    </comment>
    <comment ref="M18" authorId="0" shapeId="0" xr:uid="{453D0998-3B54-458B-A7B4-4483748693FD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Pada rumus ini ada penulisan $, ini bertujuan mengunci cell, agar nanti kalau di copy rumusnya ke bawah, cell nya tetap absolute</t>
        </r>
      </text>
    </comment>
    <comment ref="H28" authorId="0" shapeId="0" xr:uid="{740D432B-7C05-4D0C-A935-14741A7E86C0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Hasil Prediksinya di ambil dari nilai tertinggi pada dua hasil dibawah nya
</t>
        </r>
      </text>
    </comment>
    <comment ref="B29" authorId="0" shapeId="0" xr:uid="{51E572A7-696D-45E3-9C7C-7ACA1D96BE68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Rumus VLOOKUP ini digunakan untuk mengambil nilai probabilitas yang sudah ditentukan di atas pada Tahap 2
</t>
        </r>
      </text>
    </comment>
    <comment ref="H29" authorId="0" shapeId="0" xr:uid="{97356910-9C30-4C64-B91F-E552B883A6D1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Tahap 5 :Mengalikan Semua Variabel termasuk nilai probabilitas label kelas nya
</t>
        </r>
      </text>
    </comment>
    <comment ref="B30" authorId="0" shapeId="0" xr:uid="{764D6E96-B657-4412-B46B-298D5F6813C7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Rumus VLOOKUP ini digunakan untuk mengambil nilai probabilitas yang sudah ditentukan di atas pada Tahap 2</t>
        </r>
      </text>
    </comment>
    <comment ref="H30" authorId="0" shapeId="0" xr:uid="{93B61671-6D95-4F11-8A4A-B7E52FB6B37F}">
      <text>
        <r>
          <rPr>
            <b/>
            <sz val="9"/>
            <color indexed="81"/>
            <rFont val="Tahoma"/>
            <family val="2"/>
          </rPr>
          <t>Muiz:</t>
        </r>
        <r>
          <rPr>
            <sz val="9"/>
            <color indexed="81"/>
            <rFont val="Tahoma"/>
            <family val="2"/>
          </rPr>
          <t xml:space="preserve">
Tahap 5 :Mengalikan Semua Variabel termasuk nilai probabilitas label kelas nya</t>
        </r>
      </text>
    </comment>
  </commentList>
</comments>
</file>

<file path=xl/sharedStrings.xml><?xml version="1.0" encoding="utf-8"?>
<sst xmlns="http://schemas.openxmlformats.org/spreadsheetml/2006/main" count="1687" uniqueCount="315">
  <si>
    <t>No</t>
  </si>
  <si>
    <t>JK</t>
  </si>
  <si>
    <t>IPS 3</t>
  </si>
  <si>
    <t>IPS 4</t>
  </si>
  <si>
    <t>IPS 5</t>
  </si>
  <si>
    <t>IPS 6</t>
  </si>
  <si>
    <t>P</t>
  </si>
  <si>
    <t>Y</t>
  </si>
  <si>
    <t>L</t>
  </si>
  <si>
    <t>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</si>
  <si>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</si>
  <si>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</si>
  <si>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</si>
  <si>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</si>
  <si>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</si>
  <si>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</si>
  <si>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</si>
  <si>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</si>
  <si>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</si>
  <si>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</si>
  <si>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MEAN</t>
  </si>
  <si>
    <t>SMK KESEHATAN</t>
  </si>
  <si>
    <t>Probabilitas Label Kelas</t>
  </si>
  <si>
    <t>Atribut</t>
  </si>
  <si>
    <t>Nilai Probabilitas</t>
  </si>
  <si>
    <t>Total</t>
  </si>
  <si>
    <t>Rumus Menghitung Probabilitas</t>
  </si>
  <si>
    <t>Tahap 3 : Menghitung MEAN &amp; Deviasi Atribut Numerik</t>
  </si>
  <si>
    <t>Buat tabel untuk masing-masing atribut berdasarkan nilai label nya</t>
  </si>
  <si>
    <t>Tabel bisa dilihat di sebelah kanan</t>
  </si>
  <si>
    <t>Label Kelas</t>
  </si>
  <si>
    <t>Standar Deviasi</t>
  </si>
  <si>
    <t xml:space="preserve">Tahap 4 : Menghitung / Menentukan hasil prediksi dari data uji </t>
  </si>
  <si>
    <t>dengan mengambil nilai probabilitas yang sudah ditentukan</t>
  </si>
  <si>
    <t>xi adalah sampel data uji dari kategori label kelas x</t>
  </si>
  <si>
    <t>yi adalah sampel data uji dari kategori label kelas y</t>
  </si>
  <si>
    <t>Tahap 1 : Menghitung Probabilitas Label Kelas</t>
  </si>
  <si>
    <t>Tahap 2 : Menghitung Probabilitas Atribut Diskrit</t>
  </si>
  <si>
    <r>
      <t xml:space="preserve">Caranya adalah dengan menggunakan </t>
    </r>
    <r>
      <rPr>
        <b/>
        <sz val="11"/>
        <color theme="1"/>
        <rFont val="Calibri"/>
        <family val="2"/>
        <scheme val="minor"/>
      </rPr>
      <t>Distribusi Gaussian (Khusus data Yang numerik);</t>
    </r>
  </si>
  <si>
    <t>Kelas Asli</t>
  </si>
  <si>
    <t>Kelas Prediksi</t>
  </si>
  <si>
    <t>Data Uji ke-n</t>
  </si>
  <si>
    <t>Confusion Matrix</t>
  </si>
  <si>
    <t>Prediksi</t>
  </si>
  <si>
    <t>Aktual</t>
  </si>
  <si>
    <t>Akurasi</t>
  </si>
  <si>
    <t>Rumus</t>
  </si>
  <si>
    <t>Precision</t>
  </si>
  <si>
    <t>Recall</t>
  </si>
  <si>
    <t>TP / (TP + FP )</t>
  </si>
  <si>
    <t>DATA UJI</t>
  </si>
  <si>
    <t>Nilai = Y</t>
  </si>
  <si>
    <t>Nilai = T</t>
  </si>
  <si>
    <t>Hasil</t>
  </si>
  <si>
    <t>Variabel</t>
  </si>
  <si>
    <t>Performance Vector</t>
  </si>
  <si>
    <t>TP + TN / Jumlah Data</t>
  </si>
  <si>
    <t>atribut</t>
  </si>
  <si>
    <t>Jumlah</t>
  </si>
  <si>
    <t>Entropy</t>
  </si>
  <si>
    <t>Gain</t>
  </si>
  <si>
    <t>Tatahp 1 : Menghitung Nilai Entropy Total Seluruh Data Berdasarkan Kategori Label Kelasnya</t>
  </si>
  <si>
    <t>Tahap 2 : Menghitung Nilai Entropy Untuk Masing-Masing Atribut Berdasarkan Kelasnya</t>
  </si>
  <si>
    <t xml:space="preserve">dan Info Gain Pada Satu Atribut </t>
  </si>
  <si>
    <t>Rata-rata</t>
  </si>
  <si>
    <t>&lt;=2.94</t>
  </si>
  <si>
    <t>&gt;2.94</t>
  </si>
  <si>
    <t>Median</t>
  </si>
  <si>
    <t>&lt;=3.05</t>
  </si>
  <si>
    <t>&gt;3.05</t>
  </si>
  <si>
    <r>
      <t xml:space="preserve">NB : Khusus untuk atribut numerik, lakukan pemecahan dengan mengambil nilai </t>
    </r>
    <r>
      <rPr>
        <b/>
        <i/>
        <sz val="11"/>
        <color theme="1"/>
        <rFont val="Calibri"/>
        <family val="2"/>
        <scheme val="minor"/>
      </rPr>
      <t xml:space="preserve">value </t>
    </r>
    <r>
      <rPr>
        <b/>
        <sz val="11"/>
        <color theme="1"/>
        <rFont val="Calibri"/>
        <family val="2"/>
        <scheme val="minor"/>
      </rPr>
      <t>terbaik dengan nilai gain terbesar</t>
    </r>
  </si>
  <si>
    <t>Ex ; Saya melakukan 2 pemecahan dengan mengambil nilai rata-rata, dan median</t>
  </si>
  <si>
    <t>&lt;=2.78</t>
  </si>
  <si>
    <t>&gt;2.78</t>
  </si>
  <si>
    <t>&lt;=2.98</t>
  </si>
  <si>
    <t>&gt;2.98</t>
  </si>
  <si>
    <t>&lt;=2.70</t>
  </si>
  <si>
    <t>&gt;2.70</t>
  </si>
  <si>
    <t>&lt;=3.07</t>
  </si>
  <si>
    <t>&gt;3.07</t>
  </si>
  <si>
    <t>&lt;=2.91</t>
  </si>
  <si>
    <t>&gt;2.91</t>
  </si>
  <si>
    <t>&lt;=3.20</t>
  </si>
  <si>
    <t>&gt;3.20</t>
  </si>
  <si>
    <r>
      <t xml:space="preserve">TAHAP 3 : Cari nilai </t>
    </r>
    <r>
      <rPr>
        <b/>
        <i/>
        <sz val="11"/>
        <color theme="1"/>
        <rFont val="Calibri"/>
        <family val="2"/>
        <scheme val="minor"/>
      </rPr>
      <t>Gain</t>
    </r>
    <r>
      <rPr>
        <b/>
        <sz val="11"/>
        <color theme="1"/>
        <rFont val="Calibri"/>
        <family val="2"/>
        <scheme val="minor"/>
      </rPr>
      <t xml:space="preserve"> terbesar dari semua atribut yang ditandai warna biru</t>
    </r>
  </si>
  <si>
    <t>Gain Max</t>
  </si>
  <si>
    <t>TAHAP 4 : Buatlah Node akar pohon keputusan berdasarkan atribut di tahap 3</t>
  </si>
  <si>
    <t>Dari hasil tersebut sudah di dapatkan node akar atau simpul pertama pohon keputusan</t>
  </si>
  <si>
    <t>Cara Baca Pohon Keputusan</t>
  </si>
  <si>
    <t>Catatan :</t>
  </si>
  <si>
    <t>Penting :</t>
  </si>
  <si>
    <r>
      <t xml:space="preserve">Untuk keputusan 2 telah dilakukan teknik </t>
    </r>
    <r>
      <rPr>
        <i/>
        <sz val="11"/>
        <color theme="1"/>
        <rFont val="Calibri"/>
        <family val="2"/>
        <scheme val="minor"/>
      </rPr>
      <t>pruning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</si>
  <si>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Apa itu </t>
    </r>
    <r>
      <rPr>
        <i/>
        <u/>
        <sz val="11"/>
        <color theme="1"/>
        <rFont val="Calibri"/>
        <family val="2"/>
        <scheme val="minor"/>
      </rPr>
      <t>pruning</t>
    </r>
    <r>
      <rPr>
        <sz val="11"/>
        <color theme="1"/>
        <rFont val="Calibri"/>
        <family val="2"/>
        <scheme val="minor"/>
      </rPr>
      <t xml:space="preserve"> ?</t>
    </r>
  </si>
  <si>
    <t>Maka solusinya kita hitung lagi dengan menghapus data sesuai kategori.</t>
  </si>
  <si>
    <t>Contoh</t>
  </si>
  <si>
    <r>
      <t xml:space="preserve">Maka untuk perhitungan selanjutnya adalah </t>
    </r>
    <r>
      <rPr>
        <b/>
        <sz val="11"/>
        <color theme="1"/>
        <rFont val="Calibri"/>
        <family val="2"/>
        <scheme val="minor"/>
      </rPr>
      <t>Hapus data latih</t>
    </r>
    <r>
      <rPr>
        <sz val="11"/>
        <color theme="1"/>
        <rFont val="Calibri"/>
        <family val="2"/>
        <scheme val="minor"/>
      </rPr>
      <t xml:space="preserve"> yang nilainya &gt;2.98 dengan label kelas Y</t>
    </r>
  </si>
  <si>
    <t>Tabel di samping kiri adalah data latih yang sudah dihapus berdasarkan kondisi diatas</t>
  </si>
  <si>
    <t>Kemudian Lakukan Perhitungan Lagi</t>
  </si>
  <si>
    <t>&lt;=2.69</t>
  </si>
  <si>
    <t>&gt;2.69</t>
  </si>
  <si>
    <t>&lt;=3.04</t>
  </si>
  <si>
    <t>&gt;3.04</t>
  </si>
  <si>
    <t>&lt;=2.36</t>
  </si>
  <si>
    <t>&gt;2.36</t>
  </si>
  <si>
    <t>&lt;=2.21</t>
  </si>
  <si>
    <t>&gt;2.21</t>
  </si>
  <si>
    <t>&lt;=2.23</t>
  </si>
  <si>
    <t>&gt;2.23</t>
  </si>
  <si>
    <t>&lt;=2.12</t>
  </si>
  <si>
    <t>&gt;2.12</t>
  </si>
  <si>
    <t>&lt;=2.46</t>
  </si>
  <si>
    <t>&gt;2.46</t>
  </si>
  <si>
    <t>&lt;=2.85</t>
  </si>
  <si>
    <t>&gt;2.85</t>
  </si>
  <si>
    <t>KESIMPULAN :</t>
  </si>
  <si>
    <t xml:space="preserve">Maka lakukan seperti tahap sebelumnya, sampai tidak ada simpul pohon yang membingungkan </t>
  </si>
  <si>
    <t>RINGKASAN :</t>
  </si>
  <si>
    <t>Data Uji</t>
  </si>
  <si>
    <t>PREDIKSI</t>
  </si>
  <si>
    <t>P = 0</t>
  </si>
  <si>
    <t>L = 1</t>
  </si>
  <si>
    <t>2= SMK KESEHATAN</t>
  </si>
  <si>
    <r>
      <t xml:space="preserve">Tahap 1 : Melakukan perhitungan </t>
    </r>
    <r>
      <rPr>
        <b/>
        <i/>
        <sz val="11"/>
        <color theme="1"/>
        <rFont val="Calibri"/>
        <family val="2"/>
        <scheme val="minor"/>
      </rPr>
      <t xml:space="preserve">Normalisasi Data </t>
    </r>
    <r>
      <rPr>
        <b/>
        <sz val="11"/>
        <color theme="1"/>
        <rFont val="Calibri"/>
        <family val="2"/>
        <scheme val="minor"/>
      </rPr>
      <t>guna untuk menyelaraskan data dengan interval angka 0 -1</t>
    </r>
  </si>
  <si>
    <t>Max</t>
  </si>
  <si>
    <t>Min</t>
  </si>
  <si>
    <t>Tahap 2 : Lakukan Normalisasi pada data uji seperti tahap 1</t>
  </si>
  <si>
    <t>MAX</t>
  </si>
  <si>
    <t>MIN</t>
  </si>
  <si>
    <r>
      <t xml:space="preserve">Tahap 3 : Menghitung </t>
    </r>
    <r>
      <rPr>
        <b/>
        <i/>
        <sz val="11"/>
        <color theme="1"/>
        <rFont val="Calibri"/>
        <family val="2"/>
        <scheme val="minor"/>
      </rPr>
      <t>Euclidean Distance pada masing-masing data uji</t>
    </r>
  </si>
  <si>
    <t>Data uji 1</t>
  </si>
  <si>
    <t>Data uji 2</t>
  </si>
  <si>
    <t>Data uji 3</t>
  </si>
  <si>
    <t>Data uji 4</t>
  </si>
  <si>
    <t>Data uji 5</t>
  </si>
  <si>
    <t>Data uji 6</t>
  </si>
  <si>
    <t>Euclidean Distance</t>
  </si>
  <si>
    <r>
      <t xml:space="preserve">Tahap 4 : Menentukan nilai </t>
    </r>
    <r>
      <rPr>
        <b/>
        <i/>
        <sz val="11"/>
        <color theme="1"/>
        <rFont val="Calibri"/>
        <family val="2"/>
        <scheme val="minor"/>
      </rPr>
      <t xml:space="preserve">k </t>
    </r>
    <r>
      <rPr>
        <b/>
        <sz val="11"/>
        <color theme="1"/>
        <rFont val="Calibri"/>
        <family val="2"/>
        <scheme val="minor"/>
      </rPr>
      <t xml:space="preserve">dengan mengambil nilai terkecil dari </t>
    </r>
    <r>
      <rPr>
        <b/>
        <i/>
        <sz val="11"/>
        <color theme="1"/>
        <rFont val="Calibri"/>
        <family val="2"/>
        <scheme val="minor"/>
      </rPr>
      <t>distance</t>
    </r>
    <r>
      <rPr>
        <b/>
        <sz val="11"/>
        <color theme="1"/>
        <rFont val="Calibri"/>
        <family val="2"/>
        <scheme val="minor"/>
      </rPr>
      <t xml:space="preserve"> sesuai </t>
    </r>
    <r>
      <rPr>
        <b/>
        <i/>
        <sz val="11"/>
        <color theme="1"/>
        <rFont val="Calibri"/>
        <family val="2"/>
        <scheme val="minor"/>
      </rPr>
      <t>k</t>
    </r>
  </si>
  <si>
    <r>
      <t xml:space="preserve">Nilai </t>
    </r>
    <r>
      <rPr>
        <i/>
        <sz val="11"/>
        <color theme="1"/>
        <rFont val="Calibri"/>
        <family val="2"/>
        <scheme val="minor"/>
      </rPr>
      <t xml:space="preserve">k </t>
    </r>
  </si>
  <si>
    <t>Uji ke 1</t>
  </si>
  <si>
    <t>Uji ke 2</t>
  </si>
  <si>
    <t>Uji ke 3</t>
  </si>
  <si>
    <t>Uji ke 4</t>
  </si>
  <si>
    <t>Uji ke 5</t>
  </si>
  <si>
    <t>Uji ke 6</t>
  </si>
  <si>
    <r>
      <t>Tahap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: Ambil jumlah kelas terbanyak dari nilai </t>
    </r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yang sudah di tentukan untuk hasil prediksi</t>
    </r>
  </si>
  <si>
    <t>Jurusan</t>
  </si>
  <si>
    <t>Label</t>
  </si>
  <si>
    <t>JK | Label ?</t>
  </si>
  <si>
    <t>Asal Sekolah</t>
  </si>
  <si>
    <t>Asal Sekolah | Label ?</t>
  </si>
  <si>
    <t>SMA</t>
  </si>
  <si>
    <t>SMK</t>
  </si>
  <si>
    <t>MA</t>
  </si>
  <si>
    <t>Lulus</t>
  </si>
  <si>
    <t>Tidak Lulus</t>
  </si>
  <si>
    <t>Label Kelas Label = Lulus</t>
  </si>
  <si>
    <t>Label Kelas Label = Tidak Lulus</t>
  </si>
  <si>
    <t>IPS S1</t>
  </si>
  <si>
    <t>IPS S2</t>
  </si>
  <si>
    <t>IPS S3</t>
  </si>
  <si>
    <t>IPS S4</t>
  </si>
  <si>
    <r>
      <t>TP = Kelas Asli</t>
    </r>
    <r>
      <rPr>
        <b/>
        <sz val="11"/>
        <color theme="1"/>
        <rFont val="Calibri"/>
        <family val="2"/>
        <scheme val="minor"/>
      </rPr>
      <t xml:space="preserve"> Lulus</t>
    </r>
    <r>
      <rPr>
        <sz val="11"/>
        <color theme="1"/>
        <rFont val="Calibri"/>
        <family val="2"/>
        <charset val="1"/>
        <scheme val="minor"/>
      </rPr>
      <t xml:space="preserve"> di prediksi Benar Lulus</t>
    </r>
  </si>
  <si>
    <r>
      <t>FP = Kelas Asli</t>
    </r>
    <r>
      <rPr>
        <b/>
        <sz val="11"/>
        <color theme="1"/>
        <rFont val="Calibri"/>
        <family val="2"/>
        <scheme val="minor"/>
      </rPr>
      <t xml:space="preserve"> Lulus</t>
    </r>
    <r>
      <rPr>
        <sz val="11"/>
        <color theme="1"/>
        <rFont val="Calibri"/>
        <family val="2"/>
        <charset val="1"/>
        <scheme val="minor"/>
      </rPr>
      <t xml:space="preserve"> di prediksi Salah Tidak Lulus</t>
    </r>
  </si>
  <si>
    <r>
      <t xml:space="preserve">TN = Kelas Asli </t>
    </r>
    <r>
      <rPr>
        <b/>
        <sz val="11"/>
        <color theme="1"/>
        <rFont val="Calibri"/>
        <family val="2"/>
        <scheme val="minor"/>
      </rPr>
      <t xml:space="preserve">Tidak Lulus </t>
    </r>
    <r>
      <rPr>
        <sz val="11"/>
        <color theme="1"/>
        <rFont val="Calibri"/>
        <family val="2"/>
        <scheme val="minor"/>
      </rPr>
      <t xml:space="preserve">di prediksi Benar </t>
    </r>
    <r>
      <rPr>
        <b/>
        <sz val="11"/>
        <color theme="1"/>
        <rFont val="Calibri"/>
        <family val="2"/>
        <scheme val="minor"/>
      </rPr>
      <t>Tidak Lulus</t>
    </r>
  </si>
  <si>
    <r>
      <t>FN = Kelas Asli</t>
    </r>
    <r>
      <rPr>
        <b/>
        <sz val="11"/>
        <color theme="1"/>
        <rFont val="Calibri"/>
        <family val="2"/>
        <scheme val="minor"/>
      </rPr>
      <t xml:space="preserve"> Tidak Lulus</t>
    </r>
    <r>
      <rPr>
        <sz val="11"/>
        <color theme="1"/>
        <rFont val="Calibri"/>
        <family val="2"/>
        <charset val="1"/>
        <scheme val="minor"/>
      </rPr>
      <t xml:space="preserve"> di prediksi Salah Lulus</t>
    </r>
  </si>
  <si>
    <t>IPS S5</t>
  </si>
  <si>
    <t>IPS S6</t>
  </si>
  <si>
    <r>
      <t xml:space="preserve">Contoh : Kamu lihat </t>
    </r>
    <r>
      <rPr>
        <b/>
        <sz val="11"/>
        <color theme="1"/>
        <rFont val="Calibri"/>
        <family val="2"/>
        <scheme val="minor"/>
      </rPr>
      <t xml:space="preserve">atribut JK </t>
    </r>
    <r>
      <rPr>
        <sz val="11"/>
        <color theme="1"/>
        <rFont val="Calibri"/>
        <family val="2"/>
        <scheme val="minor"/>
      </rPr>
      <t xml:space="preserve">maka telihat jumlah Lulus dan Tidak Lulus posisinya masih membingungkan </t>
    </r>
  </si>
  <si>
    <t xml:space="preserve">Bagaimana jika total jumlah Lulus dan Tidak Lulus posisinya membingungkan ? </t>
  </si>
  <si>
    <t>Asal SMA</t>
  </si>
  <si>
    <r>
      <t xml:space="preserve">Terlihat pohon keputusan ada dua simpul yang masih membingungkan yaitu </t>
    </r>
    <r>
      <rPr>
        <b/>
        <sz val="11"/>
        <color theme="1"/>
        <rFont val="Calibri"/>
        <family val="2"/>
        <scheme val="minor"/>
      </rPr>
      <t>atribut smk kesehatan dan sma</t>
    </r>
  </si>
  <si>
    <t>Anggap saja nilai IPS 4 &lt;=2.98 nilai nya membingungkan, karena nilai Lulus dan Tidak Lulus sama-sama memiliki nilai.</t>
  </si>
  <si>
    <t>1. Jika Terdapat IPS 4 nilainya lebih dari 2.98 maka status Label = Lulus</t>
  </si>
  <si>
    <t>2. Jika Terdapat IPS 4 nilainya kurang dari 2.98 maka status Label = Tidak Lulus</t>
  </si>
  <si>
    <t>Keputusan 1 di dapat dari jumlah total T =0, maka dipastikan IPS 4 jika &gt;2.98 maka keputusannya Lulus</t>
  </si>
  <si>
    <t>Keputusan 2 terlihat jumlah Tidak Lulus lebih besar dari jumlah Lulus sangat signifikan, maka dipastikan IPS 4 &lt;=2.98 keputusannya Tidak Lulus</t>
  </si>
  <si>
    <t>0 = SMA</t>
  </si>
  <si>
    <t>1= SMK</t>
  </si>
  <si>
    <t>3 = MA</t>
  </si>
  <si>
    <t>NB : Inisialisasikan data deskrit menjadi bilangan biner dengan awal 0</t>
  </si>
  <si>
    <t>Jumlah Lulus</t>
  </si>
  <si>
    <t>Jumlah Tidak Lulus</t>
  </si>
  <si>
    <t>Jenis Kelamin</t>
  </si>
  <si>
    <t>Asal Daerah</t>
  </si>
  <si>
    <t>Cuti</t>
  </si>
  <si>
    <t>Nikah</t>
  </si>
  <si>
    <t>Program</t>
  </si>
  <si>
    <t>Kelas</t>
  </si>
  <si>
    <t>Tepat</t>
  </si>
  <si>
    <t>Terlambat</t>
  </si>
  <si>
    <t>Laki-Laki</t>
  </si>
  <si>
    <t>Dalam Kabupaten</t>
  </si>
  <si>
    <t>Tidak</t>
  </si>
  <si>
    <t>Belum</t>
  </si>
  <si>
    <t>Reguler</t>
  </si>
  <si>
    <t>Sudah</t>
  </si>
  <si>
    <t>Perempuan</t>
  </si>
  <si>
    <t>Dalam Provinsi</t>
  </si>
  <si>
    <t>Ya</t>
  </si>
  <si>
    <t>Luar Pulau</t>
  </si>
  <si>
    <t>Karyawan</t>
  </si>
  <si>
    <t>PROBABILITAS KELAS</t>
  </si>
  <si>
    <t>KELAS</t>
  </si>
  <si>
    <t>NILAI</t>
  </si>
  <si>
    <t>DATA TESTING/UJI</t>
  </si>
  <si>
    <t>AKURASI</t>
  </si>
  <si>
    <t>presisi</t>
  </si>
  <si>
    <t>recall</t>
  </si>
  <si>
    <t>Jumlah MK</t>
  </si>
  <si>
    <t>Absensi (%)</t>
  </si>
  <si>
    <t>Jumlah SKS 1-3</t>
  </si>
  <si>
    <t>Keluar</t>
  </si>
  <si>
    <t>DATA TES</t>
  </si>
  <si>
    <t>RUMUS MEAN</t>
  </si>
  <si>
    <t>Mahasiswa</t>
  </si>
  <si>
    <t>RUMUS DEVIASI</t>
  </si>
  <si>
    <t>STANDAR DEVIASI</t>
  </si>
  <si>
    <t>Keterangan:</t>
  </si>
  <si>
    <t>σ = variansatauragamuntukpopulasi</t>
  </si>
  <si>
    <t>fi = Frekuensi</t>
  </si>
  <si>
    <t>xi = Titiktengah</t>
  </si>
  <si>
    <t>x¯ = Rata-rata (mean) sampeldan   μ = rata-rata populasi</t>
  </si>
  <si>
    <t>n =  Jumlah data</t>
  </si>
  <si>
    <t>STDEV mengasumsikan argumennya adalah sampel populasi</t>
  </si>
  <si>
    <t>Jika data Anda merepresentasikan seluruh populasi, maka hitung simpangan baku menggunakan STDEVP.</t>
  </si>
  <si>
    <r>
      <t xml:space="preserve">Distribusi </t>
    </r>
    <r>
      <rPr>
        <b/>
        <i/>
        <sz val="12"/>
        <color indexed="8"/>
        <rFont val="Arial"/>
        <family val="2"/>
      </rPr>
      <t>Gaussian</t>
    </r>
  </si>
  <si>
    <t>?</t>
  </si>
  <si>
    <t>MAX adalah</t>
  </si>
  <si>
    <t>JUMLAH LULUS</t>
  </si>
  <si>
    <t>JUMLAH KELUAR</t>
  </si>
  <si>
    <t>Jarak</t>
  </si>
  <si>
    <t>Pangkat dua</t>
  </si>
  <si>
    <t>STD(Jarak)</t>
  </si>
  <si>
    <t>Ekstensi</t>
  </si>
  <si>
    <r>
      <t xml:space="preserve">Contoh : Kamu lihat </t>
    </r>
    <r>
      <rPr>
        <b/>
        <sz val="11"/>
        <color theme="1"/>
        <rFont val="Calibri"/>
        <family val="2"/>
        <scheme val="minor"/>
      </rPr>
      <t xml:space="preserve">atribut MA </t>
    </r>
    <r>
      <rPr>
        <sz val="11"/>
        <color theme="1"/>
        <rFont val="Calibri"/>
        <family val="2"/>
        <scheme val="minor"/>
      </rPr>
      <t xml:space="preserve">maka telihat jumlah </t>
    </r>
    <r>
      <rPr>
        <b/>
        <sz val="11"/>
        <color theme="1"/>
        <rFont val="Calibri"/>
        <family val="2"/>
        <scheme val="minor"/>
      </rPr>
      <t>Tepat</t>
    </r>
    <r>
      <rPr>
        <sz val="11"/>
        <color theme="1"/>
        <rFont val="Calibri"/>
        <family val="2"/>
        <scheme val="minor"/>
      </rPr>
      <t xml:space="preserve"> dan </t>
    </r>
    <r>
      <rPr>
        <b/>
        <sz val="11"/>
        <color theme="1"/>
        <rFont val="Calibri"/>
        <family val="2"/>
        <scheme val="minor"/>
      </rPr>
      <t>Terlambat</t>
    </r>
    <r>
      <rPr>
        <sz val="11"/>
        <color theme="1"/>
        <rFont val="Calibri"/>
        <family val="2"/>
        <scheme val="minor"/>
      </rPr>
      <t xml:space="preserve"> posisinya masih membingungkan </t>
    </r>
  </si>
  <si>
    <t>Dalam Provisi</t>
  </si>
  <si>
    <t>Pembacaan Pohon Keputusan</t>
  </si>
  <si>
    <t>1. Jika Asal SMA adalah SMK paka label = Tepat</t>
  </si>
  <si>
    <t>2. Jika Asal SMA adalah SMA maka Label = Tepat</t>
  </si>
  <si>
    <r>
      <t xml:space="preserve">3. Jika Asal SMA adalah </t>
    </r>
    <r>
      <rPr>
        <b/>
        <sz val="11"/>
        <color theme="1"/>
        <rFont val="Calibri"/>
        <family val="2"/>
        <scheme val="minor"/>
      </rPr>
      <t>MA</t>
    </r>
    <r>
      <rPr>
        <sz val="11"/>
        <color theme="1"/>
        <rFont val="Calibri"/>
        <family val="2"/>
        <charset val="1"/>
        <scheme val="minor"/>
      </rPr>
      <t xml:space="preserve">, dan Asal Daerah </t>
    </r>
    <r>
      <rPr>
        <b/>
        <sz val="11"/>
        <color theme="1"/>
        <rFont val="Calibri"/>
        <family val="2"/>
        <scheme val="minor"/>
      </rPr>
      <t>Dalam Kabupaten</t>
    </r>
    <r>
      <rPr>
        <sz val="11"/>
        <color theme="1"/>
        <rFont val="Calibri"/>
        <family val="2"/>
        <charset val="1"/>
        <scheme val="minor"/>
      </rPr>
      <t xml:space="preserve"> Maka = Terlambat</t>
    </r>
  </si>
  <si>
    <r>
      <t xml:space="preserve">4. Jika Asal SMA adalah </t>
    </r>
    <r>
      <rPr>
        <b/>
        <sz val="11"/>
        <color theme="1"/>
        <rFont val="Calibri"/>
        <family val="2"/>
        <scheme val="minor"/>
      </rPr>
      <t>MA</t>
    </r>
    <r>
      <rPr>
        <sz val="11"/>
        <color theme="1"/>
        <rFont val="Calibri"/>
        <family val="2"/>
        <charset val="1"/>
        <scheme val="minor"/>
      </rPr>
      <t xml:space="preserve">, dan Asal Daerah </t>
    </r>
    <r>
      <rPr>
        <b/>
        <sz val="11"/>
        <color theme="1"/>
        <rFont val="Calibri"/>
        <family val="2"/>
        <scheme val="minor"/>
      </rPr>
      <t>Luar Pulau</t>
    </r>
    <r>
      <rPr>
        <sz val="11"/>
        <color theme="1"/>
        <rFont val="Calibri"/>
        <family val="2"/>
        <charset val="1"/>
        <scheme val="minor"/>
      </rPr>
      <t xml:space="preserve"> Maka = Terlambat</t>
    </r>
  </si>
  <si>
    <r>
      <t>5. Jika Asal SMA adalah</t>
    </r>
    <r>
      <rPr>
        <b/>
        <sz val="11"/>
        <color theme="1"/>
        <rFont val="Calibri"/>
        <family val="2"/>
        <scheme val="minor"/>
      </rPr>
      <t xml:space="preserve"> MA</t>
    </r>
    <r>
      <rPr>
        <sz val="11"/>
        <color theme="1"/>
        <rFont val="Calibri"/>
        <family val="2"/>
        <charset val="1"/>
        <scheme val="minor"/>
      </rPr>
      <t xml:space="preserve">, dan Asal Daerah </t>
    </r>
    <r>
      <rPr>
        <b/>
        <sz val="11"/>
        <color theme="1"/>
        <rFont val="Calibri"/>
        <family val="2"/>
        <scheme val="minor"/>
      </rPr>
      <t>Dalam Provinsi</t>
    </r>
    <r>
      <rPr>
        <sz val="11"/>
        <color theme="1"/>
        <rFont val="Calibri"/>
        <family val="2"/>
        <charset val="1"/>
        <scheme val="minor"/>
      </rPr>
      <t xml:space="preserve"> Maka = Tepat</t>
    </r>
  </si>
  <si>
    <t>Max Gain</t>
  </si>
  <si>
    <t>Data Latih</t>
  </si>
  <si>
    <t>Tanggal</t>
  </si>
  <si>
    <t>Pembukaan</t>
  </si>
  <si>
    <t>Tertinggi</t>
  </si>
  <si>
    <t>Terendah</t>
  </si>
  <si>
    <t>Label Terakhir</t>
  </si>
  <si>
    <t>Normalisasi</t>
  </si>
  <si>
    <t>Normalisasi Data Uji</t>
  </si>
  <si>
    <t>TP / (TP + FN)</t>
  </si>
  <si>
    <t>TP</t>
  </si>
  <si>
    <t>FP</t>
  </si>
  <si>
    <t>FN</t>
  </si>
  <si>
    <t>TN</t>
  </si>
  <si>
    <t>Jeruk</t>
  </si>
  <si>
    <t>Anggur</t>
  </si>
  <si>
    <t>Pepaya</t>
  </si>
  <si>
    <t>Confusion Matrix 3x3</t>
  </si>
  <si>
    <t>1+3</t>
  </si>
  <si>
    <t>8+2</t>
  </si>
  <si>
    <t>9+3</t>
  </si>
  <si>
    <r>
      <t>7 / ( 7 +  4 ) = </t>
    </r>
    <r>
      <rPr>
        <b/>
        <sz val="11"/>
        <color theme="1"/>
        <rFont val="Calibri"/>
        <family val="2"/>
        <scheme val="minor"/>
      </rPr>
      <t>0,63</t>
    </r>
  </si>
  <si>
    <r>
      <t>2 / ( 2 + 10 ) = </t>
    </r>
    <r>
      <rPr>
        <b/>
        <sz val="11"/>
        <color theme="1"/>
        <rFont val="Calibri"/>
        <family val="2"/>
        <scheme val="minor"/>
      </rPr>
      <t>0,16</t>
    </r>
  </si>
  <si>
    <r>
      <t>1 / (1 + 11 ) = </t>
    </r>
    <r>
      <rPr>
        <b/>
        <sz val="11"/>
        <color theme="1"/>
        <rFont val="Calibri"/>
        <family val="2"/>
        <scheme val="minor"/>
      </rPr>
      <t>0,08</t>
    </r>
  </si>
  <si>
    <r>
      <t xml:space="preserve">Nilai </t>
    </r>
    <r>
      <rPr>
        <b/>
        <i/>
        <sz val="11"/>
        <color theme="1"/>
        <rFont val="Calibri"/>
        <family val="2"/>
        <scheme val="minor"/>
      </rPr>
      <t>k</t>
    </r>
  </si>
  <si>
    <t>Tahap 2 : Menghitung Nilai Gini Index Untuk Masing-Masing Atribut Berdasarkan Kelasnya</t>
  </si>
  <si>
    <t>Gini Index</t>
  </si>
  <si>
    <t>Tatahp 1 : Menghitung Nilai Total Seluruh Data Berdasarkan Kategori Label Kelasnya</t>
  </si>
  <si>
    <r>
      <t xml:space="preserve">NB : Khusus untuk atribut numerik, lakukan pemecahan dengan mengambil nilai </t>
    </r>
    <r>
      <rPr>
        <b/>
        <i/>
        <sz val="11"/>
        <color theme="1"/>
        <rFont val="Calibri"/>
        <family val="2"/>
        <scheme val="minor"/>
      </rPr>
      <t xml:space="preserve">value </t>
    </r>
    <r>
      <rPr>
        <b/>
        <sz val="11"/>
        <color theme="1"/>
        <rFont val="Calibri"/>
        <family val="2"/>
        <scheme val="minor"/>
      </rPr>
      <t>terbaik dengan nilai gini index terkecil</t>
    </r>
  </si>
  <si>
    <t>Gini Index Terkecil</t>
  </si>
  <si>
    <t>Gini Min</t>
  </si>
  <si>
    <t>Untuk atribut IPS S3 pada &gt;2.69 nilainya masih membingungkan</t>
  </si>
  <si>
    <r>
      <t xml:space="preserve">Dengan Menghapus Data Latih pada tabel data latih pada tahap sebelumnya yang memiliki kriteria IPS S3 nya &lt;=2.69 dengan kelas </t>
    </r>
    <r>
      <rPr>
        <b/>
        <sz val="11"/>
        <color theme="1"/>
        <rFont val="Calibri"/>
        <family val="2"/>
        <scheme val="minor"/>
      </rPr>
      <t>Tidak Lulus</t>
    </r>
  </si>
  <si>
    <t>Nah, Selanjutnya lakukan perhitungan dengan cara yang sama dengan cara sebelumnya pada sisa data diatas</t>
  </si>
  <si>
    <r>
      <t xml:space="preserve">Hasil akhir adalah di jumlah dan dibagi jumlah </t>
    </r>
    <r>
      <rPr>
        <b/>
        <i/>
        <sz val="11"/>
        <color theme="1"/>
        <rFont val="Calibri"/>
        <family val="2"/>
        <scheme val="minor"/>
      </rPr>
      <t>k atau dicari nilai rata-rata</t>
    </r>
  </si>
  <si>
    <t>Evaluasi Performa Model</t>
  </si>
  <si>
    <t>Dalam tahap ini tidak menggunakan confusion matrix, tapi RMSE</t>
  </si>
  <si>
    <t>Selisih Prediksi</t>
  </si>
  <si>
    <t>RMSE</t>
  </si>
  <si>
    <t>MSE</t>
  </si>
  <si>
    <r>
      <t>RMSE (</t>
    </r>
    <r>
      <rPr>
        <i/>
        <sz val="11"/>
        <color theme="1"/>
        <rFont val="Calibri"/>
        <family val="2"/>
        <scheme val="minor"/>
      </rPr>
      <t>Root Mean Square Error),</t>
    </r>
    <r>
      <rPr>
        <sz val="11"/>
        <color theme="1"/>
        <rFont val="Calibri"/>
        <family val="2"/>
        <scheme val="minor"/>
      </rPr>
      <t xml:space="preserve"> MSE (</t>
    </r>
    <r>
      <rPr>
        <i/>
        <sz val="11"/>
        <color theme="1"/>
        <rFont val="Calibri"/>
        <family val="2"/>
        <scheme val="minor"/>
      </rPr>
      <t>Mean Square Error)</t>
    </r>
  </si>
  <si>
    <t>(Prediki-Asli)^2</t>
  </si>
  <si>
    <t>SUM</t>
  </si>
  <si>
    <t>MAE</t>
  </si>
  <si>
    <t>(Prediksi-Asli)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</si>
  <si>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</si>
  <si>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</si>
  <si>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</si>
  <si>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</si>
  <si>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</si>
  <si>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</si>
  <si>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</si>
  <si>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</si>
  <si>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</si>
  <si>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</si>
  <si>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</si>
  <si>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</si>
  <si>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</si>
  <si>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</si>
  <si>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</si>
  <si>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</si>
  <si>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</si>
  <si>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</si>
  <si>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</si>
  <si>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</si>
  <si>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</si>
  <si>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</si>
  <si>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</si>
  <si>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</si>
  <si>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</si>
  <si>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3.6</t>
  </si>
  <si>
    <t>Residuals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</si>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</sst>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  <numFmt numFmtId="167" formatCode="0.000000"/>
    <numFmt numFmtId="168" formatCode="0.0000"/>
  </numFmts>
  <fonts count="3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name val="Calibri"/>
      <family val="2"/>
    </font>
    <font>
      <sz val="11"/>
      <name val="Calibri"/>
      <family val="2"/>
      <charset val="1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rgb="FF0070C0"/>
      <name val="Calibri"/>
      <family val="2"/>
      <charset val="1"/>
      <scheme val="minor"/>
    </font>
    <font>
      <i/>
      <u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i/>
      <sz val="9"/>
      <color indexed="8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rgb="FF000000"/>
      <name val="Arial"/>
      <family val="2"/>
    </font>
    <font>
      <sz val="12"/>
      <color rgb="FF2F2F2F"/>
      <name val="Segoe UI"/>
      <family val="2"/>
    </font>
    <font>
      <b/>
      <i/>
      <sz val="12"/>
      <color indexed="8"/>
      <name val="Arial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charset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theme="5"/>
      </patternFill>
    </fill>
    <fill>
      <patternFill patternType="solid">
        <fgColor rgb="FF92D050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theme="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theme="5"/>
      </patternFill>
    </fill>
    <fill>
      <patternFill patternType="solid">
        <fgColor theme="5" tint="0.39997558519241921"/>
        <bgColor indexed="58"/>
      </patternFill>
    </fill>
    <fill>
      <patternFill patternType="solid">
        <fgColor rgb="FF66FF6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26"/>
      </patternFill>
    </fill>
    <fill>
      <patternFill patternType="solid">
        <fgColor rgb="FF00B0F0"/>
        <bgColor indexed="26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214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9" fontId="4" fillId="2" borderId="2" xfId="0" applyNumberFormat="1" applyFont="1" applyFill="1" applyBorder="1" applyAlignment="1">
      <alignment horizontal="center" vertical="center"/>
    </xf>
    <xf numFmtId="0" fontId="0" fillId="3" borderId="2" xfId="0" quotePrefix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9" fontId="4" fillId="0" borderId="4" xfId="0" applyNumberFormat="1" applyFont="1" applyBorder="1" applyAlignment="1">
      <alignment horizontal="left" vertical="center"/>
    </xf>
    <xf numFmtId="0" fontId="0" fillId="5" borderId="2" xfId="0" applyFill="1" applyBorder="1"/>
    <xf numFmtId="0" fontId="0" fillId="6" borderId="2" xfId="0" applyFill="1" applyBorder="1"/>
    <xf numFmtId="164" fontId="0" fillId="0" borderId="2" xfId="0" applyNumberFormat="1" applyBorder="1"/>
    <xf numFmtId="0" fontId="0" fillId="4" borderId="2" xfId="0" quotePrefix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8" borderId="2" xfId="0" applyFill="1" applyBorder="1"/>
    <xf numFmtId="0" fontId="0" fillId="7" borderId="2" xfId="0" applyFill="1" applyBorder="1"/>
    <xf numFmtId="0" fontId="0" fillId="4" borderId="2" xfId="0" applyFill="1" applyBorder="1"/>
    <xf numFmtId="0" fontId="3" fillId="9" borderId="2" xfId="0" applyFont="1" applyFill="1" applyBorder="1"/>
    <xf numFmtId="2" fontId="0" fillId="0" borderId="2" xfId="0" applyNumberFormat="1" applyBorder="1"/>
    <xf numFmtId="0" fontId="7" fillId="0" borderId="0" xfId="0" applyFont="1"/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" fillId="11" borderId="2" xfId="0" applyFont="1" applyFill="1" applyBorder="1" applyAlignment="1">
      <alignment horizontal="center" vertical="center"/>
    </xf>
    <xf numFmtId="9" fontId="4" fillId="11" borderId="2" xfId="0" applyNumberFormat="1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/>
    </xf>
    <xf numFmtId="0" fontId="9" fillId="12" borderId="2" xfId="0" applyFont="1" applyFill="1" applyBorder="1" applyAlignment="1">
      <alignment horizontal="center"/>
    </xf>
    <xf numFmtId="0" fontId="10" fillId="13" borderId="2" xfId="0" applyFont="1" applyFill="1" applyBorder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top"/>
    </xf>
    <xf numFmtId="0" fontId="3" fillId="14" borderId="2" xfId="0" applyFont="1" applyFill="1" applyBorder="1"/>
    <xf numFmtId="0" fontId="3" fillId="15" borderId="2" xfId="0" applyFont="1" applyFill="1" applyBorder="1" applyAlignment="1">
      <alignment vertical="center"/>
    </xf>
    <xf numFmtId="0" fontId="3" fillId="15" borderId="2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15" borderId="7" xfId="0" applyFont="1" applyFill="1" applyBorder="1" applyAlignment="1">
      <alignment vertical="center"/>
    </xf>
    <xf numFmtId="0" fontId="3" fillId="15" borderId="8" xfId="0" applyFont="1" applyFill="1" applyBorder="1" applyAlignment="1">
      <alignment vertical="center"/>
    </xf>
    <xf numFmtId="0" fontId="0" fillId="0" borderId="9" xfId="0" applyBorder="1"/>
    <xf numFmtId="0" fontId="0" fillId="8" borderId="9" xfId="0" applyFill="1" applyBorder="1"/>
    <xf numFmtId="0" fontId="0" fillId="16" borderId="9" xfId="0" applyFill="1" applyBorder="1"/>
    <xf numFmtId="0" fontId="12" fillId="7" borderId="10" xfId="0" applyFont="1" applyFill="1" applyBorder="1"/>
    <xf numFmtId="0" fontId="0" fillId="16" borderId="10" xfId="0" applyFill="1" applyBorder="1"/>
    <xf numFmtId="0" fontId="0" fillId="7" borderId="9" xfId="0" applyFill="1" applyBorder="1"/>
    <xf numFmtId="0" fontId="11" fillId="0" borderId="0" xfId="0" applyFont="1" applyAlignment="1">
      <alignment horizontal="center" vertical="center"/>
    </xf>
    <xf numFmtId="2" fontId="14" fillId="7" borderId="0" xfId="0" applyNumberFormat="1" applyFont="1" applyFill="1"/>
    <xf numFmtId="9" fontId="4" fillId="17" borderId="2" xfId="0" applyNumberFormat="1" applyFont="1" applyFill="1" applyBorder="1" applyAlignment="1">
      <alignment horizontal="center" vertical="center"/>
    </xf>
    <xf numFmtId="0" fontId="3" fillId="8" borderId="0" xfId="0" applyFont="1" applyFill="1"/>
    <xf numFmtId="2" fontId="15" fillId="0" borderId="0" xfId="0" applyNumberFormat="1" applyFont="1"/>
    <xf numFmtId="0" fontId="3" fillId="4" borderId="9" xfId="0" applyFont="1" applyFill="1" applyBorder="1"/>
    <xf numFmtId="0" fontId="3" fillId="15" borderId="9" xfId="0" applyFont="1" applyFill="1" applyBorder="1" applyAlignment="1">
      <alignment horizontal="center"/>
    </xf>
    <xf numFmtId="0" fontId="0" fillId="15" borderId="2" xfId="0" applyFill="1" applyBorder="1" applyAlignment="1">
      <alignment horizontal="center" vertical="center"/>
    </xf>
    <xf numFmtId="0" fontId="0" fillId="8" borderId="0" xfId="0" applyFill="1"/>
    <xf numFmtId="9" fontId="4" fillId="2" borderId="7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8" borderId="2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14" borderId="2" xfId="0" applyFill="1" applyBorder="1"/>
    <xf numFmtId="0" fontId="3" fillId="4" borderId="2" xfId="0" applyFont="1" applyFill="1" applyBorder="1"/>
    <xf numFmtId="0" fontId="3" fillId="0" borderId="2" xfId="0" applyFont="1" applyBorder="1"/>
    <xf numFmtId="0" fontId="0" fillId="14" borderId="0" xfId="0" applyFill="1"/>
    <xf numFmtId="0" fontId="0" fillId="19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20" borderId="2" xfId="0" applyFont="1" applyFill="1" applyBorder="1" applyAlignment="1">
      <alignment horizontal="center" vertical="center"/>
    </xf>
    <xf numFmtId="9" fontId="4" fillId="20" borderId="2" xfId="0" applyNumberFormat="1" applyFont="1" applyFill="1" applyBorder="1" applyAlignment="1">
      <alignment horizontal="center" vertical="center"/>
    </xf>
    <xf numFmtId="0" fontId="21" fillId="3" borderId="2" xfId="3" quotePrefix="1" applyFill="1" applyBorder="1" applyAlignment="1">
      <alignment horizontal="center" vertical="center"/>
    </xf>
    <xf numFmtId="0" fontId="21" fillId="3" borderId="2" xfId="3" applyFill="1" applyBorder="1" applyAlignment="1">
      <alignment horizontal="center" vertical="center"/>
    </xf>
    <xf numFmtId="0" fontId="21" fillId="3" borderId="2" xfId="3" applyNumberFormat="1" applyFill="1" applyBorder="1" applyAlignment="1">
      <alignment horizontal="center" vertical="center"/>
    </xf>
    <xf numFmtId="0" fontId="21" fillId="0" borderId="2" xfId="3" quotePrefix="1" applyBorder="1" applyAlignment="1">
      <alignment horizontal="center" vertical="center"/>
    </xf>
    <xf numFmtId="0" fontId="21" fillId="0" borderId="2" xfId="3" applyBorder="1" applyAlignment="1">
      <alignment horizontal="center" vertical="center"/>
    </xf>
    <xf numFmtId="0" fontId="21" fillId="0" borderId="0" xfId="3" applyAlignment="1">
      <alignment horizontal="center"/>
    </xf>
    <xf numFmtId="0" fontId="21" fillId="0" borderId="2" xfId="3" applyBorder="1" applyAlignment="1">
      <alignment horizontal="center"/>
    </xf>
    <xf numFmtId="0" fontId="3" fillId="8" borderId="2" xfId="0" applyFont="1" applyFill="1" applyBorder="1"/>
    <xf numFmtId="2" fontId="14" fillId="7" borderId="2" xfId="0" applyNumberFormat="1" applyFont="1" applyFill="1" applyBorder="1"/>
    <xf numFmtId="2" fontId="15" fillId="0" borderId="2" xfId="0" applyNumberFormat="1" applyFont="1" applyBorder="1"/>
    <xf numFmtId="0" fontId="2" fillId="0" borderId="0" xfId="0" applyFont="1"/>
    <xf numFmtId="0" fontId="3" fillId="4" borderId="2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/>
    </xf>
    <xf numFmtId="165" fontId="22" fillId="4" borderId="2" xfId="0" applyNumberFormat="1" applyFont="1" applyFill="1" applyBorder="1" applyAlignment="1">
      <alignment horizontal="center" vertical="center"/>
    </xf>
    <xf numFmtId="0" fontId="11" fillId="7" borderId="2" xfId="0" applyFont="1" applyFill="1" applyBorder="1"/>
    <xf numFmtId="0" fontId="0" fillId="9" borderId="2" xfId="0" applyFill="1" applyBorder="1" applyAlignment="1">
      <alignment horizontal="left"/>
    </xf>
    <xf numFmtId="0" fontId="22" fillId="8" borderId="2" xfId="0" applyFont="1" applyFill="1" applyBorder="1" applyAlignment="1">
      <alignment horizontal="center"/>
    </xf>
    <xf numFmtId="164" fontId="0" fillId="0" borderId="2" xfId="2" applyNumberFormat="1" applyFont="1" applyFill="1" applyBorder="1"/>
    <xf numFmtId="0" fontId="11" fillId="0" borderId="2" xfId="0" applyFont="1" applyBorder="1"/>
    <xf numFmtId="0" fontId="22" fillId="4" borderId="2" xfId="0" applyFont="1" applyFill="1" applyBorder="1" applyAlignment="1">
      <alignment horizontal="center"/>
    </xf>
    <xf numFmtId="164" fontId="0" fillId="0" borderId="0" xfId="0" applyNumberFormat="1"/>
    <xf numFmtId="0" fontId="11" fillId="9" borderId="2" xfId="0" applyFont="1" applyFill="1" applyBorder="1"/>
    <xf numFmtId="0" fontId="0" fillId="0" borderId="11" xfId="0" applyBorder="1" applyAlignment="1" applyProtection="1">
      <alignment horizontal="center" vertical="center"/>
      <protection locked="0"/>
    </xf>
    <xf numFmtId="0" fontId="9" fillId="21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2" fontId="11" fillId="0" borderId="2" xfId="0" applyNumberFormat="1" applyFont="1" applyBorder="1"/>
    <xf numFmtId="0" fontId="23" fillId="0" borderId="0" xfId="0" applyFont="1"/>
    <xf numFmtId="0" fontId="0" fillId="8" borderId="2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2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22" borderId="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0" fillId="0" borderId="0" xfId="0" applyFont="1"/>
    <xf numFmtId="0" fontId="24" fillId="0" borderId="0" xfId="0" applyFont="1"/>
    <xf numFmtId="0" fontId="3" fillId="0" borderId="7" xfId="0" applyFont="1" applyBorder="1"/>
    <xf numFmtId="0" fontId="0" fillId="0" borderId="17" xfId="0" applyBorder="1"/>
    <xf numFmtId="0" fontId="11" fillId="7" borderId="9" xfId="0" applyFont="1" applyFill="1" applyBorder="1"/>
    <xf numFmtId="0" fontId="11" fillId="0" borderId="9" xfId="0" applyFont="1" applyBorder="1"/>
    <xf numFmtId="166" fontId="0" fillId="0" borderId="0" xfId="1" applyNumberFormat="1" applyFont="1"/>
    <xf numFmtId="0" fontId="0" fillId="23" borderId="0" xfId="0" applyFill="1"/>
    <xf numFmtId="0" fontId="0" fillId="23" borderId="9" xfId="0" applyFill="1" applyBorder="1"/>
    <xf numFmtId="0" fontId="0" fillId="0" borderId="9" xfId="0" applyBorder="1" applyAlignment="1">
      <alignment vertical="center"/>
    </xf>
    <xf numFmtId="0" fontId="3" fillId="0" borderId="9" xfId="0" applyFont="1" applyBorder="1"/>
    <xf numFmtId="0" fontId="0" fillId="24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14" fontId="0" fillId="25" borderId="2" xfId="0" applyNumberFormat="1" applyFill="1" applyBorder="1" applyAlignment="1">
      <alignment horizontal="center" vertical="center"/>
    </xf>
    <xf numFmtId="4" fontId="0" fillId="25" borderId="2" xfId="0" applyNumberFormat="1" applyFill="1" applyBorder="1" applyAlignment="1">
      <alignment horizontal="center" vertical="center"/>
    </xf>
    <xf numFmtId="4" fontId="0" fillId="14" borderId="2" xfId="0" applyNumberFormat="1" applyFill="1" applyBorder="1" applyAlignment="1">
      <alignment horizontal="center" vertical="center"/>
    </xf>
    <xf numFmtId="4" fontId="26" fillId="25" borderId="2" xfId="0" applyNumberFormat="1" applyFont="1" applyFill="1" applyBorder="1" applyAlignment="1">
      <alignment horizontal="center" vertical="center"/>
    </xf>
    <xf numFmtId="4" fontId="27" fillId="25" borderId="2" xfId="0" applyNumberFormat="1" applyFont="1" applyFill="1" applyBorder="1" applyAlignment="1">
      <alignment horizontal="center" vertical="center"/>
    </xf>
    <xf numFmtId="4" fontId="28" fillId="25" borderId="2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28" fillId="0" borderId="2" xfId="0" applyNumberFormat="1" applyFont="1" applyBorder="1" applyAlignment="1">
      <alignment horizontal="center" vertical="center"/>
    </xf>
    <xf numFmtId="167" fontId="0" fillId="0" borderId="2" xfId="0" applyNumberFormat="1" applyBorder="1"/>
    <xf numFmtId="0" fontId="0" fillId="0" borderId="0" xfId="0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0" fontId="0" fillId="0" borderId="3" xfId="0" applyBorder="1"/>
    <xf numFmtId="0" fontId="0" fillId="4" borderId="1" xfId="0" applyFill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9" fillId="12" borderId="2" xfId="0" applyFont="1" applyFill="1" applyBorder="1" applyAlignment="1">
      <alignment horizontal="center" vertical="center"/>
    </xf>
    <xf numFmtId="0" fontId="10" fillId="26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27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right"/>
    </xf>
    <xf numFmtId="16" fontId="0" fillId="0" borderId="0" xfId="0" applyNumberFormat="1"/>
    <xf numFmtId="0" fontId="0" fillId="0" borderId="10" xfId="0" applyBorder="1"/>
    <xf numFmtId="0" fontId="0" fillId="0" borderId="0" xfId="0" quotePrefix="1" applyAlignment="1">
      <alignment horizontal="center" vertical="center"/>
    </xf>
    <xf numFmtId="4" fontId="0" fillId="19" borderId="2" xfId="0" applyNumberFormat="1" applyFill="1" applyBorder="1" applyAlignment="1">
      <alignment horizontal="center" vertical="center"/>
    </xf>
    <xf numFmtId="168" fontId="0" fillId="0" borderId="2" xfId="0" applyNumberFormat="1" applyBorder="1"/>
    <xf numFmtId="4" fontId="0" fillId="15" borderId="2" xfId="0" applyNumberFormat="1" applyFill="1" applyBorder="1" applyAlignment="1">
      <alignment horizontal="center" vertical="center"/>
    </xf>
    <xf numFmtId="4" fontId="0" fillId="0" borderId="2" xfId="0" applyNumberFormat="1" applyBorder="1"/>
    <xf numFmtId="0" fontId="0" fillId="0" borderId="24" xfId="0" applyBorder="1"/>
    <xf numFmtId="0" fontId="29" fillId="0" borderId="25" xfId="0" applyFont="1" applyBorder="1" applyAlignment="1">
      <alignment horizontal="center"/>
    </xf>
    <xf numFmtId="0" fontId="29" fillId="0" borderId="25" xfId="0" applyFont="1" applyBorder="1" applyAlignment="1">
      <alignment horizontal="centerContinuous"/>
    </xf>
    <xf numFmtId="0" fontId="3" fillId="0" borderId="1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3" fillId="16" borderId="0" xfId="0" applyFont="1" applyFill="1" applyAlignment="1">
      <alignment horizontal="center"/>
    </xf>
    <xf numFmtId="0" fontId="3" fillId="15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15" borderId="22" xfId="0" applyFont="1" applyFill="1" applyBorder="1" applyAlignment="1">
      <alignment horizontal="center" vertical="center"/>
    </xf>
    <xf numFmtId="0" fontId="3" fillId="15" borderId="2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5" borderId="0" xfId="0" applyFont="1" applyFill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6" borderId="2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22" borderId="2" xfId="0" applyFont="1" applyFill="1" applyBorder="1" applyAlignment="1">
      <alignment horizontal="center" vertical="center" wrapText="1"/>
    </xf>
  </cellXfs>
  <cellStyles count="4">
    <cellStyle name="Comma" xfId="1" builtinId="3"/>
    <cellStyle name="Explanatory Text" xfId="3" builtinId="53"/>
    <cellStyle name="Normal" xfId="0" builtinId="0"/>
    <cellStyle name="Percent" xfId="2" builtinId="5"/>
  </cellStyles>
  <dxfs count="3"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Regresi!$A$2:$A$21</c:f>
              <c:numCache>
                <c:formatCode>General</c:formatCode>
                <c:ptCount val="20"/>
                <c:pt idx="0">
                  <c:v>3.6</c:v>
                </c:pt>
                <c:pt idx="1">
                  <c:v>3.6</c:v>
                </c:pt>
                <c:pt idx="2">
                  <c:v>3.05</c:v>
                </c:pt>
                <c:pt idx="3">
                  <c:v>3.3</c:v>
                </c:pt>
                <c:pt idx="4">
                  <c:v>3.05</c:v>
                </c:pt>
                <c:pt idx="5">
                  <c:v>3.35</c:v>
                </c:pt>
                <c:pt idx="6">
                  <c:v>2.02</c:v>
                </c:pt>
                <c:pt idx="7">
                  <c:v>3.3</c:v>
                </c:pt>
                <c:pt idx="8">
                  <c:v>3.05</c:v>
                </c:pt>
                <c:pt idx="9">
                  <c:v>3.05</c:v>
                </c:pt>
                <c:pt idx="10">
                  <c:v>2.38</c:v>
                </c:pt>
                <c:pt idx="11">
                  <c:v>2.15</c:v>
                </c:pt>
                <c:pt idx="12">
                  <c:v>3.28</c:v>
                </c:pt>
                <c:pt idx="13">
                  <c:v>2.77</c:v>
                </c:pt>
                <c:pt idx="14">
                  <c:v>3.28</c:v>
                </c:pt>
                <c:pt idx="15">
                  <c:v>3.28</c:v>
                </c:pt>
                <c:pt idx="16">
                  <c:v>3.03</c:v>
                </c:pt>
                <c:pt idx="17">
                  <c:v>1.1399999999999999</c:v>
                </c:pt>
                <c:pt idx="18">
                  <c:v>3.04</c:v>
                </c:pt>
                <c:pt idx="19">
                  <c:v>3.13</c:v>
                </c:pt>
              </c:numCache>
            </c:numRef>
          </c:xVal>
          <c:yVal>
            <c:numRef>
              <c:f>Regresi!$B$2:$B$21</c:f>
              <c:numCache>
                <c:formatCode>General</c:formatCode>
                <c:ptCount val="20"/>
                <c:pt idx="0">
                  <c:v>3.58</c:v>
                </c:pt>
                <c:pt idx="1">
                  <c:v>3.68</c:v>
                </c:pt>
                <c:pt idx="2">
                  <c:v>3.05</c:v>
                </c:pt>
                <c:pt idx="3">
                  <c:v>3.42</c:v>
                </c:pt>
                <c:pt idx="4">
                  <c:v>3.2</c:v>
                </c:pt>
                <c:pt idx="5">
                  <c:v>3</c:v>
                </c:pt>
                <c:pt idx="6">
                  <c:v>2.0299999999999998</c:v>
                </c:pt>
                <c:pt idx="7">
                  <c:v>2.79</c:v>
                </c:pt>
                <c:pt idx="8">
                  <c:v>2.79</c:v>
                </c:pt>
                <c:pt idx="9">
                  <c:v>2.95</c:v>
                </c:pt>
                <c:pt idx="10">
                  <c:v>1.58</c:v>
                </c:pt>
                <c:pt idx="11">
                  <c:v>2.02</c:v>
                </c:pt>
                <c:pt idx="12">
                  <c:v>3.37</c:v>
                </c:pt>
                <c:pt idx="13">
                  <c:v>3.05</c:v>
                </c:pt>
                <c:pt idx="14">
                  <c:v>2.13</c:v>
                </c:pt>
                <c:pt idx="15">
                  <c:v>3.37</c:v>
                </c:pt>
                <c:pt idx="16">
                  <c:v>2.71</c:v>
                </c:pt>
                <c:pt idx="17">
                  <c:v>1.49</c:v>
                </c:pt>
                <c:pt idx="18">
                  <c:v>2.21</c:v>
                </c:pt>
                <c:pt idx="19">
                  <c:v>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B-4543-B3A3-7CE2C774B1A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Regresi!$A$2:$A$21</c:f>
              <c:numCache>
                <c:formatCode>General</c:formatCode>
                <c:ptCount val="20"/>
                <c:pt idx="0">
                  <c:v>3.6</c:v>
                </c:pt>
                <c:pt idx="1">
                  <c:v>3.6</c:v>
                </c:pt>
                <c:pt idx="2">
                  <c:v>3.05</c:v>
                </c:pt>
                <c:pt idx="3">
                  <c:v>3.3</c:v>
                </c:pt>
                <c:pt idx="4">
                  <c:v>3.05</c:v>
                </c:pt>
                <c:pt idx="5">
                  <c:v>3.35</c:v>
                </c:pt>
                <c:pt idx="6">
                  <c:v>2.02</c:v>
                </c:pt>
                <c:pt idx="7">
                  <c:v>3.3</c:v>
                </c:pt>
                <c:pt idx="8">
                  <c:v>3.05</c:v>
                </c:pt>
                <c:pt idx="9">
                  <c:v>3.05</c:v>
                </c:pt>
                <c:pt idx="10">
                  <c:v>2.38</c:v>
                </c:pt>
                <c:pt idx="11">
                  <c:v>2.15</c:v>
                </c:pt>
                <c:pt idx="12">
                  <c:v>3.28</c:v>
                </c:pt>
                <c:pt idx="13">
                  <c:v>2.77</c:v>
                </c:pt>
                <c:pt idx="14">
                  <c:v>3.28</c:v>
                </c:pt>
                <c:pt idx="15">
                  <c:v>3.28</c:v>
                </c:pt>
                <c:pt idx="16">
                  <c:v>3.03</c:v>
                </c:pt>
                <c:pt idx="17">
                  <c:v>1.1399999999999999</c:v>
                </c:pt>
                <c:pt idx="18">
                  <c:v>3.04</c:v>
                </c:pt>
                <c:pt idx="19">
                  <c:v>3.13</c:v>
                </c:pt>
              </c:numCache>
            </c:numRef>
          </c:xVal>
          <c:yVal>
            <c:numRef>
              <c:f>Regresi!$C$2:$C$21</c:f>
              <c:numCache>
                <c:formatCode>General</c:formatCode>
                <c:ptCount val="20"/>
                <c:pt idx="0">
                  <c:v>3.05</c:v>
                </c:pt>
                <c:pt idx="1">
                  <c:v>3.3</c:v>
                </c:pt>
                <c:pt idx="2">
                  <c:v>3.3</c:v>
                </c:pt>
                <c:pt idx="3">
                  <c:v>3.55</c:v>
                </c:pt>
                <c:pt idx="4">
                  <c:v>3.2</c:v>
                </c:pt>
                <c:pt idx="5">
                  <c:v>2.85</c:v>
                </c:pt>
                <c:pt idx="6">
                  <c:v>1.83</c:v>
                </c:pt>
                <c:pt idx="7">
                  <c:v>3.45</c:v>
                </c:pt>
                <c:pt idx="8">
                  <c:v>3</c:v>
                </c:pt>
                <c:pt idx="9">
                  <c:v>3.45</c:v>
                </c:pt>
                <c:pt idx="10">
                  <c:v>0</c:v>
                </c:pt>
                <c:pt idx="11">
                  <c:v>2.0299999999999998</c:v>
                </c:pt>
                <c:pt idx="12">
                  <c:v>3.54</c:v>
                </c:pt>
                <c:pt idx="13">
                  <c:v>3.08</c:v>
                </c:pt>
                <c:pt idx="14">
                  <c:v>1.68</c:v>
                </c:pt>
                <c:pt idx="15">
                  <c:v>3.54</c:v>
                </c:pt>
                <c:pt idx="16">
                  <c:v>2.7</c:v>
                </c:pt>
                <c:pt idx="17">
                  <c:v>0.87</c:v>
                </c:pt>
                <c:pt idx="18">
                  <c:v>2.12</c:v>
                </c:pt>
                <c:pt idx="19">
                  <c:v>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AB-4543-B3A3-7CE2C774B1A9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Regresi!$A$2:$A$21</c:f>
              <c:numCache>
                <c:formatCode>General</c:formatCode>
                <c:ptCount val="20"/>
                <c:pt idx="0">
                  <c:v>3.6</c:v>
                </c:pt>
                <c:pt idx="1">
                  <c:v>3.6</c:v>
                </c:pt>
                <c:pt idx="2">
                  <c:v>3.05</c:v>
                </c:pt>
                <c:pt idx="3">
                  <c:v>3.3</c:v>
                </c:pt>
                <c:pt idx="4">
                  <c:v>3.05</c:v>
                </c:pt>
                <c:pt idx="5">
                  <c:v>3.35</c:v>
                </c:pt>
                <c:pt idx="6">
                  <c:v>2.02</c:v>
                </c:pt>
                <c:pt idx="7">
                  <c:v>3.3</c:v>
                </c:pt>
                <c:pt idx="8">
                  <c:v>3.05</c:v>
                </c:pt>
                <c:pt idx="9">
                  <c:v>3.05</c:v>
                </c:pt>
                <c:pt idx="10">
                  <c:v>2.38</c:v>
                </c:pt>
                <c:pt idx="11">
                  <c:v>2.15</c:v>
                </c:pt>
                <c:pt idx="12">
                  <c:v>3.28</c:v>
                </c:pt>
                <c:pt idx="13">
                  <c:v>2.77</c:v>
                </c:pt>
                <c:pt idx="14">
                  <c:v>3.28</c:v>
                </c:pt>
                <c:pt idx="15">
                  <c:v>3.28</c:v>
                </c:pt>
                <c:pt idx="16">
                  <c:v>3.03</c:v>
                </c:pt>
                <c:pt idx="17">
                  <c:v>1.1399999999999999</c:v>
                </c:pt>
                <c:pt idx="18">
                  <c:v>3.04</c:v>
                </c:pt>
                <c:pt idx="19">
                  <c:v>3.13</c:v>
                </c:pt>
              </c:numCache>
            </c:numRef>
          </c:xVal>
          <c:yVal>
            <c:numRef>
              <c:f>Regresi!$D$2:$D$21</c:f>
              <c:numCache>
                <c:formatCode>General</c:formatCode>
                <c:ptCount val="20"/>
                <c:pt idx="0">
                  <c:v>3.7</c:v>
                </c:pt>
                <c:pt idx="1">
                  <c:v>3.85</c:v>
                </c:pt>
                <c:pt idx="2">
                  <c:v>3.4</c:v>
                </c:pt>
                <c:pt idx="3">
                  <c:v>3.7</c:v>
                </c:pt>
                <c:pt idx="4">
                  <c:v>3.4</c:v>
                </c:pt>
                <c:pt idx="5">
                  <c:v>3.1</c:v>
                </c:pt>
                <c:pt idx="6">
                  <c:v>0.85</c:v>
                </c:pt>
                <c:pt idx="7">
                  <c:v>3.55</c:v>
                </c:pt>
                <c:pt idx="8">
                  <c:v>2.85</c:v>
                </c:pt>
                <c:pt idx="9">
                  <c:v>3.25</c:v>
                </c:pt>
                <c:pt idx="10">
                  <c:v>1.43</c:v>
                </c:pt>
                <c:pt idx="11">
                  <c:v>1.83</c:v>
                </c:pt>
                <c:pt idx="12">
                  <c:v>3.35</c:v>
                </c:pt>
                <c:pt idx="13">
                  <c:v>3.15</c:v>
                </c:pt>
                <c:pt idx="14">
                  <c:v>2.87</c:v>
                </c:pt>
                <c:pt idx="15">
                  <c:v>3.35</c:v>
                </c:pt>
                <c:pt idx="16">
                  <c:v>2.61</c:v>
                </c:pt>
                <c:pt idx="17">
                  <c:v>1.47</c:v>
                </c:pt>
                <c:pt idx="18">
                  <c:v>2.86</c:v>
                </c:pt>
                <c:pt idx="19">
                  <c:v>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AB-4543-B3A3-7CE2C774B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7704"/>
        <c:axId val="453347376"/>
      </c:scatterChart>
      <c:valAx>
        <c:axId val="45334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376"/>
        <c:crosses val="autoZero"/>
        <c:crossBetween val="midCat"/>
      </c:valAx>
      <c:valAx>
        <c:axId val="4533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349841</xdr:colOff>
      <xdr:row>13</xdr:row>
      <xdr:rowOff>57756</xdr:rowOff>
    </xdr:from>
    <xdr:to>
      <xdr:col>6</xdr:col>
      <xdr:colOff>655881</xdr:colOff>
      <xdr:row>22</xdr:row>
      <xdr:rowOff>187780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1B19A3-CB2B-422F-ACDF-18A99A39D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3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6791" y="2534256"/>
          <a:ext cx="2839690" cy="1844524"/>
        </a:xfrm>
        <a:prstGeom prst="rect">
          <a:avLst/>
        </a:prstGeom>
      </xdr:spPr>
    </xdr:pic>
    <xdr:clientData/>
  </xdr:twoCellAnchor>
  <xdr:twoCellAnchor>
    <xdr:from>
      <xdr:col>1</xdr:col>
      <xdr:colOff>1304925</xdr:colOff>
      <xdr:row>24</xdr:row>
      <xdr:rowOff>95251</xdr:rowOff>
    </xdr:from>
    <xdr:to>
      <xdr:col>3</xdr:col>
      <xdr:colOff>514350</xdr:colOff>
      <xdr:row>26</xdr:row>
      <xdr:rowOff>152401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E22AEF71-66CF-4239-8188-509753D36845}"/>
            </a:ext>
          </a:extLst>
        </xdr:cNvPr>
        <xdr:cNvSpPr/>
      </xdr:nvSpPr>
      <xdr:spPr>
        <a:xfrm>
          <a:off x="2238375" y="4667251"/>
          <a:ext cx="1085850" cy="438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ASAL SMA</a:t>
          </a:r>
        </a:p>
      </xdr:txBody>
    </xdr:sp>
    <xdr:clientData/>
  </xdr:twoCellAnchor>
  <xdr:twoCellAnchor>
    <xdr:from>
      <xdr:col>1</xdr:col>
      <xdr:colOff>438150</xdr:colOff>
      <xdr:row>26</xdr:row>
      <xdr:rowOff>152401</xdr:rowOff>
    </xdr:from>
    <xdr:to>
      <xdr:col>2</xdr:col>
      <xdr:colOff>514350</xdr:colOff>
      <xdr:row>29</xdr:row>
      <xdr:rowOff>142875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670E078-1000-4672-A244-4365B2B72C03}"/>
            </a:ext>
          </a:extLst>
        </xdr:cNvPr>
        <xdr:cNvCxnSpPr>
          <a:stCxn id="4" idx="4"/>
        </xdr:cNvCxnSpPr>
      </xdr:nvCxnSpPr>
      <xdr:spPr>
        <a:xfrm flipH="1">
          <a:off x="1371600" y="5105401"/>
          <a:ext cx="1409700" cy="5619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514350</xdr:colOff>
      <xdr:row>26</xdr:row>
      <xdr:rowOff>152401</xdr:rowOff>
    </xdr:from>
    <xdr:to>
      <xdr:col>5</xdr:col>
      <xdr:colOff>19050</xdr:colOff>
      <xdr:row>29</xdr:row>
      <xdr:rowOff>47625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9046766-E206-427F-B2AD-1FE2EECD2FC6}"/>
            </a:ext>
          </a:extLst>
        </xdr:cNvPr>
        <xdr:cNvCxnSpPr>
          <a:stCxn id="4" idx="4"/>
        </xdr:cNvCxnSpPr>
      </xdr:nvCxnSpPr>
      <xdr:spPr>
        <a:xfrm>
          <a:off x="2781300" y="5105401"/>
          <a:ext cx="1266825" cy="4667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514350</xdr:colOff>
      <xdr:row>26</xdr:row>
      <xdr:rowOff>152401</xdr:rowOff>
    </xdr:from>
    <xdr:to>
      <xdr:col>2</xdr:col>
      <xdr:colOff>514350</xdr:colOff>
      <xdr:row>29</xdr:row>
      <xdr:rowOff>114300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9523B90-6F12-4068-BB27-C1E2CACF5144}"/>
            </a:ext>
          </a:extLst>
        </xdr:cNvPr>
        <xdr:cNvCxnSpPr>
          <a:stCxn id="4" idx="4"/>
        </xdr:cNvCxnSpPr>
      </xdr:nvCxnSpPr>
      <xdr:spPr>
        <a:xfrm>
          <a:off x="2781300" y="5105401"/>
          <a:ext cx="0" cy="5333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809625</xdr:colOff>
      <xdr:row>29</xdr:row>
      <xdr:rowOff>114300</xdr:rowOff>
    </xdr:from>
    <xdr:to>
      <xdr:col>1</xdr:col>
      <xdr:colOff>485775</xdr:colOff>
      <xdr:row>31</xdr:row>
      <xdr:rowOff>9525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C0E5454-E67A-4C87-A8B5-75213721D812}"/>
            </a:ext>
          </a:extLst>
        </xdr:cNvPr>
        <xdr:cNvSpPr/>
      </xdr:nvSpPr>
      <xdr:spPr>
        <a:xfrm>
          <a:off x="809625" y="5638800"/>
          <a:ext cx="609600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tepat</a:t>
          </a:r>
        </a:p>
      </xdr:txBody>
    </xdr:sp>
    <xdr:clientData/>
  </xdr:twoCellAnchor>
  <xdr:twoCellAnchor>
    <xdr:from>
      <xdr:col>2</xdr:col>
      <xdr:colOff>209550</xdr:colOff>
      <xdr:row>29</xdr:row>
      <xdr:rowOff>95250</xdr:rowOff>
    </xdr:from>
    <xdr:to>
      <xdr:col>3</xdr:col>
      <xdr:colOff>276225</xdr:colOff>
      <xdr:row>30</xdr:row>
      <xdr:rowOff>180975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26DDFAE-68C7-4DA6-9550-EA81BD9E4360}"/>
            </a:ext>
          </a:extLst>
        </xdr:cNvPr>
        <xdr:cNvSpPr/>
      </xdr:nvSpPr>
      <xdr:spPr>
        <a:xfrm>
          <a:off x="2476500" y="5619750"/>
          <a:ext cx="609600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tepat</a:t>
          </a:r>
        </a:p>
      </xdr:txBody>
    </xdr:sp>
    <xdr:clientData/>
  </xdr:twoCellAnchor>
  <xdr:twoCellAnchor>
    <xdr:from>
      <xdr:col>3</xdr:col>
      <xdr:colOff>600074</xdr:colOff>
      <xdr:row>29</xdr:row>
      <xdr:rowOff>47626</xdr:rowOff>
    </xdr:from>
    <xdr:to>
      <xdr:col>6</xdr:col>
      <xdr:colOff>371475</xdr:colOff>
      <xdr:row>31</xdr:row>
      <xdr:rowOff>66675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396CCA9-858D-4473-ABE5-6BAC0FF33565}"/>
            </a:ext>
          </a:extLst>
        </xdr:cNvPr>
        <xdr:cNvSpPr/>
      </xdr:nvSpPr>
      <xdr:spPr>
        <a:xfrm>
          <a:off x="3409949" y="5572126"/>
          <a:ext cx="1695451" cy="4000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Asal Daerah</a:t>
          </a: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28575</xdr:colOff>
      <xdr:row>31</xdr:row>
      <xdr:rowOff>76201</xdr:rowOff>
    </xdr:from>
    <xdr:to>
      <xdr:col>5</xdr:col>
      <xdr:colOff>219075</xdr:colOff>
      <xdr:row>34</xdr:row>
      <xdr:rowOff>66675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82BDDFD-4B61-489F-9F25-572D6E2A9F3B}"/>
            </a:ext>
          </a:extLst>
        </xdr:cNvPr>
        <xdr:cNvCxnSpPr/>
      </xdr:nvCxnSpPr>
      <xdr:spPr>
        <a:xfrm flipH="1">
          <a:off x="2838450" y="5981701"/>
          <a:ext cx="1409700" cy="5619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219075</xdr:colOff>
      <xdr:row>31</xdr:row>
      <xdr:rowOff>76201</xdr:rowOff>
    </xdr:from>
    <xdr:to>
      <xdr:col>7</xdr:col>
      <xdr:colOff>28575</xdr:colOff>
      <xdr:row>33</xdr:row>
      <xdr:rowOff>161925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DC05F21F-4EF4-4E6F-8DF5-F4D5DF057618}"/>
            </a:ext>
          </a:extLst>
        </xdr:cNvPr>
        <xdr:cNvCxnSpPr/>
      </xdr:nvCxnSpPr>
      <xdr:spPr>
        <a:xfrm>
          <a:off x="4248150" y="5981701"/>
          <a:ext cx="1266825" cy="4667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285749</xdr:colOff>
      <xdr:row>33</xdr:row>
      <xdr:rowOff>142875</xdr:rowOff>
    </xdr:from>
    <xdr:to>
      <xdr:col>3</xdr:col>
      <xdr:colOff>600075</xdr:colOff>
      <xdr:row>35</xdr:row>
      <xdr:rowOff>38100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81F6D077-A657-428F-ABBF-9D5BF7370D1F}"/>
            </a:ext>
          </a:extLst>
        </xdr:cNvPr>
        <xdr:cNvSpPr/>
      </xdr:nvSpPr>
      <xdr:spPr>
        <a:xfrm>
          <a:off x="2552699" y="6619875"/>
          <a:ext cx="857251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terlambat</a:t>
          </a:r>
        </a:p>
      </xdr:txBody>
    </xdr:sp>
    <xdr:clientData/>
  </xdr:twoCellAnchor>
  <xdr:twoCellAnchor>
    <xdr:from>
      <xdr:col>6</xdr:col>
      <xdr:colOff>304800</xdr:colOff>
      <xdr:row>33</xdr:row>
      <xdr:rowOff>76200</xdr:rowOff>
    </xdr:from>
    <xdr:to>
      <xdr:col>8</xdr:col>
      <xdr:colOff>76201</xdr:colOff>
      <xdr:row>34</xdr:row>
      <xdr:rowOff>180975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9350B226-923D-4864-803F-842F55216A08}"/>
            </a:ext>
          </a:extLst>
        </xdr:cNvPr>
        <xdr:cNvSpPr/>
      </xdr:nvSpPr>
      <xdr:spPr>
        <a:xfrm>
          <a:off x="5038725" y="6553200"/>
          <a:ext cx="828676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Tepat</a:t>
          </a:r>
        </a:p>
      </xdr:txBody>
    </xdr:sp>
    <xdr:clientData/>
  </xdr:twoCellAnchor>
  <xdr:twoCellAnchor>
    <xdr:from>
      <xdr:col>4</xdr:col>
      <xdr:colOff>409574</xdr:colOff>
      <xdr:row>35</xdr:row>
      <xdr:rowOff>76200</xdr:rowOff>
    </xdr:from>
    <xdr:to>
      <xdr:col>5</xdr:col>
      <xdr:colOff>657225</xdr:colOff>
      <xdr:row>36</xdr:row>
      <xdr:rowOff>161925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37B79731-9703-4410-B50A-D41B88E89072}"/>
            </a:ext>
          </a:extLst>
        </xdr:cNvPr>
        <xdr:cNvSpPr/>
      </xdr:nvSpPr>
      <xdr:spPr>
        <a:xfrm>
          <a:off x="3829049" y="6934200"/>
          <a:ext cx="857251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terlambat</a:t>
          </a:r>
        </a:p>
      </xdr:txBody>
    </xdr:sp>
    <xdr:clientData/>
  </xdr:twoCellAnchor>
  <xdr:twoCellAnchor>
    <xdr:from>
      <xdr:col>5</xdr:col>
      <xdr:colOff>228600</xdr:colOff>
      <xdr:row>31</xdr:row>
      <xdr:rowOff>66675</xdr:rowOff>
    </xdr:from>
    <xdr:to>
      <xdr:col>5</xdr:col>
      <xdr:colOff>228600</xdr:colOff>
      <xdr:row>35</xdr:row>
      <xdr:rowOff>76200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B48BEE37-0266-49BA-92D1-CE6925EE55A0}"/>
            </a:ext>
          </a:extLst>
        </xdr:cNvPr>
        <xdr:cNvCxnSpPr>
          <a:stCxn id="10" idx="4"/>
          <a:endCxn id="15" idx="0"/>
        </xdr:cNvCxnSpPr>
      </xdr:nvCxnSpPr>
      <xdr:spPr>
        <a:xfrm>
          <a:off x="4257675" y="6162675"/>
          <a:ext cx="0" cy="771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476250</xdr:colOff>
      <xdr:row>1</xdr:row>
      <xdr:rowOff>47625</xdr:rowOff>
    </xdr:from>
    <xdr:to>
      <xdr:col>20</xdr:col>
      <xdr:colOff>301558</xdr:colOff>
      <xdr:row>10</xdr:row>
      <xdr:rowOff>177649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EADC83-AA78-4BEA-B413-868B01314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3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238125"/>
          <a:ext cx="2839690" cy="1844524"/>
        </a:xfrm>
        <a:prstGeom prst="rect">
          <a:avLst/>
        </a:prstGeom>
      </xdr:spPr>
    </xdr:pic>
    <xdr:clientData/>
  </xdr:twoCellAnchor>
  <xdr:twoCellAnchor>
    <xdr:from>
      <xdr:col>18</xdr:col>
      <xdr:colOff>549089</xdr:colOff>
      <xdr:row>28</xdr:row>
      <xdr:rowOff>100853</xdr:rowOff>
    </xdr:from>
    <xdr:to>
      <xdr:col>20</xdr:col>
      <xdr:colOff>156883</xdr:colOff>
      <xdr:row>31</xdr:row>
      <xdr:rowOff>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D78AA2A-D065-403F-840D-65A644A24A01}"/>
            </a:ext>
          </a:extLst>
        </xdr:cNvPr>
        <xdr:cNvSpPr/>
      </xdr:nvSpPr>
      <xdr:spPr>
        <a:xfrm>
          <a:off x="12371295" y="5434853"/>
          <a:ext cx="1075764" cy="4706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IPS</a:t>
          </a:r>
          <a:r>
            <a:rPr lang="en-US" sz="1100" baseline="0"/>
            <a:t> 4</a:t>
          </a:r>
        </a:p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31</xdr:row>
      <xdr:rowOff>0</xdr:rowOff>
    </xdr:from>
    <xdr:to>
      <xdr:col>19</xdr:col>
      <xdr:colOff>336177</xdr:colOff>
      <xdr:row>33</xdr:row>
      <xdr:rowOff>168088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54E9ABB-FCD0-4895-BCB4-400B27A7D0BF}"/>
            </a:ext>
          </a:extLst>
        </xdr:cNvPr>
        <xdr:cNvCxnSpPr>
          <a:stCxn id="3" idx="4"/>
        </xdr:cNvCxnSpPr>
      </xdr:nvCxnSpPr>
      <xdr:spPr>
        <a:xfrm flipH="1">
          <a:off x="11822206" y="5905500"/>
          <a:ext cx="1086971" cy="5490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336177</xdr:colOff>
      <xdr:row>31</xdr:row>
      <xdr:rowOff>0</xdr:rowOff>
    </xdr:from>
    <xdr:to>
      <xdr:col>20</xdr:col>
      <xdr:colOff>582706</xdr:colOff>
      <xdr:row>33</xdr:row>
      <xdr:rowOff>179294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54C9CB6-6DCF-4093-B44A-710E799EAE4E}"/>
            </a:ext>
          </a:extLst>
        </xdr:cNvPr>
        <xdr:cNvCxnSpPr>
          <a:stCxn id="3" idx="4"/>
        </xdr:cNvCxnSpPr>
      </xdr:nvCxnSpPr>
      <xdr:spPr>
        <a:xfrm>
          <a:off x="12909177" y="5905500"/>
          <a:ext cx="963705" cy="5602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268942</xdr:colOff>
      <xdr:row>33</xdr:row>
      <xdr:rowOff>179294</xdr:rowOff>
    </xdr:from>
    <xdr:to>
      <xdr:col>18</xdr:col>
      <xdr:colOff>443754</xdr:colOff>
      <xdr:row>35</xdr:row>
      <xdr:rowOff>89647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2344C7D1-7714-42BF-BF27-BA8AB30A0CD2}"/>
            </a:ext>
          </a:extLst>
        </xdr:cNvPr>
        <xdr:cNvSpPr/>
      </xdr:nvSpPr>
      <xdr:spPr>
        <a:xfrm>
          <a:off x="11351560" y="6465794"/>
          <a:ext cx="914400" cy="291353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Lulus</a:t>
          </a:r>
        </a:p>
      </xdr:txBody>
    </xdr:sp>
    <xdr:clientData/>
  </xdr:twoCellAnchor>
  <xdr:oneCellAnchor>
    <xdr:from>
      <xdr:col>18</xdr:col>
      <xdr:colOff>67235</xdr:colOff>
      <xdr:row>31</xdr:row>
      <xdr:rowOff>112059</xdr:rowOff>
    </xdr:from>
    <xdr:ext cx="537882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6CAB62A-3220-44B3-9A41-47390CDB4BD6}"/>
            </a:ext>
          </a:extLst>
        </xdr:cNvPr>
        <xdr:cNvSpPr txBox="1"/>
      </xdr:nvSpPr>
      <xdr:spPr>
        <a:xfrm>
          <a:off x="11889441" y="6017559"/>
          <a:ext cx="5378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&gt;2.98</a:t>
          </a:r>
          <a:r>
            <a:rPr lang="en-US"/>
            <a:t> </a:t>
          </a:r>
          <a:endParaRPr lang="en-US" sz="1100"/>
        </a:p>
      </xdr:txBody>
    </xdr:sp>
    <xdr:clientData/>
  </xdr:oneCellAnchor>
  <xdr:twoCellAnchor>
    <xdr:from>
      <xdr:col>20</xdr:col>
      <xdr:colOff>168088</xdr:colOff>
      <xdr:row>34</xdr:row>
      <xdr:rowOff>0</xdr:rowOff>
    </xdr:from>
    <xdr:to>
      <xdr:col>21</xdr:col>
      <xdr:colOff>477370</xdr:colOff>
      <xdr:row>35</xdr:row>
      <xdr:rowOff>100853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8FB15DC6-F926-4C2B-8152-6749EA9721AC}"/>
            </a:ext>
          </a:extLst>
        </xdr:cNvPr>
        <xdr:cNvSpPr/>
      </xdr:nvSpPr>
      <xdr:spPr>
        <a:xfrm>
          <a:off x="13458264" y="6477000"/>
          <a:ext cx="914400" cy="291353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Tidak Lulus</a:t>
          </a:r>
        </a:p>
      </xdr:txBody>
    </xdr:sp>
    <xdr:clientData/>
  </xdr:twoCellAnchor>
  <xdr:oneCellAnchor>
    <xdr:from>
      <xdr:col>20</xdr:col>
      <xdr:colOff>174811</xdr:colOff>
      <xdr:row>31</xdr:row>
      <xdr:rowOff>118783</xdr:rowOff>
    </xdr:from>
    <xdr:ext cx="699247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3900B7D-F757-4451-AE5E-B71E9B6E4F3A}"/>
            </a:ext>
          </a:extLst>
        </xdr:cNvPr>
        <xdr:cNvSpPr txBox="1"/>
      </xdr:nvSpPr>
      <xdr:spPr>
        <a:xfrm>
          <a:off x="13464987" y="6024283"/>
          <a:ext cx="699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&lt;=2.98</a:t>
          </a:r>
          <a:r>
            <a:rPr lang="en-US"/>
            <a:t> </a:t>
          </a:r>
          <a:endParaRPr lang="en-US" sz="1100"/>
        </a:p>
      </xdr:txBody>
    </xdr:sp>
    <xdr:clientData/>
  </xdr:oneCellAnchor>
  <xdr:twoCellAnchor editAs="oneCell">
    <xdr:from>
      <xdr:col>17</xdr:col>
      <xdr:colOff>0</xdr:colOff>
      <xdr:row>50</xdr:row>
      <xdr:rowOff>123265</xdr:rowOff>
    </xdr:from>
    <xdr:to>
      <xdr:col>23</xdr:col>
      <xdr:colOff>44824</xdr:colOff>
      <xdr:row>64</xdr:row>
      <xdr:rowOff>21467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176D71-226E-4EB3-BF3A-B6BEBC940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82618" y="9648265"/>
          <a:ext cx="4258235" cy="2565202"/>
        </a:xfrm>
        <a:prstGeom prst="rect">
          <a:avLst/>
        </a:prstGeom>
      </xdr:spPr>
    </xdr:pic>
    <xdr:clientData/>
  </xdr:twoCellAnchor>
  <xdr:twoCellAnchor>
    <xdr:from>
      <xdr:col>18</xdr:col>
      <xdr:colOff>414618</xdr:colOff>
      <xdr:row>70</xdr:row>
      <xdr:rowOff>11206</xdr:rowOff>
    </xdr:from>
    <xdr:to>
      <xdr:col>20</xdr:col>
      <xdr:colOff>22412</xdr:colOff>
      <xdr:row>72</xdr:row>
      <xdr:rowOff>100853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7A43E47-5D1B-4FCF-9FC3-F929EB30277C}"/>
            </a:ext>
          </a:extLst>
        </xdr:cNvPr>
        <xdr:cNvSpPr/>
      </xdr:nvSpPr>
      <xdr:spPr>
        <a:xfrm>
          <a:off x="12236824" y="13346206"/>
          <a:ext cx="1075764" cy="4706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IPS</a:t>
          </a:r>
          <a:r>
            <a:rPr lang="en-US" sz="1100" baseline="0"/>
            <a:t> 4</a:t>
          </a: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605117</xdr:colOff>
      <xdr:row>72</xdr:row>
      <xdr:rowOff>100853</xdr:rowOff>
    </xdr:from>
    <xdr:to>
      <xdr:col>19</xdr:col>
      <xdr:colOff>201706</xdr:colOff>
      <xdr:row>75</xdr:row>
      <xdr:rowOff>78441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5D66DB29-1D4F-4516-8239-AB59D02B677B}"/>
            </a:ext>
          </a:extLst>
        </xdr:cNvPr>
        <xdr:cNvCxnSpPr>
          <a:stCxn id="12" idx="4"/>
        </xdr:cNvCxnSpPr>
      </xdr:nvCxnSpPr>
      <xdr:spPr>
        <a:xfrm flipH="1">
          <a:off x="11687735" y="13816853"/>
          <a:ext cx="1086971" cy="5490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201706</xdr:colOff>
      <xdr:row>72</xdr:row>
      <xdr:rowOff>100853</xdr:rowOff>
    </xdr:from>
    <xdr:to>
      <xdr:col>20</xdr:col>
      <xdr:colOff>448235</xdr:colOff>
      <xdr:row>75</xdr:row>
      <xdr:rowOff>89647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C49E0D1-3BA0-4D06-98CA-8DA72B4D0989}"/>
            </a:ext>
          </a:extLst>
        </xdr:cNvPr>
        <xdr:cNvCxnSpPr>
          <a:stCxn id="12" idx="4"/>
        </xdr:cNvCxnSpPr>
      </xdr:nvCxnSpPr>
      <xdr:spPr>
        <a:xfrm>
          <a:off x="12774706" y="13816853"/>
          <a:ext cx="963705" cy="5602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134471</xdr:colOff>
      <xdr:row>75</xdr:row>
      <xdr:rowOff>89647</xdr:rowOff>
    </xdr:from>
    <xdr:to>
      <xdr:col>18</xdr:col>
      <xdr:colOff>309283</xdr:colOff>
      <xdr:row>77</xdr:row>
      <xdr:rowOff>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6C113B62-1699-4EC9-8971-DF5815DE89D9}"/>
            </a:ext>
          </a:extLst>
        </xdr:cNvPr>
        <xdr:cNvSpPr/>
      </xdr:nvSpPr>
      <xdr:spPr>
        <a:xfrm>
          <a:off x="11217089" y="14377147"/>
          <a:ext cx="914400" cy="291353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Lulus</a:t>
          </a:r>
        </a:p>
      </xdr:txBody>
    </xdr:sp>
    <xdr:clientData/>
  </xdr:twoCellAnchor>
  <xdr:oneCellAnchor>
    <xdr:from>
      <xdr:col>17</xdr:col>
      <xdr:colOff>672352</xdr:colOff>
      <xdr:row>73</xdr:row>
      <xdr:rowOff>22412</xdr:rowOff>
    </xdr:from>
    <xdr:ext cx="537882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C5869-8616-49E3-B6BE-4AA27797ADC3}"/>
            </a:ext>
          </a:extLst>
        </xdr:cNvPr>
        <xdr:cNvSpPr txBox="1"/>
      </xdr:nvSpPr>
      <xdr:spPr>
        <a:xfrm>
          <a:off x="11754970" y="13928912"/>
          <a:ext cx="5378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&gt;2.98</a:t>
          </a:r>
          <a:r>
            <a:rPr lang="en-US"/>
            <a:t> </a:t>
          </a:r>
          <a:endParaRPr lang="en-US" sz="1100"/>
        </a:p>
      </xdr:txBody>
    </xdr:sp>
    <xdr:clientData/>
  </xdr:oneCellAnchor>
  <xdr:twoCellAnchor>
    <xdr:from>
      <xdr:col>20</xdr:col>
      <xdr:colOff>33617</xdr:colOff>
      <xdr:row>75</xdr:row>
      <xdr:rowOff>100853</xdr:rowOff>
    </xdr:from>
    <xdr:to>
      <xdr:col>21</xdr:col>
      <xdr:colOff>342899</xdr:colOff>
      <xdr:row>77</xdr:row>
      <xdr:rowOff>11206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B621AFD4-FEE3-4F08-B55B-9E629D0C8E4E}"/>
            </a:ext>
          </a:extLst>
        </xdr:cNvPr>
        <xdr:cNvSpPr/>
      </xdr:nvSpPr>
      <xdr:spPr>
        <a:xfrm>
          <a:off x="13323793" y="14388353"/>
          <a:ext cx="914400" cy="291353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?</a:t>
          </a:r>
        </a:p>
      </xdr:txBody>
    </xdr:sp>
    <xdr:clientData/>
  </xdr:twoCellAnchor>
  <xdr:oneCellAnchor>
    <xdr:from>
      <xdr:col>20</xdr:col>
      <xdr:colOff>40340</xdr:colOff>
      <xdr:row>73</xdr:row>
      <xdr:rowOff>29136</xdr:rowOff>
    </xdr:from>
    <xdr:ext cx="699247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ECAF5B6-BD10-46C9-B1DA-3A5415DA00DA}"/>
            </a:ext>
          </a:extLst>
        </xdr:cNvPr>
        <xdr:cNvSpPr txBox="1"/>
      </xdr:nvSpPr>
      <xdr:spPr>
        <a:xfrm>
          <a:off x="13330516" y="13935636"/>
          <a:ext cx="699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&lt;=2.98</a:t>
          </a:r>
          <a:r>
            <a:rPr lang="en-US"/>
            <a:t> </a:t>
          </a:r>
          <a:endParaRPr lang="en-US" sz="1100"/>
        </a:p>
      </xdr:txBody>
    </xdr:sp>
    <xdr:clientData/>
  </xdr:oneCellAnchor>
  <xdr:twoCellAnchor>
    <xdr:from>
      <xdr:col>27</xdr:col>
      <xdr:colOff>414617</xdr:colOff>
      <xdr:row>96</xdr:row>
      <xdr:rowOff>0</xdr:rowOff>
    </xdr:from>
    <xdr:to>
      <xdr:col>29</xdr:col>
      <xdr:colOff>280146</xdr:colOff>
      <xdr:row>98</xdr:row>
      <xdr:rowOff>89647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57A46A8D-FC32-403E-A0F9-0581617EDB82}"/>
            </a:ext>
          </a:extLst>
        </xdr:cNvPr>
        <xdr:cNvSpPr/>
      </xdr:nvSpPr>
      <xdr:spPr>
        <a:xfrm>
          <a:off x="17940617" y="18288000"/>
          <a:ext cx="1075764" cy="4706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IPS</a:t>
          </a:r>
          <a:r>
            <a:rPr lang="en-US" sz="1100" baseline="0"/>
            <a:t> 4</a:t>
          </a:r>
        </a:p>
        <a:p>
          <a:pPr algn="l"/>
          <a:endParaRPr lang="en-US" sz="1100"/>
        </a:p>
      </xdr:txBody>
    </xdr:sp>
    <xdr:clientData/>
  </xdr:twoCellAnchor>
  <xdr:twoCellAnchor>
    <xdr:from>
      <xdr:col>26</xdr:col>
      <xdr:colOff>470646</xdr:colOff>
      <xdr:row>98</xdr:row>
      <xdr:rowOff>89647</xdr:rowOff>
    </xdr:from>
    <xdr:to>
      <xdr:col>28</xdr:col>
      <xdr:colOff>347381</xdr:colOff>
      <xdr:row>101</xdr:row>
      <xdr:rowOff>67235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C2A0D67B-ECB9-4A6C-9093-A2618743C64A}"/>
            </a:ext>
          </a:extLst>
        </xdr:cNvPr>
        <xdr:cNvCxnSpPr>
          <a:stCxn id="19" idx="4"/>
        </xdr:cNvCxnSpPr>
      </xdr:nvCxnSpPr>
      <xdr:spPr>
        <a:xfrm flipH="1">
          <a:off x="17391528" y="18758647"/>
          <a:ext cx="1086971" cy="5490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347381</xdr:colOff>
      <xdr:row>98</xdr:row>
      <xdr:rowOff>89647</xdr:rowOff>
    </xdr:from>
    <xdr:to>
      <xdr:col>30</xdr:col>
      <xdr:colOff>100851</xdr:colOff>
      <xdr:row>101</xdr:row>
      <xdr:rowOff>78441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F11C8235-0D49-471B-8F1E-633ADBD170C5}"/>
            </a:ext>
          </a:extLst>
        </xdr:cNvPr>
        <xdr:cNvCxnSpPr>
          <a:stCxn id="19" idx="4"/>
        </xdr:cNvCxnSpPr>
      </xdr:nvCxnSpPr>
      <xdr:spPr>
        <a:xfrm>
          <a:off x="18478499" y="18758647"/>
          <a:ext cx="963705" cy="5602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101</xdr:row>
      <xdr:rowOff>78441</xdr:rowOff>
    </xdr:from>
    <xdr:to>
      <xdr:col>27</xdr:col>
      <xdr:colOff>309282</xdr:colOff>
      <xdr:row>102</xdr:row>
      <xdr:rowOff>179294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5BBC4D08-3D69-4233-BA6B-056947D4A804}"/>
            </a:ext>
          </a:extLst>
        </xdr:cNvPr>
        <xdr:cNvSpPr/>
      </xdr:nvSpPr>
      <xdr:spPr>
        <a:xfrm>
          <a:off x="16920882" y="19318941"/>
          <a:ext cx="914400" cy="291353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Lulus</a:t>
          </a:r>
        </a:p>
      </xdr:txBody>
    </xdr:sp>
    <xdr:clientData/>
  </xdr:twoCellAnchor>
  <xdr:oneCellAnchor>
    <xdr:from>
      <xdr:col>26</xdr:col>
      <xdr:colOff>537881</xdr:colOff>
      <xdr:row>99</xdr:row>
      <xdr:rowOff>11206</xdr:rowOff>
    </xdr:from>
    <xdr:ext cx="537882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7059980-C4DF-4F34-A89B-EA46EF9F4C9C}"/>
            </a:ext>
          </a:extLst>
        </xdr:cNvPr>
        <xdr:cNvSpPr txBox="1"/>
      </xdr:nvSpPr>
      <xdr:spPr>
        <a:xfrm>
          <a:off x="17458763" y="18870706"/>
          <a:ext cx="5378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&gt;2.98</a:t>
          </a:r>
          <a:r>
            <a:rPr lang="en-US"/>
            <a:t> </a:t>
          </a:r>
          <a:endParaRPr lang="en-US" sz="1100"/>
        </a:p>
      </xdr:txBody>
    </xdr:sp>
    <xdr:clientData/>
  </xdr:oneCellAnchor>
  <xdr:oneCellAnchor>
    <xdr:from>
      <xdr:col>29</xdr:col>
      <xdr:colOff>298074</xdr:colOff>
      <xdr:row>99</xdr:row>
      <xdr:rowOff>17930</xdr:rowOff>
    </xdr:from>
    <xdr:ext cx="699247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55B3CB7-5D8C-49B1-A052-78ED98BE5A39}"/>
            </a:ext>
          </a:extLst>
        </xdr:cNvPr>
        <xdr:cNvSpPr txBox="1"/>
      </xdr:nvSpPr>
      <xdr:spPr>
        <a:xfrm>
          <a:off x="19034309" y="18877430"/>
          <a:ext cx="699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&lt;=2.98</a:t>
          </a:r>
          <a:r>
            <a:rPr lang="en-US"/>
            <a:t> </a:t>
          </a:r>
          <a:endParaRPr lang="en-US" sz="1100"/>
        </a:p>
      </xdr:txBody>
    </xdr:sp>
    <xdr:clientData/>
  </xdr:oneCellAnchor>
  <xdr:twoCellAnchor>
    <xdr:from>
      <xdr:col>29</xdr:col>
      <xdr:colOff>190499</xdr:colOff>
      <xdr:row>101</xdr:row>
      <xdr:rowOff>78441</xdr:rowOff>
    </xdr:from>
    <xdr:to>
      <xdr:col>31</xdr:col>
      <xdr:colOff>156882</xdr:colOff>
      <xdr:row>103</xdr:row>
      <xdr:rowOff>168088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39BD7CA9-68FD-4394-994F-C61B5B5E4FB2}"/>
            </a:ext>
          </a:extLst>
        </xdr:cNvPr>
        <xdr:cNvSpPr/>
      </xdr:nvSpPr>
      <xdr:spPr>
        <a:xfrm>
          <a:off x="21011028" y="19318941"/>
          <a:ext cx="1288678" cy="4706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Asal Sekolah</a:t>
          </a:r>
        </a:p>
        <a:p>
          <a:pPr algn="l"/>
          <a:endParaRPr lang="en-US" sz="1100"/>
        </a:p>
      </xdr:txBody>
    </xdr:sp>
    <xdr:clientData/>
  </xdr:twoCellAnchor>
  <xdr:twoCellAnchor>
    <xdr:from>
      <xdr:col>27</xdr:col>
      <xdr:colOff>1</xdr:colOff>
      <xdr:row>103</xdr:row>
      <xdr:rowOff>168088</xdr:rowOff>
    </xdr:from>
    <xdr:to>
      <xdr:col>30</xdr:col>
      <xdr:colOff>229720</xdr:colOff>
      <xdr:row>106</xdr:row>
      <xdr:rowOff>56030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80FFD31-8AE9-400C-85E1-AF01991066B5}"/>
            </a:ext>
          </a:extLst>
        </xdr:cNvPr>
        <xdr:cNvCxnSpPr>
          <a:stCxn id="26" idx="4"/>
        </xdr:cNvCxnSpPr>
      </xdr:nvCxnSpPr>
      <xdr:spPr>
        <a:xfrm flipH="1">
          <a:off x="19610295" y="19789588"/>
          <a:ext cx="2045072" cy="4594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103</xdr:row>
      <xdr:rowOff>168088</xdr:rowOff>
    </xdr:from>
    <xdr:to>
      <xdr:col>30</xdr:col>
      <xdr:colOff>229720</xdr:colOff>
      <xdr:row>106</xdr:row>
      <xdr:rowOff>56030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61D4F50F-1349-4C05-A388-9C1BFD5EBAD0}"/>
            </a:ext>
          </a:extLst>
        </xdr:cNvPr>
        <xdr:cNvCxnSpPr>
          <a:stCxn id="26" idx="4"/>
        </xdr:cNvCxnSpPr>
      </xdr:nvCxnSpPr>
      <xdr:spPr>
        <a:xfrm flipH="1">
          <a:off x="20842941" y="19789588"/>
          <a:ext cx="812426" cy="4594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229720</xdr:colOff>
      <xdr:row>103</xdr:row>
      <xdr:rowOff>168088</xdr:rowOff>
    </xdr:from>
    <xdr:to>
      <xdr:col>31</xdr:col>
      <xdr:colOff>78440</xdr:colOff>
      <xdr:row>106</xdr:row>
      <xdr:rowOff>56030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3431CE64-00C6-4B91-9B07-03224E086833}"/>
            </a:ext>
          </a:extLst>
        </xdr:cNvPr>
        <xdr:cNvCxnSpPr>
          <a:stCxn id="26" idx="4"/>
        </xdr:cNvCxnSpPr>
      </xdr:nvCxnSpPr>
      <xdr:spPr>
        <a:xfrm>
          <a:off x="21655367" y="19789588"/>
          <a:ext cx="565897" cy="45944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229720</xdr:colOff>
      <xdr:row>103</xdr:row>
      <xdr:rowOff>168088</xdr:rowOff>
    </xdr:from>
    <xdr:to>
      <xdr:col>32</xdr:col>
      <xdr:colOff>605117</xdr:colOff>
      <xdr:row>106</xdr:row>
      <xdr:rowOff>33618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B29F4D5A-4810-41CD-A9C7-F9A8A6C6A31D}"/>
            </a:ext>
          </a:extLst>
        </xdr:cNvPr>
        <xdr:cNvCxnSpPr>
          <a:stCxn id="26" idx="4"/>
        </xdr:cNvCxnSpPr>
      </xdr:nvCxnSpPr>
      <xdr:spPr>
        <a:xfrm>
          <a:off x="21655367" y="19789588"/>
          <a:ext cx="1697691" cy="4370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0</xdr:colOff>
      <xdr:row>104</xdr:row>
      <xdr:rowOff>0</xdr:rowOff>
    </xdr:from>
    <xdr:ext cx="1535206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834E8E95-3371-40A4-B361-10B313F61998}"/>
            </a:ext>
          </a:extLst>
        </xdr:cNvPr>
        <xdr:cNvSpPr txBox="1"/>
      </xdr:nvSpPr>
      <xdr:spPr>
        <a:xfrm>
          <a:off x="17526000" y="19812000"/>
          <a:ext cx="15352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SMK KESEHATAN</a:t>
          </a:r>
          <a:endParaRPr lang="en-US" sz="1100"/>
        </a:p>
      </xdr:txBody>
    </xdr:sp>
    <xdr:clientData/>
  </xdr:oneCellAnchor>
  <xdr:oneCellAnchor>
    <xdr:from>
      <xdr:col>28</xdr:col>
      <xdr:colOff>466164</xdr:colOff>
      <xdr:row>104</xdr:row>
      <xdr:rowOff>129989</xdr:rowOff>
    </xdr:from>
    <xdr:ext cx="537882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E4F4121C-5A9B-4836-B48B-67E364B9FBC1}"/>
            </a:ext>
          </a:extLst>
        </xdr:cNvPr>
        <xdr:cNvSpPr txBox="1"/>
      </xdr:nvSpPr>
      <xdr:spPr>
        <a:xfrm>
          <a:off x="18597282" y="19941989"/>
          <a:ext cx="5378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SMK</a:t>
          </a:r>
          <a:endParaRPr lang="en-US" sz="1100"/>
        </a:p>
      </xdr:txBody>
    </xdr:sp>
    <xdr:clientData/>
  </xdr:oneCellAnchor>
  <xdr:oneCellAnchor>
    <xdr:from>
      <xdr:col>31</xdr:col>
      <xdr:colOff>248767</xdr:colOff>
      <xdr:row>103</xdr:row>
      <xdr:rowOff>147919</xdr:rowOff>
    </xdr:from>
    <xdr:ext cx="1566586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8472FD9-EE81-47EC-ABF3-B314D8426084}"/>
            </a:ext>
          </a:extLst>
        </xdr:cNvPr>
        <xdr:cNvSpPr txBox="1"/>
      </xdr:nvSpPr>
      <xdr:spPr>
        <a:xfrm>
          <a:off x="20195238" y="19769419"/>
          <a:ext cx="15665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</a:t>
          </a:r>
          <a:endParaRPr lang="en-US" sz="1100"/>
        </a:p>
      </xdr:txBody>
    </xdr:sp>
    <xdr:clientData/>
  </xdr:oneCellAnchor>
  <xdr:oneCellAnchor>
    <xdr:from>
      <xdr:col>30</xdr:col>
      <xdr:colOff>103092</xdr:colOff>
      <xdr:row>104</xdr:row>
      <xdr:rowOff>147917</xdr:rowOff>
    </xdr:from>
    <xdr:ext cx="490820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9E4A340F-89A5-497D-B423-14CF1D249A5D}"/>
            </a:ext>
          </a:extLst>
        </xdr:cNvPr>
        <xdr:cNvSpPr txBox="1"/>
      </xdr:nvSpPr>
      <xdr:spPr>
        <a:xfrm>
          <a:off x="21349445" y="19959917"/>
          <a:ext cx="4908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SMA</a:t>
          </a:r>
        </a:p>
      </xdr:txBody>
    </xdr:sp>
    <xdr:clientData/>
  </xdr:oneCellAnchor>
  <xdr:twoCellAnchor>
    <xdr:from>
      <xdr:col>26</xdr:col>
      <xdr:colOff>152400</xdr:colOff>
      <xdr:row>106</xdr:row>
      <xdr:rowOff>51547</xdr:rowOff>
    </xdr:from>
    <xdr:to>
      <xdr:col>27</xdr:col>
      <xdr:colOff>461682</xdr:colOff>
      <xdr:row>107</xdr:row>
      <xdr:rowOff>152400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60BE2EB7-B963-499F-9118-9FE09BAAB443}"/>
            </a:ext>
          </a:extLst>
        </xdr:cNvPr>
        <xdr:cNvSpPr/>
      </xdr:nvSpPr>
      <xdr:spPr>
        <a:xfrm>
          <a:off x="17073282" y="20244547"/>
          <a:ext cx="914400" cy="291353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?</a:t>
          </a:r>
        </a:p>
      </xdr:txBody>
    </xdr:sp>
    <xdr:clientData/>
  </xdr:twoCellAnchor>
  <xdr:twoCellAnchor>
    <xdr:from>
      <xdr:col>28</xdr:col>
      <xdr:colOff>136711</xdr:colOff>
      <xdr:row>106</xdr:row>
      <xdr:rowOff>69477</xdr:rowOff>
    </xdr:from>
    <xdr:to>
      <xdr:col>29</xdr:col>
      <xdr:colOff>445994</xdr:colOff>
      <xdr:row>107</xdr:row>
      <xdr:rowOff>170330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7C5139F5-6249-435E-8E33-FAA6BEF8C14B}"/>
            </a:ext>
          </a:extLst>
        </xdr:cNvPr>
        <xdr:cNvSpPr/>
      </xdr:nvSpPr>
      <xdr:spPr>
        <a:xfrm>
          <a:off x="18267829" y="20262477"/>
          <a:ext cx="914400" cy="291353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Tidak Lulus</a:t>
          </a:r>
        </a:p>
      </xdr:txBody>
    </xdr:sp>
    <xdr:clientData/>
  </xdr:twoCellAnchor>
  <xdr:twoCellAnchor>
    <xdr:from>
      <xdr:col>30</xdr:col>
      <xdr:colOff>255493</xdr:colOff>
      <xdr:row>106</xdr:row>
      <xdr:rowOff>53789</xdr:rowOff>
    </xdr:from>
    <xdr:to>
      <xdr:col>31</xdr:col>
      <xdr:colOff>564775</xdr:colOff>
      <xdr:row>107</xdr:row>
      <xdr:rowOff>154642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646EAE4A-B797-4CA4-97CF-BC4F9CCDB48F}"/>
            </a:ext>
          </a:extLst>
        </xdr:cNvPr>
        <xdr:cNvSpPr/>
      </xdr:nvSpPr>
      <xdr:spPr>
        <a:xfrm>
          <a:off x="19596846" y="20246789"/>
          <a:ext cx="914400" cy="291353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?</a:t>
          </a:r>
        </a:p>
      </xdr:txBody>
    </xdr:sp>
    <xdr:clientData/>
  </xdr:twoCellAnchor>
  <xdr:twoCellAnchor>
    <xdr:from>
      <xdr:col>32</xdr:col>
      <xdr:colOff>172569</xdr:colOff>
      <xdr:row>106</xdr:row>
      <xdr:rowOff>49306</xdr:rowOff>
    </xdr:from>
    <xdr:to>
      <xdr:col>33</xdr:col>
      <xdr:colOff>481851</xdr:colOff>
      <xdr:row>107</xdr:row>
      <xdr:rowOff>150159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1701982A-81C2-4D7A-B9C5-F041EBC4DE14}"/>
            </a:ext>
          </a:extLst>
        </xdr:cNvPr>
        <xdr:cNvSpPr/>
      </xdr:nvSpPr>
      <xdr:spPr>
        <a:xfrm>
          <a:off x="20724157" y="20242306"/>
          <a:ext cx="914400" cy="291353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Tidak Lulus</a:t>
          </a:r>
        </a:p>
      </xdr:txBody>
    </xdr:sp>
    <xdr:clientData/>
  </xdr:twoCellAnchor>
  <xdr:oneCellAnchor>
    <xdr:from>
      <xdr:col>25</xdr:col>
      <xdr:colOff>555809</xdr:colOff>
      <xdr:row>114</xdr:row>
      <xdr:rowOff>186017</xdr:rowOff>
    </xdr:from>
    <xdr:ext cx="4206690" cy="788896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52DE2CA-AF6C-48F7-9F72-4619F677E432}"/>
            </a:ext>
          </a:extLst>
        </xdr:cNvPr>
        <xdr:cNvSpPr txBox="1"/>
      </xdr:nvSpPr>
      <xdr:spPr>
        <a:xfrm>
          <a:off x="16871574" y="21903017"/>
          <a:ext cx="4206690" cy="7888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Jika terjadi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seperti kasus pada tahapan yang pertama, dimana jumlah yang antara Lulus dan Tidak Lulus memiliki perbedaan yang signifikan, lebih baik dilakukanlah teknik </a:t>
          </a:r>
          <a:r>
            <a:rPr lang="en-US" sz="1100" b="0" i="1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pruning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. hal ini dilakukan supaya pembentukan pohon keputusan tidak panjang dan tidak seimbang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128587</xdr:rowOff>
    </xdr:from>
    <xdr:to>
      <xdr:col>14</xdr:col>
      <xdr:colOff>28575</xdr:colOff>
      <xdr:row>18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44984C-E682-43BF-8915-7E829F016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66515</xdr:colOff>
      <xdr:row>27</xdr:row>
      <xdr:rowOff>95250</xdr:rowOff>
    </xdr:from>
    <xdr:to>
      <xdr:col>19</xdr:col>
      <xdr:colOff>534280</xdr:colOff>
      <xdr:row>29</xdr:row>
      <xdr:rowOff>184897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E9B1C55-2938-4270-8633-72361F2EC516}"/>
            </a:ext>
          </a:extLst>
        </xdr:cNvPr>
        <xdr:cNvSpPr/>
      </xdr:nvSpPr>
      <xdr:spPr>
        <a:xfrm>
          <a:off x="12515690" y="5238750"/>
          <a:ext cx="1077365" cy="4706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IPS</a:t>
          </a:r>
          <a:r>
            <a:rPr lang="en-US" sz="1100" baseline="0"/>
            <a:t> 4</a:t>
          </a: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698526</xdr:colOff>
      <xdr:row>29</xdr:row>
      <xdr:rowOff>184897</xdr:rowOff>
    </xdr:from>
    <xdr:to>
      <xdr:col>18</xdr:col>
      <xdr:colOff>601996</xdr:colOff>
      <xdr:row>32</xdr:row>
      <xdr:rowOff>162485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25882EF-C951-4195-9047-538A341FA1E2}"/>
            </a:ext>
          </a:extLst>
        </xdr:cNvPr>
        <xdr:cNvCxnSpPr>
          <a:stCxn id="2" idx="4"/>
        </xdr:cNvCxnSpPr>
      </xdr:nvCxnSpPr>
      <xdr:spPr>
        <a:xfrm flipH="1">
          <a:off x="11966601" y="5709397"/>
          <a:ext cx="1084570" cy="5490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601996</xdr:colOff>
      <xdr:row>29</xdr:row>
      <xdr:rowOff>184897</xdr:rowOff>
    </xdr:from>
    <xdr:to>
      <xdr:col>20</xdr:col>
      <xdr:colOff>350503</xdr:colOff>
      <xdr:row>32</xdr:row>
      <xdr:rowOff>173691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3EB6E5E-A3C3-4082-BFE5-078DA4F647C3}"/>
            </a:ext>
          </a:extLst>
        </xdr:cNvPr>
        <xdr:cNvCxnSpPr>
          <a:stCxn id="2" idx="4"/>
        </xdr:cNvCxnSpPr>
      </xdr:nvCxnSpPr>
      <xdr:spPr>
        <a:xfrm>
          <a:off x="13051171" y="5709397"/>
          <a:ext cx="967707" cy="5602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219075</xdr:colOff>
      <xdr:row>32</xdr:row>
      <xdr:rowOff>173691</xdr:rowOff>
    </xdr:from>
    <xdr:to>
      <xdr:col>17</xdr:col>
      <xdr:colOff>1142280</xdr:colOff>
      <xdr:row>34</xdr:row>
      <xdr:rowOff>84044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A9E77B63-8026-4302-9231-4371AA9ECB39}"/>
            </a:ext>
          </a:extLst>
        </xdr:cNvPr>
        <xdr:cNvSpPr/>
      </xdr:nvSpPr>
      <xdr:spPr>
        <a:xfrm>
          <a:off x="11487150" y="6269691"/>
          <a:ext cx="923205" cy="291353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Lulus</a:t>
          </a:r>
        </a:p>
      </xdr:txBody>
    </xdr:sp>
    <xdr:clientData/>
  </xdr:twoCellAnchor>
  <xdr:oneCellAnchor>
    <xdr:from>
      <xdr:col>17</xdr:col>
      <xdr:colOff>765761</xdr:colOff>
      <xdr:row>30</xdr:row>
      <xdr:rowOff>106456</xdr:rowOff>
    </xdr:from>
    <xdr:ext cx="537882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B32C9F6-CAE6-4FC2-8333-B6F0114BE275}"/>
            </a:ext>
          </a:extLst>
        </xdr:cNvPr>
        <xdr:cNvSpPr txBox="1"/>
      </xdr:nvSpPr>
      <xdr:spPr>
        <a:xfrm>
          <a:off x="12033836" y="5821456"/>
          <a:ext cx="5378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&gt;2.98</a:t>
          </a:r>
          <a:r>
            <a:rPr lang="en-US"/>
            <a:t> </a:t>
          </a:r>
          <a:endParaRPr lang="en-US" sz="1100"/>
        </a:p>
      </xdr:txBody>
    </xdr:sp>
    <xdr:clientData/>
  </xdr:oneCellAnchor>
  <xdr:twoCellAnchor>
    <xdr:from>
      <xdr:col>19</xdr:col>
      <xdr:colOff>545485</xdr:colOff>
      <xdr:row>32</xdr:row>
      <xdr:rowOff>184897</xdr:rowOff>
    </xdr:from>
    <xdr:to>
      <xdr:col>21</xdr:col>
      <xdr:colOff>247889</xdr:colOff>
      <xdr:row>34</xdr:row>
      <xdr:rowOff>95250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FCCED282-0565-4B46-92BF-509774D94EAE}"/>
            </a:ext>
          </a:extLst>
        </xdr:cNvPr>
        <xdr:cNvSpPr/>
      </xdr:nvSpPr>
      <xdr:spPr>
        <a:xfrm>
          <a:off x="13604260" y="6280897"/>
          <a:ext cx="921604" cy="291353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Tidak Lulus</a:t>
          </a:r>
        </a:p>
      </xdr:txBody>
    </xdr:sp>
    <xdr:clientData/>
  </xdr:twoCellAnchor>
  <xdr:oneCellAnchor>
    <xdr:from>
      <xdr:col>19</xdr:col>
      <xdr:colOff>457200</xdr:colOff>
      <xdr:row>30</xdr:row>
      <xdr:rowOff>85725</xdr:rowOff>
    </xdr:from>
    <xdr:ext cx="699247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987B184-4287-4A48-8A53-69D285262F1C}"/>
            </a:ext>
          </a:extLst>
        </xdr:cNvPr>
        <xdr:cNvSpPr txBox="1"/>
      </xdr:nvSpPr>
      <xdr:spPr>
        <a:xfrm>
          <a:off x="13515975" y="5800725"/>
          <a:ext cx="699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&lt;=2.98</a:t>
          </a:r>
          <a:r>
            <a:rPr lang="en-US"/>
            <a:t> </a:t>
          </a:r>
          <a:endParaRPr lang="en-US" sz="1100"/>
        </a:p>
      </xdr:txBody>
    </xdr:sp>
    <xdr:clientData/>
  </xdr:oneCellAnchor>
  <xdr:twoCellAnchor editAs="oneCell">
    <xdr:from>
      <xdr:col>17</xdr:col>
      <xdr:colOff>13607</xdr:colOff>
      <xdr:row>50</xdr:row>
      <xdr:rowOff>149678</xdr:rowOff>
    </xdr:from>
    <xdr:to>
      <xdr:col>22</xdr:col>
      <xdr:colOff>561895</xdr:colOff>
      <xdr:row>64</xdr:row>
      <xdr:rowOff>47880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34D8EB5-D07D-4575-BF6A-44CC4147C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21143" y="9674678"/>
          <a:ext cx="4290252" cy="2565202"/>
        </a:xfrm>
        <a:prstGeom prst="rect">
          <a:avLst/>
        </a:prstGeom>
      </xdr:spPr>
    </xdr:pic>
    <xdr:clientData/>
  </xdr:twoCellAnchor>
  <xdr:twoCellAnchor>
    <xdr:from>
      <xdr:col>17</xdr:col>
      <xdr:colOff>1042148</xdr:colOff>
      <xdr:row>69</xdr:row>
      <xdr:rowOff>176893</xdr:rowOff>
    </xdr:from>
    <xdr:to>
      <xdr:col>19</xdr:col>
      <xdr:colOff>323370</xdr:colOff>
      <xdr:row>72</xdr:row>
      <xdr:rowOff>76040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DD9DB943-7227-404D-BFD9-2F6E28286DFE}"/>
            </a:ext>
          </a:extLst>
        </xdr:cNvPr>
        <xdr:cNvSpPr/>
      </xdr:nvSpPr>
      <xdr:spPr>
        <a:xfrm>
          <a:off x="12349684" y="13321393"/>
          <a:ext cx="1077365" cy="4706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IPS</a:t>
          </a:r>
          <a:r>
            <a:rPr lang="en-US" sz="1100" baseline="0"/>
            <a:t> 4</a:t>
          </a: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484254</xdr:colOff>
      <xdr:row>72</xdr:row>
      <xdr:rowOff>76040</xdr:rowOff>
    </xdr:from>
    <xdr:to>
      <xdr:col>18</xdr:col>
      <xdr:colOff>393808</xdr:colOff>
      <xdr:row>75</xdr:row>
      <xdr:rowOff>53628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BC128652-D001-4857-A066-0398D9994709}"/>
            </a:ext>
          </a:extLst>
        </xdr:cNvPr>
        <xdr:cNvCxnSpPr>
          <a:stCxn id="10" idx="4"/>
        </xdr:cNvCxnSpPr>
      </xdr:nvCxnSpPr>
      <xdr:spPr>
        <a:xfrm flipH="1">
          <a:off x="11791790" y="13792040"/>
          <a:ext cx="1093375" cy="5490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393808</xdr:colOff>
      <xdr:row>72</xdr:row>
      <xdr:rowOff>76040</xdr:rowOff>
    </xdr:from>
    <xdr:to>
      <xdr:col>20</xdr:col>
      <xdr:colOff>136872</xdr:colOff>
      <xdr:row>75</xdr:row>
      <xdr:rowOff>64834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75C0E221-4D6F-4A37-8FD2-439628124C57}"/>
            </a:ext>
          </a:extLst>
        </xdr:cNvPr>
        <xdr:cNvCxnSpPr>
          <a:stCxn id="10" idx="4"/>
        </xdr:cNvCxnSpPr>
      </xdr:nvCxnSpPr>
      <xdr:spPr>
        <a:xfrm>
          <a:off x="12885165" y="13792040"/>
          <a:ext cx="967707" cy="5602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13608</xdr:colOff>
      <xdr:row>75</xdr:row>
      <xdr:rowOff>64834</xdr:rowOff>
    </xdr:from>
    <xdr:to>
      <xdr:col>17</xdr:col>
      <xdr:colOff>936813</xdr:colOff>
      <xdr:row>76</xdr:row>
      <xdr:rowOff>165687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85C7BEA9-DF41-4264-9BFE-D30A5DD43DE1}"/>
            </a:ext>
          </a:extLst>
        </xdr:cNvPr>
        <xdr:cNvSpPr/>
      </xdr:nvSpPr>
      <xdr:spPr>
        <a:xfrm>
          <a:off x="11321144" y="14352334"/>
          <a:ext cx="923205" cy="291353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Lulus</a:t>
          </a:r>
        </a:p>
      </xdr:txBody>
    </xdr:sp>
    <xdr:clientData/>
  </xdr:twoCellAnchor>
  <xdr:oneCellAnchor>
    <xdr:from>
      <xdr:col>17</xdr:col>
      <xdr:colOff>551489</xdr:colOff>
      <xdr:row>72</xdr:row>
      <xdr:rowOff>188099</xdr:rowOff>
    </xdr:from>
    <xdr:ext cx="537882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03D3939-1C85-42EB-81CE-16A4D660C42A}"/>
            </a:ext>
          </a:extLst>
        </xdr:cNvPr>
        <xdr:cNvSpPr txBox="1"/>
      </xdr:nvSpPr>
      <xdr:spPr>
        <a:xfrm>
          <a:off x="11859025" y="13904099"/>
          <a:ext cx="5378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&gt;2.98</a:t>
          </a:r>
          <a:r>
            <a:rPr lang="en-US"/>
            <a:t> </a:t>
          </a:r>
          <a:endParaRPr lang="en-US" sz="1100"/>
        </a:p>
      </xdr:txBody>
    </xdr:sp>
    <xdr:clientData/>
  </xdr:oneCellAnchor>
  <xdr:twoCellAnchor>
    <xdr:from>
      <xdr:col>19</xdr:col>
      <xdr:colOff>334575</xdr:colOff>
      <xdr:row>75</xdr:row>
      <xdr:rowOff>76040</xdr:rowOff>
    </xdr:from>
    <xdr:to>
      <xdr:col>21</xdr:col>
      <xdr:colOff>31537</xdr:colOff>
      <xdr:row>76</xdr:row>
      <xdr:rowOff>176893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F22CB9BB-6E92-439B-9389-30DAF341814D}"/>
            </a:ext>
          </a:extLst>
        </xdr:cNvPr>
        <xdr:cNvSpPr/>
      </xdr:nvSpPr>
      <xdr:spPr>
        <a:xfrm>
          <a:off x="13438254" y="14363540"/>
          <a:ext cx="921604" cy="291353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?</a:t>
          </a:r>
        </a:p>
      </xdr:txBody>
    </xdr:sp>
    <xdr:clientData/>
  </xdr:twoCellAnchor>
  <xdr:oneCellAnchor>
    <xdr:from>
      <xdr:col>19</xdr:col>
      <xdr:colOff>341298</xdr:colOff>
      <xdr:row>73</xdr:row>
      <xdr:rowOff>4323</xdr:rowOff>
    </xdr:from>
    <xdr:ext cx="699247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374BFC5-E7A6-4BAB-A8D7-28B27D9BE9AE}"/>
            </a:ext>
          </a:extLst>
        </xdr:cNvPr>
        <xdr:cNvSpPr txBox="1"/>
      </xdr:nvSpPr>
      <xdr:spPr>
        <a:xfrm>
          <a:off x="13444977" y="13910823"/>
          <a:ext cx="699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&lt;=2.98</a:t>
          </a:r>
          <a:r>
            <a:rPr lang="en-US"/>
            <a:t> </a:t>
          </a:r>
          <a:endParaRPr lang="en-US" sz="1100"/>
        </a:p>
      </xdr:txBody>
    </xdr:sp>
    <xdr:clientData/>
  </xdr:oneCellAnchor>
  <xdr:twoCellAnchor>
    <xdr:from>
      <xdr:col>27</xdr:col>
      <xdr:colOff>414617</xdr:colOff>
      <xdr:row>96</xdr:row>
      <xdr:rowOff>0</xdr:rowOff>
    </xdr:from>
    <xdr:to>
      <xdr:col>29</xdr:col>
      <xdr:colOff>280146</xdr:colOff>
      <xdr:row>98</xdr:row>
      <xdr:rowOff>89647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1116A359-2878-4F57-868D-5EA5F4899DBF}"/>
            </a:ext>
          </a:extLst>
        </xdr:cNvPr>
        <xdr:cNvSpPr/>
      </xdr:nvSpPr>
      <xdr:spPr>
        <a:xfrm>
          <a:off x="20426642" y="18288000"/>
          <a:ext cx="1084729" cy="4706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IPS</a:t>
          </a:r>
          <a:r>
            <a:rPr lang="en-US" sz="1100" baseline="0"/>
            <a:t> 4</a:t>
          </a:r>
        </a:p>
        <a:p>
          <a:pPr algn="l"/>
          <a:endParaRPr lang="en-US" sz="1100"/>
        </a:p>
      </xdr:txBody>
    </xdr:sp>
    <xdr:clientData/>
  </xdr:twoCellAnchor>
  <xdr:twoCellAnchor>
    <xdr:from>
      <xdr:col>26</xdr:col>
      <xdr:colOff>470646</xdr:colOff>
      <xdr:row>98</xdr:row>
      <xdr:rowOff>89647</xdr:rowOff>
    </xdr:from>
    <xdr:to>
      <xdr:col>28</xdr:col>
      <xdr:colOff>347381</xdr:colOff>
      <xdr:row>101</xdr:row>
      <xdr:rowOff>67235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835E9875-7097-480A-87D9-61FC6863F667}"/>
            </a:ext>
          </a:extLst>
        </xdr:cNvPr>
        <xdr:cNvCxnSpPr>
          <a:stCxn id="17" idx="4"/>
        </xdr:cNvCxnSpPr>
      </xdr:nvCxnSpPr>
      <xdr:spPr>
        <a:xfrm flipH="1">
          <a:off x="19873071" y="18758647"/>
          <a:ext cx="1095935" cy="5490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347381</xdr:colOff>
      <xdr:row>98</xdr:row>
      <xdr:rowOff>89647</xdr:rowOff>
    </xdr:from>
    <xdr:to>
      <xdr:col>30</xdr:col>
      <xdr:colOff>100851</xdr:colOff>
      <xdr:row>101</xdr:row>
      <xdr:rowOff>78441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8A3DE63C-D855-4A9C-8D23-F47FCB6C418F}"/>
            </a:ext>
          </a:extLst>
        </xdr:cNvPr>
        <xdr:cNvCxnSpPr>
          <a:stCxn id="17" idx="4"/>
        </xdr:cNvCxnSpPr>
      </xdr:nvCxnSpPr>
      <xdr:spPr>
        <a:xfrm>
          <a:off x="20969006" y="18758647"/>
          <a:ext cx="972670" cy="5602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101</xdr:row>
      <xdr:rowOff>78441</xdr:rowOff>
    </xdr:from>
    <xdr:to>
      <xdr:col>27</xdr:col>
      <xdr:colOff>309282</xdr:colOff>
      <xdr:row>102</xdr:row>
      <xdr:rowOff>179294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D615852C-A30D-4350-8BC4-1CCE5CCE4760}"/>
            </a:ext>
          </a:extLst>
        </xdr:cNvPr>
        <xdr:cNvSpPr/>
      </xdr:nvSpPr>
      <xdr:spPr>
        <a:xfrm>
          <a:off x="19402425" y="19318941"/>
          <a:ext cx="918882" cy="291353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Lulus</a:t>
          </a:r>
        </a:p>
      </xdr:txBody>
    </xdr:sp>
    <xdr:clientData/>
  </xdr:twoCellAnchor>
  <xdr:oneCellAnchor>
    <xdr:from>
      <xdr:col>26</xdr:col>
      <xdr:colOff>537881</xdr:colOff>
      <xdr:row>99</xdr:row>
      <xdr:rowOff>11206</xdr:rowOff>
    </xdr:from>
    <xdr:ext cx="537882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43ACA88-D7BF-49EA-BB91-A4F96BAA3896}"/>
            </a:ext>
          </a:extLst>
        </xdr:cNvPr>
        <xdr:cNvSpPr txBox="1"/>
      </xdr:nvSpPr>
      <xdr:spPr>
        <a:xfrm>
          <a:off x="19940306" y="18870706"/>
          <a:ext cx="5378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&gt;2.98</a:t>
          </a:r>
          <a:r>
            <a:rPr lang="en-US"/>
            <a:t> </a:t>
          </a:r>
          <a:endParaRPr lang="en-US" sz="1100"/>
        </a:p>
      </xdr:txBody>
    </xdr:sp>
    <xdr:clientData/>
  </xdr:oneCellAnchor>
  <xdr:oneCellAnchor>
    <xdr:from>
      <xdr:col>29</xdr:col>
      <xdr:colOff>298074</xdr:colOff>
      <xdr:row>99</xdr:row>
      <xdr:rowOff>17930</xdr:rowOff>
    </xdr:from>
    <xdr:ext cx="699247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A0027A4-C04A-4857-A61B-DD2829AB42EC}"/>
            </a:ext>
          </a:extLst>
        </xdr:cNvPr>
        <xdr:cNvSpPr txBox="1"/>
      </xdr:nvSpPr>
      <xdr:spPr>
        <a:xfrm>
          <a:off x="21529299" y="18877430"/>
          <a:ext cx="699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&lt;=2.98</a:t>
          </a:r>
          <a:r>
            <a:rPr lang="en-US"/>
            <a:t> </a:t>
          </a:r>
          <a:endParaRPr lang="en-US" sz="1100"/>
        </a:p>
      </xdr:txBody>
    </xdr:sp>
    <xdr:clientData/>
  </xdr:oneCellAnchor>
  <xdr:twoCellAnchor>
    <xdr:from>
      <xdr:col>29</xdr:col>
      <xdr:colOff>190499</xdr:colOff>
      <xdr:row>101</xdr:row>
      <xdr:rowOff>78441</xdr:rowOff>
    </xdr:from>
    <xdr:to>
      <xdr:col>31</xdr:col>
      <xdr:colOff>156882</xdr:colOff>
      <xdr:row>103</xdr:row>
      <xdr:rowOff>168088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8790A56D-EF02-4F02-9AD2-1AC77AB350CC}"/>
            </a:ext>
          </a:extLst>
        </xdr:cNvPr>
        <xdr:cNvSpPr/>
      </xdr:nvSpPr>
      <xdr:spPr>
        <a:xfrm>
          <a:off x="21421724" y="19318941"/>
          <a:ext cx="1290358" cy="4706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IPS S3</a:t>
          </a:r>
        </a:p>
        <a:p>
          <a:pPr algn="l"/>
          <a:endParaRPr lang="en-US" sz="1100"/>
        </a:p>
      </xdr:txBody>
    </xdr:sp>
    <xdr:clientData/>
  </xdr:twoCellAnchor>
  <xdr:twoCellAnchor>
    <xdr:from>
      <xdr:col>28</xdr:col>
      <xdr:colOff>307042</xdr:colOff>
      <xdr:row>103</xdr:row>
      <xdr:rowOff>168088</xdr:rowOff>
    </xdr:from>
    <xdr:to>
      <xdr:col>30</xdr:col>
      <xdr:colOff>330172</xdr:colOff>
      <xdr:row>105</xdr:row>
      <xdr:rowOff>160404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B3009171-86B5-4229-9000-13D2DF7C55A9}"/>
            </a:ext>
          </a:extLst>
        </xdr:cNvPr>
        <xdr:cNvCxnSpPr>
          <a:stCxn id="23" idx="4"/>
          <a:endCxn id="30" idx="0"/>
        </xdr:cNvCxnSpPr>
      </xdr:nvCxnSpPr>
      <xdr:spPr>
        <a:xfrm flipH="1">
          <a:off x="20350363" y="19789588"/>
          <a:ext cx="1465488" cy="3733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330172</xdr:colOff>
      <xdr:row>103</xdr:row>
      <xdr:rowOff>168088</xdr:rowOff>
    </xdr:from>
    <xdr:to>
      <xdr:col>32</xdr:col>
      <xdr:colOff>80441</xdr:colOff>
      <xdr:row>105</xdr:row>
      <xdr:rowOff>178334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41C449F3-2464-4493-AF70-3CABCAFCCB47}"/>
            </a:ext>
          </a:extLst>
        </xdr:cNvPr>
        <xdr:cNvCxnSpPr>
          <a:stCxn id="23" idx="4"/>
          <a:endCxn id="31" idx="0"/>
        </xdr:cNvCxnSpPr>
      </xdr:nvCxnSpPr>
      <xdr:spPr>
        <a:xfrm>
          <a:off x="21815851" y="19789588"/>
          <a:ext cx="1287876" cy="3912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28</xdr:col>
      <xdr:colOff>462643</xdr:colOff>
      <xdr:row>103</xdr:row>
      <xdr:rowOff>149678</xdr:rowOff>
    </xdr:from>
    <xdr:ext cx="51707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7171100-6C3D-445A-AA43-AA87C818F822}"/>
            </a:ext>
          </a:extLst>
        </xdr:cNvPr>
        <xdr:cNvSpPr txBox="1"/>
      </xdr:nvSpPr>
      <xdr:spPr>
        <a:xfrm>
          <a:off x="20505964" y="19771178"/>
          <a:ext cx="5170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&gt;2.69</a:t>
          </a:r>
          <a:r>
            <a:rPr lang="en-US"/>
            <a:t> </a:t>
          </a:r>
          <a:endParaRPr lang="en-US" sz="1100"/>
        </a:p>
      </xdr:txBody>
    </xdr:sp>
    <xdr:clientData/>
  </xdr:oneCellAnchor>
  <xdr:oneCellAnchor>
    <xdr:from>
      <xdr:col>31</xdr:col>
      <xdr:colOff>21451</xdr:colOff>
      <xdr:row>103</xdr:row>
      <xdr:rowOff>175132</xdr:rowOff>
    </xdr:from>
    <xdr:ext cx="781372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4C12C9B-BF62-424E-AF40-E07D4C3A05E9}"/>
            </a:ext>
          </a:extLst>
        </xdr:cNvPr>
        <xdr:cNvSpPr txBox="1"/>
      </xdr:nvSpPr>
      <xdr:spPr>
        <a:xfrm>
          <a:off x="22432415" y="19796632"/>
          <a:ext cx="7813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&lt;=2.69</a:t>
          </a:r>
        </a:p>
      </xdr:txBody>
    </xdr:sp>
    <xdr:clientData/>
  </xdr:oneCellAnchor>
  <xdr:twoCellAnchor>
    <xdr:from>
      <xdr:col>27</xdr:col>
      <xdr:colOff>533400</xdr:colOff>
      <xdr:row>105</xdr:row>
      <xdr:rowOff>160404</xdr:rowOff>
    </xdr:from>
    <xdr:to>
      <xdr:col>29</xdr:col>
      <xdr:colOff>162325</xdr:colOff>
      <xdr:row>107</xdr:row>
      <xdr:rowOff>70757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432B036E-07FF-42E1-9DB3-68AEFD79526E}"/>
            </a:ext>
          </a:extLst>
        </xdr:cNvPr>
        <xdr:cNvSpPr/>
      </xdr:nvSpPr>
      <xdr:spPr>
        <a:xfrm>
          <a:off x="19665043" y="20162904"/>
          <a:ext cx="1370639" cy="291353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?</a:t>
          </a:r>
        </a:p>
      </xdr:txBody>
    </xdr:sp>
    <xdr:clientData/>
  </xdr:twoCellAnchor>
  <xdr:twoCellAnchor>
    <xdr:from>
      <xdr:col>31</xdr:col>
      <xdr:colOff>123103</xdr:colOff>
      <xdr:row>105</xdr:row>
      <xdr:rowOff>178334</xdr:rowOff>
    </xdr:from>
    <xdr:to>
      <xdr:col>33</xdr:col>
      <xdr:colOff>37779</xdr:colOff>
      <xdr:row>107</xdr:row>
      <xdr:rowOff>88687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1270DD67-262E-410B-9050-8F4DDFED7B85}"/>
            </a:ext>
          </a:extLst>
        </xdr:cNvPr>
        <xdr:cNvSpPr/>
      </xdr:nvSpPr>
      <xdr:spPr>
        <a:xfrm>
          <a:off x="22534067" y="20180834"/>
          <a:ext cx="1139319" cy="291353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Tidak Lulus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66675</xdr:colOff>
      <xdr:row>37</xdr:row>
      <xdr:rowOff>85725</xdr:rowOff>
    </xdr:from>
    <xdr:to>
      <xdr:col>16</xdr:col>
      <xdr:colOff>542924</xdr:colOff>
      <xdr:row>42</xdr:row>
      <xdr:rowOff>79610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D93CB-AD02-4C7B-BF33-A2D9F9E79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5150" y="7134225"/>
          <a:ext cx="3552825" cy="946385"/>
        </a:xfrm>
        <a:prstGeom prst="rect">
          <a:avLst/>
        </a:prstGeom>
      </xdr:spPr>
    </xdr:pic>
    <xdr:clientData/>
  </xdr:twoCellAnchor>
  <xdr:twoCellAnchor editAs="oneCell">
    <xdr:from>
      <xdr:col>6</xdr:col>
      <xdr:colOff>323850</xdr:colOff>
      <xdr:row>40</xdr:row>
      <xdr:rowOff>19050</xdr:rowOff>
    </xdr:from>
    <xdr:to>
      <xdr:col>10</xdr:col>
      <xdr:colOff>232679</xdr:colOff>
      <xdr:row>46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347D3D-5E4C-4D02-8BA0-39FB3C420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4325" y="7639050"/>
          <a:ext cx="2717023" cy="12382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37</xdr:row>
      <xdr:rowOff>76200</xdr:rowOff>
    </xdr:from>
    <xdr:to>
      <xdr:col>12</xdr:col>
      <xdr:colOff>523875</xdr:colOff>
      <xdr:row>42</xdr:row>
      <xdr:rowOff>163606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77FA96C3-0B60-4AC9-A765-486171565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5" y="7124700"/>
          <a:ext cx="2867025" cy="10399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680197</xdr:colOff>
      <xdr:row>4</xdr:row>
      <xdr:rowOff>39782</xdr:rowOff>
    </xdr:from>
    <xdr:to>
      <xdr:col>14</xdr:col>
      <xdr:colOff>1117227</xdr:colOff>
      <xdr:row>7</xdr:row>
      <xdr:rowOff>152345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DF881D1-2415-43E5-8DE4-D8AEF74ED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92168" y="801782"/>
          <a:ext cx="1967753" cy="6840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17</xdr:row>
      <xdr:rowOff>9525</xdr:rowOff>
    </xdr:from>
    <xdr:to>
      <xdr:col>1</xdr:col>
      <xdr:colOff>1009650</xdr:colOff>
      <xdr:row>20</xdr:row>
      <xdr:rowOff>125654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3D72C3-4869-4481-9F8E-2505E8C7A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438525"/>
          <a:ext cx="1828800" cy="687629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11</xdr:row>
      <xdr:rowOff>161925</xdr:rowOff>
    </xdr:from>
    <xdr:to>
      <xdr:col>2</xdr:col>
      <xdr:colOff>419100</xdr:colOff>
      <xdr:row>16</xdr:row>
      <xdr:rowOff>25092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258D837-6DC4-4CDA-B679-52B0D0AA3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47925"/>
          <a:ext cx="2428875" cy="815667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752475</xdr:colOff>
      <xdr:row>0</xdr:row>
      <xdr:rowOff>180975</xdr:rowOff>
    </xdr:from>
    <xdr:to>
      <xdr:col>17</xdr:col>
      <xdr:colOff>447675</xdr:colOff>
      <xdr:row>6</xdr:row>
      <xdr:rowOff>76200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C4A38147-A573-4D19-AAFE-AE840A225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0125" y="180975"/>
          <a:ext cx="2886075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17</xdr:row>
      <xdr:rowOff>19050</xdr:rowOff>
    </xdr:from>
    <xdr:to>
      <xdr:col>10</xdr:col>
      <xdr:colOff>228600</xdr:colOff>
      <xdr:row>24</xdr:row>
      <xdr:rowOff>133350</xdr:rowOff>
    </xdr:to>
    <xdr:pic>
      <xdr:nvPicPr>
        <xdr:cNvPr id="9" name="Picture 2" descr="Hasil gambar untuk rumus standar deviasi">
          <a:extLst>
            <a:ext uri="{FF2B5EF4-FFF2-40B4-BE49-F238E27FC236}">
              <a16:creationId xmlns:a16="http://schemas.microsoft.com/office/drawing/2014/main" id="{F5C62A3F-2B9E-4EA5-8E7A-E190499F5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838575"/>
          <a:ext cx="1857375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561975</xdr:colOff>
      <xdr:row>11</xdr:row>
      <xdr:rowOff>180975</xdr:rowOff>
    </xdr:from>
    <xdr:to>
      <xdr:col>9</xdr:col>
      <xdr:colOff>457200</xdr:colOff>
      <xdr:row>17</xdr:row>
      <xdr:rowOff>28575</xdr:rowOff>
    </xdr:to>
    <xdr:pic>
      <xdr:nvPicPr>
        <xdr:cNvPr id="10" name="Picture 3">
          <a:extLst>
            <a:ext uri="{FF2B5EF4-FFF2-40B4-BE49-F238E27FC236}">
              <a16:creationId xmlns:a16="http://schemas.microsoft.com/office/drawing/2014/main" id="{D0C12272-C4ED-4CB2-ABF2-490ABE054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2667000"/>
          <a:ext cx="11144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D5CB3-8C7E-4884-B67F-A24C32728481}">
  <dimension ref="A1:X61"/>
  <sheetViews>
    <sheetView topLeftCell="A37" zoomScale="85" zoomScaleNormal="85" workbookViewId="0">
      <selection activeCell="M48" sqref="M48"/>
    </sheetView>
  </sheetViews>
  <sheetFormatPr defaultRowHeight="14.4" x14ac:dyDescent="0.3"/>
  <cols>
    <col min="1" max="1" width="14" customWidth="1"/>
    <col min="2" max="2" width="20" customWidth="1"/>
    <col min="3" max="3" width="8.109375" customWidth="1"/>
    <col min="4" max="4" width="10.109375" customWidth="1"/>
    <col min="6" max="6" width="10.5546875" customWidth="1"/>
    <col min="7" max="7" width="19.5546875" customWidth="1"/>
    <col min="8" max="8" width="9.6640625" customWidth="1"/>
    <col min="9" max="9" width="13.6640625" customWidth="1"/>
    <col min="10" max="10" width="16.5546875" customWidth="1"/>
    <col min="11" max="11" width="11" customWidth="1"/>
    <col min="13" max="13" width="12" customWidth="1"/>
    <col min="15" max="15" width="10.44140625" customWidth="1"/>
  </cols>
  <sheetData>
    <row r="1" spans="1:17" x14ac:dyDescent="0.3">
      <c r="I1" s="9" t="s">
        <v>61</v>
      </c>
    </row>
    <row r="2" spans="1:17" s="9" customFormat="1" x14ac:dyDescent="0.3">
      <c r="A2" s="80" t="s">
        <v>182</v>
      </c>
      <c r="B2" s="80" t="s">
        <v>183</v>
      </c>
      <c r="C2" s="80" t="s">
        <v>184</v>
      </c>
      <c r="D2" s="80" t="s">
        <v>169</v>
      </c>
      <c r="E2" s="80" t="s">
        <v>185</v>
      </c>
      <c r="F2" s="80" t="s">
        <v>186</v>
      </c>
      <c r="G2" s="80" t="s">
        <v>187</v>
      </c>
      <c r="I2" s="159" t="s">
        <v>57</v>
      </c>
      <c r="J2" s="159"/>
      <c r="K2" s="34" t="s">
        <v>58</v>
      </c>
      <c r="L2" s="34" t="s">
        <v>188</v>
      </c>
      <c r="M2" s="34" t="s">
        <v>189</v>
      </c>
      <c r="N2" s="38" t="s">
        <v>59</v>
      </c>
      <c r="O2" s="34" t="s">
        <v>60</v>
      </c>
    </row>
    <row r="3" spans="1:17" x14ac:dyDescent="0.3">
      <c r="A3" s="8" t="s">
        <v>190</v>
      </c>
      <c r="B3" s="83" t="s">
        <v>191</v>
      </c>
      <c r="C3" s="8" t="s">
        <v>192</v>
      </c>
      <c r="D3" s="84" t="s">
        <v>151</v>
      </c>
      <c r="E3" s="31" t="s">
        <v>193</v>
      </c>
      <c r="F3" s="84" t="s">
        <v>194</v>
      </c>
      <c r="G3" s="62" t="s">
        <v>189</v>
      </c>
      <c r="I3" s="111" t="s">
        <v>25</v>
      </c>
      <c r="J3" s="111"/>
      <c r="K3" s="111">
        <f>COUNTA(A3:A12)</f>
        <v>10</v>
      </c>
      <c r="L3" s="111">
        <f>COUNTIF($G$3:$G$12,L2)</f>
        <v>6</v>
      </c>
      <c r="M3" s="111">
        <f>COUNTIF($G$3:$G$12,M2)</f>
        <v>4</v>
      </c>
      <c r="N3" s="111">
        <f>((-L3/K3)*IMLOG2(L3/K3)+(-M3/K3)*IMLOG2(M3/K3))</f>
        <v>0.97095059445466747</v>
      </c>
      <c r="O3" s="111"/>
    </row>
    <row r="4" spans="1:17" x14ac:dyDescent="0.3">
      <c r="A4" s="8" t="s">
        <v>190</v>
      </c>
      <c r="B4" s="83" t="s">
        <v>191</v>
      </c>
      <c r="C4" s="87" t="s">
        <v>192</v>
      </c>
      <c r="D4" s="84" t="s">
        <v>152</v>
      </c>
      <c r="E4" s="31" t="s">
        <v>195</v>
      </c>
      <c r="F4" s="84" t="s">
        <v>194</v>
      </c>
      <c r="G4" s="62" t="s">
        <v>189</v>
      </c>
      <c r="I4" s="160" t="s">
        <v>182</v>
      </c>
      <c r="J4" s="41"/>
      <c r="K4" s="41"/>
      <c r="L4" s="41"/>
      <c r="M4" s="41"/>
      <c r="N4" s="41"/>
      <c r="O4" s="41">
        <f>($N$3)-((($K5/$K$3)*($N5)+(($K6/$K$3)*$N6)))</f>
        <v>4.6439344671014293E-2</v>
      </c>
      <c r="Q4" s="9" t="s">
        <v>62</v>
      </c>
    </row>
    <row r="5" spans="1:17" x14ac:dyDescent="0.3">
      <c r="A5" s="8" t="s">
        <v>190</v>
      </c>
      <c r="B5" s="83" t="s">
        <v>197</v>
      </c>
      <c r="C5" s="87" t="s">
        <v>198</v>
      </c>
      <c r="D5" s="84" t="s">
        <v>152</v>
      </c>
      <c r="E5" s="31" t="s">
        <v>193</v>
      </c>
      <c r="F5" s="84" t="s">
        <v>194</v>
      </c>
      <c r="G5" s="62" t="s">
        <v>188</v>
      </c>
      <c r="I5" s="160"/>
      <c r="J5" s="39" t="s">
        <v>190</v>
      </c>
      <c r="K5" s="39">
        <f>COUNTIF($A$3:$A$12,J5)</f>
        <v>6</v>
      </c>
      <c r="L5" s="39">
        <f>COUNTIFS($A$3:$A$12,$J5,$G$3:$G$12,$L$2)</f>
        <v>3</v>
      </c>
      <c r="M5" s="39">
        <f>COUNTIFS($A$3:$A$12,$J5,$G$3:$G$12,$M$2)</f>
        <v>3</v>
      </c>
      <c r="N5" s="111">
        <f>((-L5/K5)*IMLOG2(L5/K5)+(-M5/K5)*IMLOG2(M5/K5))</f>
        <v>1</v>
      </c>
      <c r="O5" s="39"/>
    </row>
    <row r="6" spans="1:17" x14ac:dyDescent="0.3">
      <c r="A6" s="8" t="s">
        <v>196</v>
      </c>
      <c r="B6" s="83" t="s">
        <v>199</v>
      </c>
      <c r="C6" s="87" t="s">
        <v>192</v>
      </c>
      <c r="D6" s="84" t="s">
        <v>150</v>
      </c>
      <c r="E6" s="31" t="s">
        <v>193</v>
      </c>
      <c r="F6" s="84" t="s">
        <v>194</v>
      </c>
      <c r="G6" s="62" t="s">
        <v>189</v>
      </c>
      <c r="I6" s="160"/>
      <c r="J6" s="39" t="s">
        <v>196</v>
      </c>
      <c r="K6" s="39">
        <f>COUNTIF($A$3:$A$12,J6)</f>
        <v>4</v>
      </c>
      <c r="L6" s="39">
        <f>COUNTIFS($A$3:$A$12,$J6,$G$3:$G$12,$L$2)</f>
        <v>3</v>
      </c>
      <c r="M6" s="39">
        <f>COUNTIFS($A$3:$A$12,$J6,$G$3:$G$12,$M$2)</f>
        <v>1</v>
      </c>
      <c r="N6" s="111">
        <f>((-L6/K6)*IMLOG2(L6/K6)+(-M6/K6)*IMLOG2(M6/K6))</f>
        <v>0.81127812445913294</v>
      </c>
      <c r="O6" s="39"/>
    </row>
    <row r="7" spans="1:17" x14ac:dyDescent="0.3">
      <c r="A7" s="8" t="s">
        <v>190</v>
      </c>
      <c r="B7" s="83" t="s">
        <v>191</v>
      </c>
      <c r="C7" s="87" t="s">
        <v>198</v>
      </c>
      <c r="D7" s="84" t="s">
        <v>150</v>
      </c>
      <c r="E7" s="31" t="s">
        <v>193</v>
      </c>
      <c r="F7" s="84" t="s">
        <v>233</v>
      </c>
      <c r="G7" s="62" t="s">
        <v>189</v>
      </c>
      <c r="I7" s="161" t="s">
        <v>183</v>
      </c>
      <c r="J7" s="41"/>
      <c r="K7" s="41"/>
      <c r="L7" s="41"/>
      <c r="M7" s="41"/>
      <c r="N7" s="41"/>
      <c r="O7" s="41">
        <f>($N$3)-((($K8/$K$3)*($N8)+($K9/$K$3)*($N9)+($K10/$K$3)*($N10)))</f>
        <v>0.4464393446710142</v>
      </c>
    </row>
    <row r="8" spans="1:17" x14ac:dyDescent="0.3">
      <c r="A8" s="8" t="s">
        <v>190</v>
      </c>
      <c r="B8" s="83" t="s">
        <v>191</v>
      </c>
      <c r="C8" s="87" t="s">
        <v>192</v>
      </c>
      <c r="D8" s="84" t="s">
        <v>150</v>
      </c>
      <c r="E8" s="31" t="s">
        <v>193</v>
      </c>
      <c r="F8" s="84" t="s">
        <v>194</v>
      </c>
      <c r="G8" s="62" t="s">
        <v>188</v>
      </c>
      <c r="I8" s="161"/>
      <c r="J8" s="112" t="s">
        <v>191</v>
      </c>
      <c r="K8" s="39">
        <f>COUNTIF($B$3:$B$12,J8)</f>
        <v>4</v>
      </c>
      <c r="L8" s="39">
        <f>COUNTIFS($B$3:$B$12,$J8,$G$3:$G$12,$L$2)</f>
        <v>1</v>
      </c>
      <c r="M8" s="39">
        <f>COUNTIFS($B$3:$B$12,$J8,$G$3:$G$12,$M$2)</f>
        <v>3</v>
      </c>
      <c r="N8" s="111">
        <f>((-L8/K8)*IMLOG2(L8/K8)+(-M8/K8)*IMLOG2(M8/K8))</f>
        <v>0.81127812445913294</v>
      </c>
      <c r="O8" s="39"/>
    </row>
    <row r="9" spans="1:17" x14ac:dyDescent="0.3">
      <c r="A9" s="8" t="s">
        <v>190</v>
      </c>
      <c r="B9" s="83" t="s">
        <v>197</v>
      </c>
      <c r="C9" s="87" t="s">
        <v>192</v>
      </c>
      <c r="D9" s="84" t="s">
        <v>150</v>
      </c>
      <c r="E9" s="31" t="s">
        <v>193</v>
      </c>
      <c r="F9" s="84" t="s">
        <v>194</v>
      </c>
      <c r="G9" s="62" t="s">
        <v>188</v>
      </c>
      <c r="I9" s="161"/>
      <c r="J9" s="112" t="s">
        <v>197</v>
      </c>
      <c r="K9" s="39">
        <f>COUNTIF($B$3:$B$12,J9)</f>
        <v>4</v>
      </c>
      <c r="L9" s="39">
        <f>COUNTIFS($B$3:$B$12,$J9,$G$3:$G$12,$L$2)</f>
        <v>4</v>
      </c>
      <c r="M9" s="39">
        <f>COUNTIFS($B$3:$B$12,$J9,$G$3:$G$12,$M$2)</f>
        <v>0</v>
      </c>
      <c r="N9" s="111">
        <v>0</v>
      </c>
      <c r="O9" s="39"/>
    </row>
    <row r="10" spans="1:17" x14ac:dyDescent="0.3">
      <c r="A10" s="8" t="s">
        <v>196</v>
      </c>
      <c r="B10" s="83" t="s">
        <v>199</v>
      </c>
      <c r="C10" s="87" t="s">
        <v>192</v>
      </c>
      <c r="D10" s="84" t="s">
        <v>150</v>
      </c>
      <c r="E10" s="31" t="s">
        <v>193</v>
      </c>
      <c r="F10" s="84" t="s">
        <v>194</v>
      </c>
      <c r="G10" s="62" t="s">
        <v>188</v>
      </c>
      <c r="I10" s="161"/>
      <c r="J10" s="112" t="s">
        <v>199</v>
      </c>
      <c r="K10" s="39">
        <f>COUNTIF($B$3:$B$12,J10)</f>
        <v>2</v>
      </c>
      <c r="L10" s="39">
        <f>COUNTIFS($B$3:$B$12,$J10,$G$3:$G$12,$L$2)</f>
        <v>1</v>
      </c>
      <c r="M10" s="39">
        <f>COUNTIFS($B$3:$B$12,$J10,$G$3:$G$12,$M$2)</f>
        <v>1</v>
      </c>
      <c r="N10" s="111">
        <f t="shared" ref="N10" si="0">((-L10/K10)*IMLOG2(L10/K10)+(-M10/K10)*IMLOG2(M10/K10))</f>
        <v>1</v>
      </c>
      <c r="O10" s="39"/>
    </row>
    <row r="11" spans="1:17" x14ac:dyDescent="0.3">
      <c r="A11" s="8" t="s">
        <v>196</v>
      </c>
      <c r="B11" s="83" t="s">
        <v>197</v>
      </c>
      <c r="C11" s="87" t="s">
        <v>192</v>
      </c>
      <c r="D11" s="84" t="s">
        <v>151</v>
      </c>
      <c r="E11" s="31" t="s">
        <v>193</v>
      </c>
      <c r="F11" s="84" t="s">
        <v>233</v>
      </c>
      <c r="G11" s="62" t="s">
        <v>188</v>
      </c>
      <c r="I11" s="160" t="s">
        <v>184</v>
      </c>
      <c r="J11" s="41"/>
      <c r="K11" s="41"/>
      <c r="L11" s="41"/>
      <c r="M11" s="41"/>
      <c r="N11" s="41"/>
      <c r="O11" s="41">
        <f>($N$3)-((($K12/$K$3)*($N12)+(($K13/$K$3)*$N13)))</f>
        <v>7.4033921146965387E-3</v>
      </c>
    </row>
    <row r="12" spans="1:17" x14ac:dyDescent="0.3">
      <c r="A12" s="8" t="s">
        <v>196</v>
      </c>
      <c r="B12" s="83" t="s">
        <v>197</v>
      </c>
      <c r="C12" s="87" t="s">
        <v>192</v>
      </c>
      <c r="D12" s="90" t="s">
        <v>151</v>
      </c>
      <c r="E12" s="31" t="s">
        <v>193</v>
      </c>
      <c r="F12" s="84" t="s">
        <v>194</v>
      </c>
      <c r="G12" s="62" t="s">
        <v>188</v>
      </c>
      <c r="I12" s="160"/>
      <c r="J12" s="113" t="s">
        <v>198</v>
      </c>
      <c r="K12" s="39">
        <f>COUNTIF($C$3:$C$12,J12)</f>
        <v>2</v>
      </c>
      <c r="L12" s="39">
        <f>COUNTIFS($C$3:$C$12,$J12,$G$3:$G$12,$L$2)</f>
        <v>1</v>
      </c>
      <c r="M12" s="39">
        <f>COUNTIFS($C$3:$C$12,$J12,$G$3:$G$12,$M$2)</f>
        <v>1</v>
      </c>
      <c r="N12" s="111">
        <f>((-L12/K12)*IMLOG2(L12/K12)+(-M12/K12)*IMLOG2(M12/K12))</f>
        <v>1</v>
      </c>
      <c r="O12" s="39"/>
    </row>
    <row r="13" spans="1:17" x14ac:dyDescent="0.3">
      <c r="D13" s="114"/>
      <c r="E13" s="114"/>
      <c r="I13" s="160"/>
      <c r="J13" s="113" t="s">
        <v>192</v>
      </c>
      <c r="K13" s="39">
        <f>COUNTIF($C$3:$C$12,J13)</f>
        <v>8</v>
      </c>
      <c r="L13" s="39">
        <f>COUNTIFS($C$3:$C$12,$J13,$G$3:$G$12,$L$2)</f>
        <v>5</v>
      </c>
      <c r="M13" s="39">
        <f>COUNTIFS($C$3:$C$12,$J13,$G$3:$G$12,$M$2)</f>
        <v>3</v>
      </c>
      <c r="N13" s="111">
        <f>((-L13/K13)*IMLOG2(L13/K13)+(-M13/K13)*IMLOG2(M13/K13))</f>
        <v>0.95443400292496372</v>
      </c>
      <c r="O13" s="39"/>
    </row>
    <row r="14" spans="1:17" x14ac:dyDescent="0.3">
      <c r="C14" s="164"/>
      <c r="D14" s="164"/>
      <c r="E14" s="164"/>
      <c r="F14" s="164"/>
      <c r="G14" s="164"/>
      <c r="I14" s="156" t="s">
        <v>169</v>
      </c>
      <c r="J14" s="115"/>
      <c r="K14" s="116"/>
      <c r="L14" s="116"/>
      <c r="M14" s="116"/>
      <c r="N14" s="116"/>
      <c r="O14" s="41">
        <f>($N$3)-((($K15/$K$3)*($N15)+($K16/$K$3)*($N16)+($K17/$K$3)*($N17)))</f>
        <v>0.49546184423832029</v>
      </c>
    </row>
    <row r="15" spans="1:17" x14ac:dyDescent="0.3">
      <c r="C15" s="164"/>
      <c r="D15" s="164"/>
      <c r="E15" s="164"/>
      <c r="F15" s="164"/>
      <c r="G15" s="164"/>
      <c r="I15" s="157"/>
      <c r="J15" s="39" t="s">
        <v>151</v>
      </c>
      <c r="K15" s="39">
        <f>COUNTIF($D$3:$D$12,J15)</f>
        <v>3</v>
      </c>
      <c r="L15" s="39">
        <f>COUNTIFS($D$3:$D$12,$J15,$G$3:$G$12,$L$2)</f>
        <v>2</v>
      </c>
      <c r="M15" s="39">
        <f>COUNTIFS($D$3:$D$12,$J15,$G$3:$G$12,$M$2)</f>
        <v>1</v>
      </c>
      <c r="N15" s="111">
        <f>((-L15/K15)*IMLOG2(L15/K15)+(-M15/K15)*IMLOG2(M15/K15))</f>
        <v>0.91829583405449056</v>
      </c>
      <c r="O15" s="39"/>
    </row>
    <row r="16" spans="1:17" x14ac:dyDescent="0.3">
      <c r="C16" s="164"/>
      <c r="D16" s="164"/>
      <c r="E16" s="164"/>
      <c r="F16" s="164"/>
      <c r="G16" s="164"/>
      <c r="I16" s="157"/>
      <c r="J16" s="39" t="s">
        <v>150</v>
      </c>
      <c r="K16" s="39">
        <f>COUNTIF($D$3:$D$12,J16)</f>
        <v>5</v>
      </c>
      <c r="L16" s="39">
        <f>COUNTIFS($D$3:$D$12,$J16,$G$3:$G$12,$L$2)</f>
        <v>3</v>
      </c>
      <c r="M16" s="39">
        <f>COUNTIFS($D$3:$D$12,$J16,$G$3:$G$12,$M$2)</f>
        <v>2</v>
      </c>
      <c r="N16" s="111">
        <v>0</v>
      </c>
      <c r="O16" s="39"/>
    </row>
    <row r="17" spans="2:15" x14ac:dyDescent="0.3">
      <c r="C17" s="164"/>
      <c r="D17" s="164"/>
      <c r="E17" s="164"/>
      <c r="F17" s="164"/>
      <c r="G17" s="164"/>
      <c r="I17" s="157"/>
      <c r="J17" s="39" t="s">
        <v>152</v>
      </c>
      <c r="K17" s="39">
        <f>COUNTIF($D$3:$D$12,J17)</f>
        <v>2</v>
      </c>
      <c r="L17" s="39">
        <f>COUNTIFS($D$3:$D$12,$J17,$G$3:$G$12,$L$2)</f>
        <v>1</v>
      </c>
      <c r="M17" s="39">
        <f>COUNTIFS($D$3:$D$12,$J17,$G$3:$G$12,$M$2)</f>
        <v>1</v>
      </c>
      <c r="N17" s="111">
        <f t="shared" ref="N17" si="1">((-L17/K17)*IMLOG2(L17/K17)+(-M17/K17)*IMLOG2(M17/K17))</f>
        <v>1</v>
      </c>
      <c r="O17" s="39"/>
    </row>
    <row r="18" spans="2:15" x14ac:dyDescent="0.3">
      <c r="C18" s="164"/>
      <c r="D18" s="164"/>
      <c r="E18" s="164"/>
      <c r="F18" s="164"/>
      <c r="G18" s="164"/>
      <c r="I18" s="162" t="s">
        <v>185</v>
      </c>
      <c r="J18" s="115"/>
      <c r="K18" s="116"/>
      <c r="L18" s="116"/>
      <c r="M18" s="116"/>
      <c r="N18" s="116"/>
      <c r="O18" s="41">
        <f>($N$3)-((($K19/$K$3)*($N19)+(($K20/$K$3)*$N20)))</f>
        <v>0.14448434380562591</v>
      </c>
    </row>
    <row r="19" spans="2:15" x14ac:dyDescent="0.3">
      <c r="C19" s="164"/>
      <c r="D19" s="164"/>
      <c r="E19" s="164"/>
      <c r="F19" s="164"/>
      <c r="G19" s="164"/>
      <c r="I19" s="162"/>
      <c r="J19" s="44" t="s">
        <v>193</v>
      </c>
      <c r="K19" s="39">
        <f>COUNTIF($E$3:$E$12,J19)</f>
        <v>9</v>
      </c>
      <c r="L19" s="39">
        <f>COUNTIFS($E$3:$E$12,$J19,$G$3:$G$12,$L$2)</f>
        <v>6</v>
      </c>
      <c r="M19" s="39">
        <f>COUNTIFS($E$3:$E$12,$J19,$G$3:$G$12,$M$2)</f>
        <v>3</v>
      </c>
      <c r="N19" s="111">
        <f>((-L19/K19)*IMLOG2(L19/K19)+(-M19/K19)*IMLOG2(M19/K19))</f>
        <v>0.91829583405449056</v>
      </c>
      <c r="O19" s="39"/>
    </row>
    <row r="20" spans="2:15" x14ac:dyDescent="0.3">
      <c r="C20" s="164"/>
      <c r="D20" s="164"/>
      <c r="E20" s="164"/>
      <c r="F20" s="164"/>
      <c r="G20" s="164"/>
      <c r="I20" s="163"/>
      <c r="J20" s="44" t="s">
        <v>195</v>
      </c>
      <c r="K20" s="39">
        <f>COUNTIF($E$3:$E$12,J20)</f>
        <v>1</v>
      </c>
      <c r="L20" s="39">
        <f>COUNTIFS($E$3:$E$12,$J20,$G$3:$G$12,$L$2)</f>
        <v>0</v>
      </c>
      <c r="M20" s="39">
        <f>COUNTIFS($E$3:$E$12,$J20,$G$3:$G$12,$M$2)</f>
        <v>1</v>
      </c>
      <c r="N20" s="111">
        <v>0</v>
      </c>
      <c r="O20" s="39"/>
    </row>
    <row r="21" spans="2:15" x14ac:dyDescent="0.3">
      <c r="C21" s="164"/>
      <c r="D21" s="164"/>
      <c r="E21" s="164"/>
      <c r="F21" s="164"/>
      <c r="G21" s="164"/>
      <c r="I21" s="156" t="s">
        <v>186</v>
      </c>
      <c r="J21" s="116"/>
      <c r="K21" s="116"/>
      <c r="L21" s="116"/>
      <c r="M21" s="116"/>
      <c r="N21" s="116"/>
      <c r="O21" s="41">
        <f>($N$3)-((($K22/$K$3)*($N22)+(($K23/$K$3)*$N23)))</f>
        <v>7.4033921146965387E-3</v>
      </c>
    </row>
    <row r="22" spans="2:15" x14ac:dyDescent="0.3">
      <c r="C22" s="164"/>
      <c r="D22" s="164"/>
      <c r="E22" s="164"/>
      <c r="F22" s="164"/>
      <c r="G22" s="164"/>
      <c r="I22" s="157"/>
      <c r="J22" s="39" t="s">
        <v>194</v>
      </c>
      <c r="K22" s="39">
        <f>COUNTIF($F$3:$F$12,J22)</f>
        <v>8</v>
      </c>
      <c r="L22" s="39">
        <f>COUNTIFS($F$3:$F$12,$J22,$G$3:$G$12,$L$2)</f>
        <v>5</v>
      </c>
      <c r="M22" s="39">
        <f>COUNTIFS($F$3:$F$12,$J22,$G$3:$G$12,$M$2)</f>
        <v>3</v>
      </c>
      <c r="N22" s="111">
        <f>((-L22/K22)*IMLOG2(L22/K22)+(-M22/K22)*IMLOG2(M22/K22))</f>
        <v>0.95443400292496372</v>
      </c>
      <c r="O22" s="39"/>
    </row>
    <row r="23" spans="2:15" x14ac:dyDescent="0.3">
      <c r="C23" s="164"/>
      <c r="D23" s="164"/>
      <c r="E23" s="164"/>
      <c r="F23" s="164"/>
      <c r="G23" s="164"/>
      <c r="I23" s="158"/>
      <c r="J23" s="39" t="s">
        <v>233</v>
      </c>
      <c r="K23" s="39">
        <f>COUNTIF($F$3:$F$12,J23)</f>
        <v>2</v>
      </c>
      <c r="L23" s="39">
        <f>COUNTIFS($F$3:$F$12,$J23,$G$3:$G$12,$L$2)</f>
        <v>1</v>
      </c>
      <c r="M23" s="39">
        <f>COUNTIFS($F$3:$F$12,$J23,$G$3:$G$12,$M$2)</f>
        <v>1</v>
      </c>
      <c r="N23" s="111">
        <f>((-L23/K23)*IMLOG2(L23/K23)+(-M23/K23)*IMLOG2(M23/K23))</f>
        <v>1</v>
      </c>
      <c r="O23" s="39"/>
    </row>
    <row r="24" spans="2:15" x14ac:dyDescent="0.3">
      <c r="I24" s="117"/>
      <c r="J24" s="39"/>
      <c r="K24" s="39"/>
      <c r="L24" s="39"/>
      <c r="M24" s="39"/>
      <c r="O24" s="39"/>
    </row>
    <row r="25" spans="2:15" x14ac:dyDescent="0.3">
      <c r="I25" s="117"/>
      <c r="J25" s="39"/>
      <c r="K25" s="39"/>
      <c r="L25" s="39"/>
      <c r="M25" s="39"/>
      <c r="N25" s="9" t="s">
        <v>242</v>
      </c>
      <c r="O25" s="118">
        <f>MAX(O3:O23)</f>
        <v>0.49546184423832029</v>
      </c>
    </row>
    <row r="26" spans="2:15" x14ac:dyDescent="0.3">
      <c r="I26" s="117"/>
      <c r="J26" s="39"/>
      <c r="K26" s="39"/>
      <c r="L26" s="39"/>
      <c r="M26" s="39"/>
      <c r="O26" s="39"/>
    </row>
    <row r="27" spans="2:15" x14ac:dyDescent="0.3">
      <c r="I27" s="117"/>
      <c r="J27" s="39"/>
      <c r="K27" s="39"/>
      <c r="L27" s="39"/>
      <c r="M27" s="39"/>
      <c r="O27" s="39"/>
    </row>
    <row r="28" spans="2:15" x14ac:dyDescent="0.3">
      <c r="I28" s="117"/>
      <c r="J28" s="39"/>
      <c r="K28" s="39"/>
      <c r="L28" s="39"/>
      <c r="M28" s="39"/>
      <c r="N28" s="39"/>
      <c r="O28" s="39"/>
    </row>
    <row r="29" spans="2:15" x14ac:dyDescent="0.3">
      <c r="B29" t="s">
        <v>151</v>
      </c>
      <c r="C29" t="s">
        <v>150</v>
      </c>
      <c r="E29" t="s">
        <v>152</v>
      </c>
      <c r="I29" s="117"/>
      <c r="J29" s="39"/>
      <c r="K29" s="39"/>
      <c r="L29" s="39"/>
      <c r="M29" s="39"/>
      <c r="N29" s="39"/>
      <c r="O29" s="39"/>
    </row>
    <row r="30" spans="2:15" x14ac:dyDescent="0.3">
      <c r="I30" s="117"/>
      <c r="J30" s="39"/>
      <c r="K30" s="39"/>
      <c r="L30" s="39"/>
      <c r="M30" s="39"/>
      <c r="N30" s="39"/>
      <c r="O30" s="39"/>
    </row>
    <row r="31" spans="2:15" x14ac:dyDescent="0.3">
      <c r="I31" s="117"/>
      <c r="J31" s="39"/>
      <c r="K31" s="39"/>
      <c r="L31" s="9" t="s">
        <v>84</v>
      </c>
      <c r="M31" s="39"/>
      <c r="N31" s="39"/>
      <c r="O31" s="39"/>
    </row>
    <row r="33" spans="1:23" x14ac:dyDescent="0.3">
      <c r="D33" t="s">
        <v>191</v>
      </c>
      <c r="G33" t="s">
        <v>235</v>
      </c>
      <c r="L33" s="9" t="s">
        <v>168</v>
      </c>
    </row>
    <row r="34" spans="1:23" x14ac:dyDescent="0.3">
      <c r="F34" t="s">
        <v>199</v>
      </c>
      <c r="L34" t="s">
        <v>234</v>
      </c>
    </row>
    <row r="35" spans="1:23" x14ac:dyDescent="0.3">
      <c r="L35" t="s">
        <v>93</v>
      </c>
    </row>
    <row r="36" spans="1:23" x14ac:dyDescent="0.3">
      <c r="I36" s="168" t="s">
        <v>97</v>
      </c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</row>
    <row r="38" spans="1:23" x14ac:dyDescent="0.3">
      <c r="I38" s="80" t="s">
        <v>182</v>
      </c>
      <c r="J38" s="80" t="s">
        <v>183</v>
      </c>
      <c r="K38" s="80" t="s">
        <v>184</v>
      </c>
      <c r="L38" s="80" t="s">
        <v>169</v>
      </c>
      <c r="M38" s="80" t="s">
        <v>185</v>
      </c>
      <c r="N38" s="80" t="s">
        <v>186</v>
      </c>
      <c r="O38" s="80" t="s">
        <v>187</v>
      </c>
      <c r="Q38" s="159" t="s">
        <v>57</v>
      </c>
      <c r="R38" s="159"/>
      <c r="S38" s="34" t="s">
        <v>58</v>
      </c>
      <c r="T38" s="34" t="s">
        <v>188</v>
      </c>
      <c r="U38" s="34" t="s">
        <v>189</v>
      </c>
      <c r="V38" s="34" t="s">
        <v>59</v>
      </c>
      <c r="W38" s="34" t="s">
        <v>60</v>
      </c>
    </row>
    <row r="39" spans="1:23" x14ac:dyDescent="0.3">
      <c r="B39" t="s">
        <v>236</v>
      </c>
      <c r="I39" s="8" t="s">
        <v>190</v>
      </c>
      <c r="J39" s="83" t="s">
        <v>191</v>
      </c>
      <c r="K39" s="8" t="s">
        <v>192</v>
      </c>
      <c r="L39" s="84" t="s">
        <v>151</v>
      </c>
      <c r="M39" s="31" t="s">
        <v>193</v>
      </c>
      <c r="N39" s="84" t="s">
        <v>194</v>
      </c>
      <c r="O39" s="62" t="s">
        <v>189</v>
      </c>
      <c r="Q39" s="111" t="s">
        <v>25</v>
      </c>
      <c r="R39" s="111"/>
      <c r="S39" s="111">
        <f>COUNTA(I39:I43)</f>
        <v>5</v>
      </c>
      <c r="T39" s="111">
        <f>COUNTIF(O39:O43,T38)</f>
        <v>1</v>
      </c>
      <c r="U39" s="111">
        <f>COUNTIF(O39:O43,U38)</f>
        <v>4</v>
      </c>
      <c r="V39" s="111">
        <f>((-T39/S39)*IMLOG2(T39/S39)+(-U39/S39)*IMLOG2(U39/S39))</f>
        <v>0.72192809488736165</v>
      </c>
      <c r="W39" s="111"/>
    </row>
    <row r="40" spans="1:23" x14ac:dyDescent="0.3">
      <c r="B40" t="s">
        <v>237</v>
      </c>
      <c r="I40" s="8" t="s">
        <v>190</v>
      </c>
      <c r="J40" s="83" t="s">
        <v>191</v>
      </c>
      <c r="K40" s="87" t="s">
        <v>192</v>
      </c>
      <c r="L40" s="84" t="s">
        <v>152</v>
      </c>
      <c r="M40" s="31" t="s">
        <v>195</v>
      </c>
      <c r="N40" s="84" t="s">
        <v>194</v>
      </c>
      <c r="O40" s="62" t="s">
        <v>189</v>
      </c>
      <c r="Q40" s="160" t="s">
        <v>182</v>
      </c>
      <c r="R40" s="41"/>
      <c r="S40" s="41"/>
      <c r="T40" s="41"/>
      <c r="U40" s="41"/>
      <c r="V40" s="41"/>
      <c r="W40" s="41">
        <f>($V$39)-(((S41/$S$39)*(V41)+((S42/$S$39)*V42)))</f>
        <v>7.290559532005525E-2</v>
      </c>
    </row>
    <row r="41" spans="1:23" x14ac:dyDescent="0.3">
      <c r="B41" t="s">
        <v>238</v>
      </c>
      <c r="I41" s="8" t="s">
        <v>190</v>
      </c>
      <c r="J41" s="83" t="s">
        <v>197</v>
      </c>
      <c r="K41" s="87" t="s">
        <v>198</v>
      </c>
      <c r="L41" s="84" t="s">
        <v>152</v>
      </c>
      <c r="M41" s="31" t="s">
        <v>193</v>
      </c>
      <c r="N41" s="84" t="s">
        <v>194</v>
      </c>
      <c r="O41" s="62" t="s">
        <v>188</v>
      </c>
      <c r="Q41" s="160"/>
      <c r="R41" s="39" t="s">
        <v>190</v>
      </c>
      <c r="S41" s="39">
        <f>COUNTIF($I$39:$I$43,R41)</f>
        <v>4</v>
      </c>
      <c r="T41" s="39">
        <f>COUNTIFS($I$39:$I$43,$R41,$O$39:$O$43,$T$38)</f>
        <v>1</v>
      </c>
      <c r="U41" s="39">
        <f>COUNTIFS($I$39:$I$43,$R41,$O$39:$O$43,$U$38)</f>
        <v>3</v>
      </c>
      <c r="V41" s="111">
        <f>((-T41/S41)*IMLOG2(T41/S41)+(-U41/S41)*IMLOG2(U41/S41))</f>
        <v>0.81127812445913294</v>
      </c>
      <c r="W41" s="39"/>
    </row>
    <row r="42" spans="1:23" x14ac:dyDescent="0.3">
      <c r="B42" t="s">
        <v>239</v>
      </c>
      <c r="I42" s="8" t="s">
        <v>196</v>
      </c>
      <c r="J42" s="83" t="s">
        <v>199</v>
      </c>
      <c r="K42" s="87" t="s">
        <v>192</v>
      </c>
      <c r="L42" s="84" t="s">
        <v>150</v>
      </c>
      <c r="M42" s="31" t="s">
        <v>193</v>
      </c>
      <c r="N42" s="84" t="s">
        <v>194</v>
      </c>
      <c r="O42" s="62" t="s">
        <v>189</v>
      </c>
      <c r="Q42" s="160"/>
      <c r="R42" s="39" t="s">
        <v>196</v>
      </c>
      <c r="S42" s="39">
        <f>COUNTIF($I$39:$I$43,R42)</f>
        <v>1</v>
      </c>
      <c r="T42" s="39">
        <f>COUNTIFS($I$39:$I$43,$R42,$O$39:$O$43,$T$38)</f>
        <v>0</v>
      </c>
      <c r="U42" s="39">
        <f>COUNTIFS($I$39:$I$43,$R42,$O$39:$O$43,$U$38)</f>
        <v>1</v>
      </c>
      <c r="V42" s="111">
        <v>0</v>
      </c>
      <c r="W42" s="39"/>
    </row>
    <row r="43" spans="1:23" x14ac:dyDescent="0.3">
      <c r="B43" t="s">
        <v>240</v>
      </c>
      <c r="I43" s="8" t="s">
        <v>190</v>
      </c>
      <c r="J43" s="83" t="s">
        <v>191</v>
      </c>
      <c r="K43" s="87" t="s">
        <v>198</v>
      </c>
      <c r="L43" s="84" t="s">
        <v>150</v>
      </c>
      <c r="M43" s="31" t="s">
        <v>193</v>
      </c>
      <c r="N43" s="84" t="s">
        <v>233</v>
      </c>
      <c r="O43" s="62" t="s">
        <v>189</v>
      </c>
      <c r="Q43" s="161" t="s">
        <v>183</v>
      </c>
      <c r="R43" s="41"/>
      <c r="S43" s="41"/>
      <c r="T43" s="41"/>
      <c r="U43" s="41"/>
      <c r="V43" s="41"/>
      <c r="W43" s="41">
        <f>($V$39)-(((S44/$S$39)*(V44)+((S45/$S$39)*V45)+(S46/$S$39)*V46))</f>
        <v>0.72192809488736165</v>
      </c>
    </row>
    <row r="44" spans="1:23" x14ac:dyDescent="0.3">
      <c r="B44" t="s">
        <v>241</v>
      </c>
      <c r="Q44" s="161"/>
      <c r="R44" s="112" t="s">
        <v>191</v>
      </c>
      <c r="S44" s="39">
        <f>COUNTIF($J$39:$J$43,R44)</f>
        <v>3</v>
      </c>
      <c r="T44" s="39">
        <f>COUNTIFS($J$39:$J$43,$R44,$O$39:$O$43,$T$38)</f>
        <v>0</v>
      </c>
      <c r="U44" s="39">
        <f>COUNTIFS($J$39:$J$43,$R44,$O$39:$O$43,$U$38)</f>
        <v>3</v>
      </c>
      <c r="V44" s="111">
        <v>0</v>
      </c>
      <c r="W44" s="39"/>
    </row>
    <row r="45" spans="1:23" x14ac:dyDescent="0.3">
      <c r="Q45" s="161"/>
      <c r="R45" s="112" t="s">
        <v>197</v>
      </c>
      <c r="S45" s="39">
        <f t="shared" ref="S45:S46" si="2">COUNTIF($J$39:$J$43,R45)</f>
        <v>1</v>
      </c>
      <c r="T45" s="39">
        <f>COUNTIFS($J$39:$J$43,$R45,$O$39:$O$43,$T$38)</f>
        <v>1</v>
      </c>
      <c r="U45" s="39">
        <f>COUNTIFS($J$39:$J$43,$R45,$O$39:$O$43,$U$38)</f>
        <v>0</v>
      </c>
      <c r="V45" s="111">
        <v>0</v>
      </c>
      <c r="W45" s="39"/>
    </row>
    <row r="46" spans="1:23" x14ac:dyDescent="0.3">
      <c r="Q46" s="161"/>
      <c r="R46" s="112" t="s">
        <v>199</v>
      </c>
      <c r="S46" s="39">
        <f t="shared" si="2"/>
        <v>1</v>
      </c>
      <c r="T46" s="39">
        <f>COUNTIFS($B$3:$B$7,$R46,$G$3:$G$7,$L$2)</f>
        <v>0</v>
      </c>
      <c r="U46" s="39">
        <f>COUNTIFS($B$3:$B$7,$R46,$G$3:$G$7,$M$2)</f>
        <v>1</v>
      </c>
      <c r="V46" s="111">
        <v>0</v>
      </c>
      <c r="W46" s="39"/>
    </row>
    <row r="47" spans="1:23" x14ac:dyDescent="0.3">
      <c r="A47" s="165" t="s">
        <v>117</v>
      </c>
      <c r="B47" s="165"/>
      <c r="C47" s="165"/>
      <c r="D47" s="165"/>
      <c r="E47" s="165"/>
      <c r="F47" s="165"/>
      <c r="G47" s="165"/>
      <c r="Q47" s="160" t="s">
        <v>184</v>
      </c>
      <c r="R47" s="41"/>
      <c r="S47" s="41"/>
      <c r="T47" s="41"/>
      <c r="U47" s="41"/>
      <c r="V47" s="41"/>
      <c r="W47" s="41">
        <f>($V$39)-(((S48/$S$39)*(V48)+((S49/$S$39)*V49)))</f>
        <v>0.32192809488736163</v>
      </c>
    </row>
    <row r="48" spans="1:23" x14ac:dyDescent="0.3">
      <c r="A48" s="80" t="s">
        <v>182</v>
      </c>
      <c r="B48" s="80" t="s">
        <v>183</v>
      </c>
      <c r="C48" s="80" t="s">
        <v>184</v>
      </c>
      <c r="D48" s="80" t="s">
        <v>169</v>
      </c>
      <c r="E48" s="80" t="s">
        <v>185</v>
      </c>
      <c r="F48" s="80" t="s">
        <v>186</v>
      </c>
      <c r="G48" s="80" t="s">
        <v>187</v>
      </c>
      <c r="I48" s="80" t="s">
        <v>40</v>
      </c>
      <c r="Q48" s="160"/>
      <c r="R48" s="113" t="s">
        <v>198</v>
      </c>
      <c r="S48" s="39">
        <f>COUNTIF($K$39:$K$43,R48)</f>
        <v>2</v>
      </c>
      <c r="T48" s="39">
        <f>COUNTIFS($K$39:$K$43,$R48,$O$39:$O$43,$T$38)</f>
        <v>1</v>
      </c>
      <c r="U48" s="39">
        <f>COUNTIFS($K$39:$K$43,$R48,$O$39:$O$43,$U$38)</f>
        <v>1</v>
      </c>
      <c r="V48" s="111">
        <f>((-T48/S48)*IMLOG2(T48/S48)+(-U48/S48)*IMLOG2(U48/S48))</f>
        <v>1</v>
      </c>
      <c r="W48" s="39"/>
    </row>
    <row r="49" spans="1:24" x14ac:dyDescent="0.3">
      <c r="A49" s="8" t="s">
        <v>196</v>
      </c>
      <c r="B49" s="83" t="s">
        <v>197</v>
      </c>
      <c r="C49" s="87" t="s">
        <v>192</v>
      </c>
      <c r="D49" s="84" t="s">
        <v>150</v>
      </c>
      <c r="E49" s="31" t="s">
        <v>193</v>
      </c>
      <c r="F49" s="84" t="s">
        <v>194</v>
      </c>
      <c r="G49" s="62" t="s">
        <v>189</v>
      </c>
      <c r="I49" s="8" t="str">
        <f>IF(OR(D49="SMA",D49="SMK"),"Tepat",IF(AND(D49="MA",B49="Dalam Provinsi"),"Tepat","Terlambat"))</f>
        <v>Tepat</v>
      </c>
      <c r="Q49" s="160"/>
      <c r="R49" s="113" t="s">
        <v>192</v>
      </c>
      <c r="S49" s="39">
        <f>COUNTIF($K$39:$K$43,R49)</f>
        <v>3</v>
      </c>
      <c r="T49" s="39">
        <f>COUNTIFS($K$39:$K$43,$R49,$O$39:$O$43,$T$38)</f>
        <v>0</v>
      </c>
      <c r="U49" s="39">
        <f>COUNTIFS($K$39:$K$43,$R49,$O$39:$O$43,$U$38)</f>
        <v>3</v>
      </c>
      <c r="V49" s="111">
        <v>0</v>
      </c>
      <c r="W49" s="39"/>
    </row>
    <row r="50" spans="1:24" x14ac:dyDescent="0.3">
      <c r="A50" s="8" t="s">
        <v>190</v>
      </c>
      <c r="B50" s="83" t="s">
        <v>191</v>
      </c>
      <c r="C50" s="87" t="s">
        <v>198</v>
      </c>
      <c r="D50" s="84" t="s">
        <v>150</v>
      </c>
      <c r="E50" s="31" t="s">
        <v>193</v>
      </c>
      <c r="F50" s="84" t="s">
        <v>233</v>
      </c>
      <c r="G50" s="62" t="s">
        <v>189</v>
      </c>
      <c r="I50" s="8" t="str">
        <f t="shared" ref="I50:I52" si="3">IF(OR(D50="SMA",D50="SMK"),"Tepat",IF(AND(D50="MA",B50="Dalam Provinsi"),"Tepat","Terlambat"))</f>
        <v>Tepat</v>
      </c>
      <c r="Q50" s="156" t="s">
        <v>169</v>
      </c>
      <c r="R50" s="115"/>
      <c r="S50" s="116"/>
      <c r="T50" s="116"/>
      <c r="U50" s="116"/>
      <c r="V50" s="116"/>
      <c r="W50" s="41">
        <f>($V$39)-(((S51/$S$39)*(V51)+((S52/$S$39)*V52)+(S53/$S$39)*V53))</f>
        <v>0.32192809488736163</v>
      </c>
    </row>
    <row r="51" spans="1:24" x14ac:dyDescent="0.3">
      <c r="A51" s="8" t="s">
        <v>190</v>
      </c>
      <c r="B51" s="83" t="s">
        <v>191</v>
      </c>
      <c r="C51" s="87" t="s">
        <v>192</v>
      </c>
      <c r="D51" s="84" t="s">
        <v>150</v>
      </c>
      <c r="E51" s="31" t="s">
        <v>193</v>
      </c>
      <c r="F51" s="84" t="s">
        <v>194</v>
      </c>
      <c r="G51" s="62" t="s">
        <v>188</v>
      </c>
      <c r="I51" s="8" t="str">
        <f t="shared" si="3"/>
        <v>Tepat</v>
      </c>
      <c r="Q51" s="157"/>
      <c r="R51" s="39" t="s">
        <v>151</v>
      </c>
      <c r="S51" s="39">
        <f>COUNTIF($L$39:$L$43,R51)</f>
        <v>1</v>
      </c>
      <c r="T51" s="39">
        <f>COUNTIFS($L$39:$L$43,$R51,$O$39:$O$43,$T$38)</f>
        <v>0</v>
      </c>
      <c r="U51" s="39">
        <f>COUNTIFS($L$39:$L$43,$R51,$O$39:$O$43,$U$38)</f>
        <v>1</v>
      </c>
      <c r="V51" s="111">
        <v>0</v>
      </c>
      <c r="W51" s="39"/>
    </row>
    <row r="52" spans="1:24" x14ac:dyDescent="0.3">
      <c r="A52" s="8" t="s">
        <v>190</v>
      </c>
      <c r="B52" s="83" t="s">
        <v>191</v>
      </c>
      <c r="C52" s="87" t="s">
        <v>192</v>
      </c>
      <c r="D52" s="84" t="s">
        <v>152</v>
      </c>
      <c r="E52" s="31" t="s">
        <v>195</v>
      </c>
      <c r="F52" s="84" t="s">
        <v>194</v>
      </c>
      <c r="G52" s="62" t="s">
        <v>189</v>
      </c>
      <c r="I52" s="8" t="str">
        <f t="shared" si="3"/>
        <v>Terlambat</v>
      </c>
      <c r="Q52" s="157"/>
      <c r="R52" s="39" t="s">
        <v>150</v>
      </c>
      <c r="S52" s="39">
        <f t="shared" ref="S52:S53" si="4">COUNTIF($L$39:$L$43,R52)</f>
        <v>2</v>
      </c>
      <c r="T52" s="39">
        <f>COUNTIFS($L$39:$L$43,$R52,$O$39:$O$43,$T$38)</f>
        <v>0</v>
      </c>
      <c r="U52" s="39">
        <f>COUNTIFS($L$39:$L$43,$R52,$O$39:$O$43,$U$38)</f>
        <v>2</v>
      </c>
      <c r="V52" s="111">
        <v>0</v>
      </c>
      <c r="W52" s="39"/>
    </row>
    <row r="53" spans="1:24" x14ac:dyDescent="0.3">
      <c r="Q53" s="157"/>
      <c r="R53" s="39" t="s">
        <v>152</v>
      </c>
      <c r="S53" s="39">
        <f t="shared" si="4"/>
        <v>2</v>
      </c>
      <c r="T53" s="39">
        <f>COUNTIFS($D$3:$D$7,R53,$G$3:$G$7,$L$2)</f>
        <v>1</v>
      </c>
      <c r="U53" s="39">
        <f>COUNTIFS($D$3:$D$7,R53,$G$3:$G$7,$M$2)</f>
        <v>1</v>
      </c>
      <c r="V53" s="111">
        <f>((-T53/S53)*IMLOG2(T53/S53)+(-U53/S53)*IMLOG2(U53/S53))</f>
        <v>1</v>
      </c>
      <c r="W53" s="39"/>
    </row>
    <row r="54" spans="1:24" x14ac:dyDescent="0.3">
      <c r="Q54" s="162" t="s">
        <v>185</v>
      </c>
      <c r="R54" s="115"/>
      <c r="S54" s="116"/>
      <c r="T54" s="116"/>
      <c r="U54" s="116"/>
      <c r="V54" s="116"/>
      <c r="W54" s="41">
        <f>($V$39)-(((S55/$S$39)*(V55)+((S56/$S$39)*V56)))</f>
        <v>7.290559532005525E-2</v>
      </c>
    </row>
    <row r="55" spans="1:24" x14ac:dyDescent="0.3">
      <c r="B55" s="166" t="s">
        <v>42</v>
      </c>
      <c r="C55" s="166"/>
      <c r="D55" s="166"/>
      <c r="Q55" s="162"/>
      <c r="R55" s="44" t="s">
        <v>193</v>
      </c>
      <c r="S55" s="39">
        <f>COUNTIF($M$39:$M$43,R55)</f>
        <v>4</v>
      </c>
      <c r="T55" s="39">
        <f>COUNTIFS($M$39:$M$43,$R55,$O$39:$O$43,$T$38)</f>
        <v>1</v>
      </c>
      <c r="U55" s="39">
        <f>COUNTIFS($M$39:$M$43,$R55,$O$39:$O$43,$U$38)</f>
        <v>3</v>
      </c>
      <c r="V55" s="111">
        <f>((-T55/S55)*IMLOG2(T55/S55)+(-U55/S55)*IMLOG2(U55/S55))</f>
        <v>0.81127812445913294</v>
      </c>
      <c r="W55" s="39"/>
    </row>
    <row r="56" spans="1:24" x14ac:dyDescent="0.3">
      <c r="B56" s="8"/>
      <c r="C56" s="167" t="s">
        <v>43</v>
      </c>
      <c r="D56" s="167"/>
      <c r="F56" s="166" t="s">
        <v>55</v>
      </c>
      <c r="G56" s="166"/>
      <c r="H56" s="166"/>
      <c r="Q56" s="163"/>
      <c r="R56" s="44" t="s">
        <v>195</v>
      </c>
      <c r="S56" s="39">
        <f>COUNTIF($M$39:$M$43,R56)</f>
        <v>1</v>
      </c>
      <c r="T56" s="39">
        <f>COUNTIFS($M$39:$M$43,$R56,$O$39:$O$43,$T$38)</f>
        <v>0</v>
      </c>
      <c r="U56" s="39">
        <f>COUNTIFS($M$39:$M$43,$R56,$O$39:$O$43,$U$38)</f>
        <v>1</v>
      </c>
      <c r="V56" s="111">
        <v>0</v>
      </c>
      <c r="W56" s="39"/>
    </row>
    <row r="57" spans="1:24" x14ac:dyDescent="0.3">
      <c r="B57" s="27" t="s">
        <v>44</v>
      </c>
      <c r="C57" s="28" t="s">
        <v>188</v>
      </c>
      <c r="D57" s="28" t="s">
        <v>189</v>
      </c>
      <c r="F57" s="33" t="s">
        <v>54</v>
      </c>
      <c r="G57" s="33" t="s">
        <v>46</v>
      </c>
      <c r="H57" s="33" t="s">
        <v>53</v>
      </c>
      <c r="Q57" s="156" t="s">
        <v>186</v>
      </c>
      <c r="R57" s="116"/>
      <c r="S57" s="116"/>
      <c r="T57" s="116"/>
      <c r="U57" s="116"/>
      <c r="V57" s="116"/>
      <c r="W57" s="41">
        <f>($V$39)-(((S58/$S$39)*(V58)+((S59/$S$39)*V59)))</f>
        <v>7.290559532005525E-2</v>
      </c>
    </row>
    <row r="58" spans="1:24" x14ac:dyDescent="0.3">
      <c r="B58" s="28" t="s">
        <v>188</v>
      </c>
      <c r="C58" s="29">
        <f>COUNTIFS($G$49:$G$52,$B58,$I$49:$I$52,$C$57)</f>
        <v>1</v>
      </c>
      <c r="D58" s="29">
        <f>COUNTIFS($G$49:$G$52,$B58,$I$49:$I$52,$D$57)</f>
        <v>0</v>
      </c>
      <c r="F58" s="16" t="s">
        <v>45</v>
      </c>
      <c r="G58" s="8" t="s">
        <v>56</v>
      </c>
      <c r="H58" s="8">
        <f>(C58+D59)/SUM(C58:D59)</f>
        <v>0.5</v>
      </c>
      <c r="Q58" s="157"/>
      <c r="R58" s="39" t="s">
        <v>194</v>
      </c>
      <c r="S58" s="39">
        <f>COUNTIF($N$39:$N$43,R58)</f>
        <v>4</v>
      </c>
      <c r="T58" s="39">
        <f>COUNTIFS($N$39:$N$43,$R58,$O$39:$O$43,$T$38)</f>
        <v>1</v>
      </c>
      <c r="U58" s="39">
        <f>COUNTIFS($N$39:$N$43,$R58,$O$39:$O$43,$U$38)</f>
        <v>3</v>
      </c>
      <c r="V58" s="111">
        <f>((-T58/S58)*IMLOG2(T58/S58)+(-U58/S58)*IMLOG2(U58/S58))</f>
        <v>0.81127812445913294</v>
      </c>
      <c r="W58" s="39"/>
    </row>
    <row r="59" spans="1:24" x14ac:dyDescent="0.3">
      <c r="B59" s="28" t="s">
        <v>189</v>
      </c>
      <c r="C59" s="29">
        <f>COUNTIFS($G$49:$G$52,$B59,$I$49:$I$52,$C$57)</f>
        <v>2</v>
      </c>
      <c r="D59" s="29">
        <f>COUNTIFS($G$49:$G$52,$B59,$I$49:$I$52,$D$57)</f>
        <v>1</v>
      </c>
      <c r="F59" s="16" t="s">
        <v>47</v>
      </c>
      <c r="G59" s="8" t="s">
        <v>49</v>
      </c>
      <c r="H59" s="8">
        <f>C58/(C58+D58)</f>
        <v>1</v>
      </c>
      <c r="Q59" s="158"/>
      <c r="R59" s="39" t="s">
        <v>233</v>
      </c>
      <c r="S59" s="39">
        <f>COUNTIF($N$39:$N$43,R59)</f>
        <v>1</v>
      </c>
      <c r="T59" s="39">
        <f>COUNTIFS($N$39:$N$43,$R59,$O$39:$O$43,$T$38)</f>
        <v>0</v>
      </c>
      <c r="U59" s="39">
        <f>COUNTIFS($N$39:$N$43,$R59,$O$39:$O$43,$U$38)</f>
        <v>1</v>
      </c>
      <c r="V59" s="111">
        <v>0</v>
      </c>
      <c r="W59" s="39"/>
    </row>
    <row r="60" spans="1:24" x14ac:dyDescent="0.3">
      <c r="F60" s="16" t="s">
        <v>48</v>
      </c>
      <c r="G60" s="8" t="s">
        <v>251</v>
      </c>
      <c r="H60" s="8">
        <f>C58/(C58+C59)</f>
        <v>0.33333333333333331</v>
      </c>
    </row>
    <row r="61" spans="1:24" x14ac:dyDescent="0.3">
      <c r="V61" s="9" t="s">
        <v>242</v>
      </c>
      <c r="W61">
        <f>MAX(W39:W59)</f>
        <v>0.72192809488736165</v>
      </c>
      <c r="X61" s="9" t="s">
        <v>183</v>
      </c>
    </row>
  </sheetData>
  <mergeCells count="20">
    <mergeCell ref="A47:G47"/>
    <mergeCell ref="B55:D55"/>
    <mergeCell ref="C56:D56"/>
    <mergeCell ref="F56:H56"/>
    <mergeCell ref="I36:W36"/>
    <mergeCell ref="I2:J2"/>
    <mergeCell ref="I4:I6"/>
    <mergeCell ref="I7:I10"/>
    <mergeCell ref="I11:I13"/>
    <mergeCell ref="C14:G23"/>
    <mergeCell ref="I14:I17"/>
    <mergeCell ref="I18:I20"/>
    <mergeCell ref="I21:I23"/>
    <mergeCell ref="Q57:Q59"/>
    <mergeCell ref="Q38:R38"/>
    <mergeCell ref="Q40:Q42"/>
    <mergeCell ref="Q43:Q46"/>
    <mergeCell ref="Q47:Q49"/>
    <mergeCell ref="Q50:Q53"/>
    <mergeCell ref="Q54:Q56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94F19-4D47-4F25-9EE9-BAEF4F887DA2}">
  <dimension ref="A1:K43"/>
  <sheetViews>
    <sheetView workbookViewId="0">
      <selection activeCell="E44" sqref="E44"/>
    </sheetView>
  </sheetViews>
  <sheetFormatPr defaultRowHeight="14.4" x14ac:dyDescent="0.3"/>
  <cols>
    <col min="1" max="1" width="13" customWidth="1"/>
    <col min="2" max="2" width="17.109375" customWidth="1"/>
    <col min="4" max="4" width="15.6640625" customWidth="1"/>
    <col min="5" max="5" width="15.5546875" customWidth="1"/>
    <col min="6" max="6" width="16" customWidth="1"/>
    <col min="7" max="7" width="11.88671875" customWidth="1"/>
    <col min="9" max="9" width="17.88671875" customWidth="1"/>
    <col min="10" max="10" width="18.33203125" customWidth="1"/>
    <col min="11" max="11" width="20.44140625" customWidth="1"/>
  </cols>
  <sheetData>
    <row r="1" spans="1:11" x14ac:dyDescent="0.3">
      <c r="A1" s="80" t="s">
        <v>182</v>
      </c>
      <c r="B1" s="80" t="s">
        <v>183</v>
      </c>
      <c r="C1" s="80" t="s">
        <v>184</v>
      </c>
      <c r="D1" s="80" t="s">
        <v>169</v>
      </c>
      <c r="E1" s="80" t="s">
        <v>185</v>
      </c>
      <c r="F1" s="80" t="s">
        <v>186</v>
      </c>
      <c r="G1" s="80" t="s">
        <v>187</v>
      </c>
      <c r="I1" s="81" t="s">
        <v>182</v>
      </c>
      <c r="J1" s="82" t="s">
        <v>188</v>
      </c>
      <c r="K1" s="81" t="s">
        <v>189</v>
      </c>
    </row>
    <row r="2" spans="1:11" x14ac:dyDescent="0.3">
      <c r="A2" s="8" t="s">
        <v>190</v>
      </c>
      <c r="B2" s="83" t="s">
        <v>191</v>
      </c>
      <c r="C2" s="8" t="s">
        <v>192</v>
      </c>
      <c r="D2" s="84" t="s">
        <v>151</v>
      </c>
      <c r="E2" s="31" t="s">
        <v>193</v>
      </c>
      <c r="F2" s="84" t="s">
        <v>194</v>
      </c>
      <c r="G2" s="62" t="s">
        <v>189</v>
      </c>
      <c r="I2" s="85" t="s">
        <v>190</v>
      </c>
      <c r="J2" s="86">
        <f>COUNTIFS($A$2:$A$11,$I2,$G$2:$G$11,$J$1)/COUNTIF($G$2:$G$11,$J$1)</f>
        <v>0.5</v>
      </c>
      <c r="K2" s="86">
        <f>COUNTIFS($A$2:$A$11,$I2,$G$2:$G$11,$K$1)/COUNTIF($G$2:$G$11,$K$1)</f>
        <v>0.75</v>
      </c>
    </row>
    <row r="3" spans="1:11" x14ac:dyDescent="0.3">
      <c r="A3" s="8" t="s">
        <v>190</v>
      </c>
      <c r="B3" s="83" t="s">
        <v>191</v>
      </c>
      <c r="C3" s="87" t="s">
        <v>192</v>
      </c>
      <c r="D3" s="84" t="s">
        <v>152</v>
      </c>
      <c r="E3" s="31" t="s">
        <v>195</v>
      </c>
      <c r="F3" s="84" t="s">
        <v>194</v>
      </c>
      <c r="G3" s="62" t="s">
        <v>189</v>
      </c>
      <c r="I3" s="85" t="s">
        <v>196</v>
      </c>
      <c r="J3" s="86">
        <f>COUNTIFS($A$2:$A$11,$I3,$G$2:$G$11,$J$1)/COUNTIF($G$2:$G$11,$J$1)</f>
        <v>0.5</v>
      </c>
      <c r="K3" s="86">
        <f>COUNTIFS($A$2:$A$11,$I3,$G$2:$G$11,$K$1)/COUNTIF($G$2:$G$11,$K$1)</f>
        <v>0.25</v>
      </c>
    </row>
    <row r="4" spans="1:11" x14ac:dyDescent="0.3">
      <c r="A4" s="8" t="s">
        <v>190</v>
      </c>
      <c r="B4" s="83" t="s">
        <v>197</v>
      </c>
      <c r="C4" s="87" t="s">
        <v>198</v>
      </c>
      <c r="D4" s="84" t="s">
        <v>152</v>
      </c>
      <c r="E4" s="31" t="s">
        <v>193</v>
      </c>
      <c r="F4" s="84" t="s">
        <v>194</v>
      </c>
      <c r="G4" s="62" t="s">
        <v>188</v>
      </c>
    </row>
    <row r="5" spans="1:11" x14ac:dyDescent="0.3">
      <c r="A5" s="8" t="s">
        <v>196</v>
      </c>
      <c r="B5" s="83" t="s">
        <v>199</v>
      </c>
      <c r="C5" s="87" t="s">
        <v>192</v>
      </c>
      <c r="D5" s="84" t="s">
        <v>150</v>
      </c>
      <c r="E5" s="31" t="s">
        <v>193</v>
      </c>
      <c r="F5" s="84" t="s">
        <v>194</v>
      </c>
      <c r="G5" s="62" t="s">
        <v>189</v>
      </c>
      <c r="I5" s="81" t="s">
        <v>183</v>
      </c>
      <c r="J5" s="88" t="s">
        <v>188</v>
      </c>
      <c r="K5" s="88" t="s">
        <v>189</v>
      </c>
    </row>
    <row r="6" spans="1:11" x14ac:dyDescent="0.3">
      <c r="A6" s="8" t="s">
        <v>190</v>
      </c>
      <c r="B6" s="83" t="s">
        <v>191</v>
      </c>
      <c r="C6" s="87" t="s">
        <v>198</v>
      </c>
      <c r="D6" s="84" t="s">
        <v>150</v>
      </c>
      <c r="E6" s="31" t="s">
        <v>193</v>
      </c>
      <c r="F6" s="84" t="s">
        <v>200</v>
      </c>
      <c r="G6" s="62" t="s">
        <v>189</v>
      </c>
      <c r="I6" s="85" t="s">
        <v>191</v>
      </c>
      <c r="J6" s="86">
        <f>COUNTIFS($B$2:$B$11,$I6,$G$2:$G$11,$J$1)/COUNTIF($G$2:$G$11,$J$1)</f>
        <v>0.16666666666666666</v>
      </c>
      <c r="K6" s="86">
        <f>COUNTIFS($B$2:$B$11,$I6,$G$2:$G$11,$K$1)/COUNTIF($G$2:$G$11,$K$1)</f>
        <v>0.75</v>
      </c>
    </row>
    <row r="7" spans="1:11" x14ac:dyDescent="0.3">
      <c r="A7" s="8" t="s">
        <v>190</v>
      </c>
      <c r="B7" s="83" t="s">
        <v>191</v>
      </c>
      <c r="C7" s="87" t="s">
        <v>192</v>
      </c>
      <c r="D7" s="84" t="s">
        <v>150</v>
      </c>
      <c r="E7" s="31" t="s">
        <v>195</v>
      </c>
      <c r="F7" s="84" t="s">
        <v>194</v>
      </c>
      <c r="G7" s="62" t="s">
        <v>188</v>
      </c>
      <c r="I7" s="85" t="s">
        <v>197</v>
      </c>
      <c r="J7" s="86">
        <f>COUNTIFS($B$2:$B$11,$I7,$G$2:$G$11,$J$1)/COUNTIF($G$2:$G$11,$J$1)</f>
        <v>0.66666666666666663</v>
      </c>
      <c r="K7" s="86">
        <f>COUNTIFS($B$2:$B$11,$I7,$G$2:$G$11,$K$1)/COUNTIF($G$2:$G$11,$K$1)</f>
        <v>0</v>
      </c>
    </row>
    <row r="8" spans="1:11" x14ac:dyDescent="0.3">
      <c r="A8" s="8" t="s">
        <v>190</v>
      </c>
      <c r="B8" s="83" t="s">
        <v>197</v>
      </c>
      <c r="C8" s="87" t="s">
        <v>192</v>
      </c>
      <c r="D8" s="84" t="s">
        <v>150</v>
      </c>
      <c r="E8" s="31" t="s">
        <v>193</v>
      </c>
      <c r="F8" s="84" t="s">
        <v>194</v>
      </c>
      <c r="G8" s="62" t="s">
        <v>188</v>
      </c>
      <c r="I8" s="85" t="s">
        <v>199</v>
      </c>
      <c r="J8" s="86">
        <f>COUNTIFS($B$2:$B$11,$I8,$G$2:$G$11,$J$1)/COUNTIF($G$2:$G$11,$J$1)</f>
        <v>0.16666666666666666</v>
      </c>
      <c r="K8" s="86">
        <f>COUNTIFS($B$2:$B$11,$I8,$G$2:$G$11,$K$1)/COUNTIF($G$2:$G$11,$K$1)</f>
        <v>0.25</v>
      </c>
    </row>
    <row r="9" spans="1:11" x14ac:dyDescent="0.3">
      <c r="A9" s="8" t="s">
        <v>196</v>
      </c>
      <c r="B9" s="83" t="s">
        <v>199</v>
      </c>
      <c r="C9" s="87" t="s">
        <v>192</v>
      </c>
      <c r="D9" s="84" t="s">
        <v>150</v>
      </c>
      <c r="E9" s="31" t="s">
        <v>193</v>
      </c>
      <c r="F9" s="84" t="s">
        <v>194</v>
      </c>
      <c r="G9" s="62" t="s">
        <v>188</v>
      </c>
      <c r="J9" s="89">
        <f>SUM(J6:J8)</f>
        <v>0.99999999999999989</v>
      </c>
    </row>
    <row r="10" spans="1:11" x14ac:dyDescent="0.3">
      <c r="A10" s="8" t="s">
        <v>196</v>
      </c>
      <c r="B10" s="83" t="s">
        <v>197</v>
      </c>
      <c r="C10" s="87" t="s">
        <v>192</v>
      </c>
      <c r="D10" s="84" t="s">
        <v>151</v>
      </c>
      <c r="E10" s="31" t="s">
        <v>193</v>
      </c>
      <c r="F10" s="84" t="s">
        <v>200</v>
      </c>
      <c r="G10" s="62" t="s">
        <v>188</v>
      </c>
      <c r="I10" s="81" t="s">
        <v>184</v>
      </c>
      <c r="J10" s="88" t="s">
        <v>188</v>
      </c>
      <c r="K10" s="88" t="s">
        <v>189</v>
      </c>
    </row>
    <row r="11" spans="1:11" x14ac:dyDescent="0.3">
      <c r="A11" s="8" t="s">
        <v>196</v>
      </c>
      <c r="B11" s="83" t="s">
        <v>197</v>
      </c>
      <c r="C11" s="87" t="s">
        <v>192</v>
      </c>
      <c r="D11" s="90" t="s">
        <v>151</v>
      </c>
      <c r="E11" s="31" t="s">
        <v>193</v>
      </c>
      <c r="F11" s="84" t="s">
        <v>194</v>
      </c>
      <c r="G11" s="62" t="s">
        <v>188</v>
      </c>
      <c r="I11" s="85" t="s">
        <v>192</v>
      </c>
      <c r="J11" s="86">
        <f>COUNTIFS($C$2:$C$11,$I11,$G$2:$G$11,$J$1)/COUNTIF($G$2:$G$11,$J$1)</f>
        <v>0.83333333333333337</v>
      </c>
      <c r="K11" s="86">
        <f>COUNTIFS($C$2:$C$11,$I11,$G$2:$G$11,$K$1)/COUNTIF($G$2:$G$11,$K$1)</f>
        <v>0.75</v>
      </c>
    </row>
    <row r="12" spans="1:11" x14ac:dyDescent="0.3">
      <c r="I12" s="85" t="s">
        <v>198</v>
      </c>
      <c r="J12" s="86">
        <f>COUNTIFS($C$2:$C$11,$I12,$G$2:$G$11,$J$1)/COUNTIF($G$2:$G$11,$J$1)</f>
        <v>0.16666666666666666</v>
      </c>
      <c r="K12" s="86">
        <f>COUNTIFS($C$2:$C$11,$I12,$G$2:$G$11,$K$1)/COUNTIF($G$2:$G$11,$K$1)</f>
        <v>0.25</v>
      </c>
    </row>
    <row r="13" spans="1:11" x14ac:dyDescent="0.3">
      <c r="D13" s="206" t="s">
        <v>201</v>
      </c>
      <c r="E13" s="206"/>
      <c r="F13" s="206"/>
      <c r="G13" s="206"/>
    </row>
    <row r="14" spans="1:11" x14ac:dyDescent="0.3">
      <c r="D14" s="207" t="s">
        <v>202</v>
      </c>
      <c r="E14" s="207"/>
      <c r="F14" s="207" t="s">
        <v>203</v>
      </c>
      <c r="G14" s="207"/>
      <c r="I14" s="81" t="s">
        <v>169</v>
      </c>
      <c r="J14" s="88" t="s">
        <v>188</v>
      </c>
      <c r="K14" s="88" t="s">
        <v>189</v>
      </c>
    </row>
    <row r="15" spans="1:11" x14ac:dyDescent="0.3">
      <c r="D15" s="185" t="s">
        <v>188</v>
      </c>
      <c r="E15" s="185"/>
      <c r="F15" s="184">
        <f>COUNTIF($G$2:$G$11,$D$15)/COUNTA($G$2:$G$11)</f>
        <v>0.6</v>
      </c>
      <c r="G15" s="184"/>
      <c r="I15" s="85" t="s">
        <v>150</v>
      </c>
      <c r="J15" s="86">
        <f>COUNTIFS($D$2:$D$11,$I15,$G$2:$G$11,$J$1)/COUNTIF($G$2:$G$11,$J$1)</f>
        <v>0.5</v>
      </c>
      <c r="K15" s="86">
        <f>COUNTIFS($D$2:$D$11,$I15,$G$2:$G$11,$K$1)/COUNTIF($G$2:$G$11,$K$1)</f>
        <v>0.5</v>
      </c>
    </row>
    <row r="16" spans="1:11" x14ac:dyDescent="0.3">
      <c r="D16" s="185" t="s">
        <v>189</v>
      </c>
      <c r="E16" s="185"/>
      <c r="F16" s="184">
        <f>COUNTIF($G$2:$G$11,$G$3)/COUNTA($G$2:$G$11)</f>
        <v>0.4</v>
      </c>
      <c r="G16" s="184"/>
      <c r="I16" s="85" t="s">
        <v>151</v>
      </c>
      <c r="J16" s="86">
        <f>COUNTIFS($D$2:$D$11,$I16,$G$2:$G$11,$J$1)/COUNTIF($G$2:$G$11,$J$1)</f>
        <v>0.33333333333333331</v>
      </c>
      <c r="K16" s="86">
        <f>COUNTIFS($D$2:$D$11,$I16,$G$2:$G$11,$K$1)/COUNTIF($G$2:$G$11,$K$1)</f>
        <v>0.25</v>
      </c>
    </row>
    <row r="17" spans="1:11" x14ac:dyDescent="0.3">
      <c r="I17" s="85" t="s">
        <v>152</v>
      </c>
      <c r="J17" s="86">
        <f>COUNTIFS($D$2:$D$11,$I17,$G$2:$G$11,$J$1)/COUNTIF($G$2:$G$11,$J$1)</f>
        <v>0.16666666666666666</v>
      </c>
      <c r="K17" s="86">
        <f>COUNTIFS($D$2:$D$11,$I17,$G$2:$G$11,$K$1)/COUNTIF($G$2:$G$11,$K$1)</f>
        <v>0.25</v>
      </c>
    </row>
    <row r="18" spans="1:11" x14ac:dyDescent="0.3">
      <c r="F18" s="91"/>
    </row>
    <row r="19" spans="1:11" x14ac:dyDescent="0.3">
      <c r="I19" s="81" t="s">
        <v>185</v>
      </c>
      <c r="J19" s="88" t="s">
        <v>188</v>
      </c>
      <c r="K19" s="88" t="s">
        <v>189</v>
      </c>
    </row>
    <row r="20" spans="1:11" x14ac:dyDescent="0.3">
      <c r="I20" s="85" t="s">
        <v>193</v>
      </c>
      <c r="J20" s="86">
        <f>COUNTIFS($E$2:$E$11,$I20,$G$2:$G$11,$J$1)/COUNTIF($G$2:$G$11,$J$1)</f>
        <v>0.83333333333333337</v>
      </c>
      <c r="K20" s="86">
        <f>COUNTIFS($E$2:$E$11,$I20,$G$2:$G$11,$K$1)/COUNTIF($G$2:$G$11,$K$1)</f>
        <v>0.75</v>
      </c>
    </row>
    <row r="21" spans="1:11" x14ac:dyDescent="0.3">
      <c r="I21" s="85" t="s">
        <v>195</v>
      </c>
      <c r="J21" s="86">
        <f>COUNTIFS($E$2:$E$11,$I21,$G$2:$G$11,$J$1)/COUNTIF($G$2:$G$11,$J$1)</f>
        <v>0.16666666666666666</v>
      </c>
      <c r="K21" s="86">
        <f>COUNTIFS($E$2:$E$11,$I21,$G$2:$G$11,$K$1)/COUNTIF($G$2:$G$11,$K$1)</f>
        <v>0.25</v>
      </c>
    </row>
    <row r="23" spans="1:11" x14ac:dyDescent="0.3">
      <c r="A23" s="188" t="s">
        <v>204</v>
      </c>
      <c r="B23" s="188"/>
      <c r="C23" s="188"/>
      <c r="D23" s="188"/>
      <c r="E23" s="188"/>
      <c r="F23" s="188"/>
      <c r="G23" s="188"/>
      <c r="I23" s="81" t="s">
        <v>186</v>
      </c>
      <c r="J23" s="88" t="s">
        <v>188</v>
      </c>
      <c r="K23" s="88" t="s">
        <v>189</v>
      </c>
    </row>
    <row r="24" spans="1:11" ht="20.25" customHeight="1" x14ac:dyDescent="0.3">
      <c r="A24" s="80" t="s">
        <v>182</v>
      </c>
      <c r="B24" s="80" t="s">
        <v>183</v>
      </c>
      <c r="C24" s="80" t="s">
        <v>184</v>
      </c>
      <c r="D24" s="80" t="s">
        <v>169</v>
      </c>
      <c r="E24" s="80" t="s">
        <v>185</v>
      </c>
      <c r="F24" s="80" t="s">
        <v>186</v>
      </c>
      <c r="G24" s="80" t="s">
        <v>187</v>
      </c>
      <c r="I24" s="85" t="s">
        <v>194</v>
      </c>
      <c r="J24" s="86">
        <f>COUNTIFS($F$2:$F$11,$I24,$G$2:$G$11,$J$1)/COUNTIF($G$2:$G$11,$J$1)</f>
        <v>0.83333333333333337</v>
      </c>
      <c r="K24" s="86">
        <f>COUNTIFS($F$2:$F$11,$I24,$G$2:$G$11,$K$1)/COUNTIF($G$2:$G$11,$K$1)</f>
        <v>0.75</v>
      </c>
    </row>
    <row r="25" spans="1:11" x14ac:dyDescent="0.3">
      <c r="A25" s="30" t="s">
        <v>190</v>
      </c>
      <c r="B25" s="30" t="s">
        <v>191</v>
      </c>
      <c r="C25" s="30" t="s">
        <v>198</v>
      </c>
      <c r="D25" s="30" t="s">
        <v>150</v>
      </c>
      <c r="E25" s="30" t="s">
        <v>193</v>
      </c>
      <c r="F25" s="30" t="s">
        <v>200</v>
      </c>
      <c r="G25" s="31" t="s">
        <v>189</v>
      </c>
      <c r="I25" s="85" t="s">
        <v>200</v>
      </c>
      <c r="J25" s="86">
        <f>COUNTIFS($F$2:$F$11,$I25,$G$2:$G$11,$J$1)/COUNTIF($G$2:$G$11,$J$1)</f>
        <v>0.16666666666666666</v>
      </c>
      <c r="K25" s="86">
        <f>COUNTIFS($F$2:$F$11,$I25,$G$2:$G$11,$K$1)/COUNTIF($G$2:$G$11,$K$1)</f>
        <v>0.25</v>
      </c>
    </row>
    <row r="26" spans="1:11" x14ac:dyDescent="0.3">
      <c r="A26" s="30" t="s">
        <v>196</v>
      </c>
      <c r="B26" s="30" t="s">
        <v>191</v>
      </c>
      <c r="C26" s="30" t="s">
        <v>192</v>
      </c>
      <c r="D26" s="30" t="s">
        <v>151</v>
      </c>
      <c r="E26" s="30" t="s">
        <v>195</v>
      </c>
      <c r="F26" s="30" t="s">
        <v>194</v>
      </c>
      <c r="G26" s="31" t="s">
        <v>188</v>
      </c>
      <c r="J26" s="89">
        <f>SUM(J24:J25)</f>
        <v>1</v>
      </c>
      <c r="K26" s="89">
        <f>SUM(K24:K25)</f>
        <v>1</v>
      </c>
    </row>
    <row r="27" spans="1:11" x14ac:dyDescent="0.3">
      <c r="A27" s="30" t="s">
        <v>190</v>
      </c>
      <c r="B27" s="30" t="s">
        <v>197</v>
      </c>
      <c r="C27" s="30" t="s">
        <v>192</v>
      </c>
      <c r="D27" s="30" t="s">
        <v>150</v>
      </c>
      <c r="E27" s="30" t="s">
        <v>193</v>
      </c>
      <c r="F27" s="30" t="s">
        <v>194</v>
      </c>
      <c r="G27" s="30" t="s">
        <v>188</v>
      </c>
    </row>
    <row r="28" spans="1:11" x14ac:dyDescent="0.3">
      <c r="A28" s="30" t="s">
        <v>196</v>
      </c>
      <c r="B28" s="30" t="s">
        <v>197</v>
      </c>
      <c r="C28" s="30" t="s">
        <v>192</v>
      </c>
      <c r="D28" s="30" t="s">
        <v>150</v>
      </c>
      <c r="E28" s="30" t="s">
        <v>193</v>
      </c>
      <c r="F28" s="30" t="s">
        <v>200</v>
      </c>
      <c r="G28" s="30" t="s">
        <v>188</v>
      </c>
      <c r="I28" s="92" t="s">
        <v>40</v>
      </c>
      <c r="J28" s="92" t="s">
        <v>188</v>
      </c>
      <c r="K28" s="92" t="s">
        <v>189</v>
      </c>
    </row>
    <row r="29" spans="1:11" x14ac:dyDescent="0.3">
      <c r="A29" s="30" t="s">
        <v>190</v>
      </c>
      <c r="B29" s="30" t="s">
        <v>199</v>
      </c>
      <c r="C29" s="30" t="s">
        <v>198</v>
      </c>
      <c r="D29" s="30" t="s">
        <v>151</v>
      </c>
      <c r="E29" s="30" t="s">
        <v>195</v>
      </c>
      <c r="F29" s="30" t="s">
        <v>194</v>
      </c>
      <c r="G29" s="30" t="s">
        <v>189</v>
      </c>
      <c r="I29" s="93" t="str">
        <f>IF(J29&gt;K29,"Tepat","Terlambat")</f>
        <v>Terlambat</v>
      </c>
      <c r="J29" s="8">
        <f>VLOOKUP($A25,$I$2:$K$3,2,)*VLOOKUP($B25,$I$6:$K$8,2,)*VLOOKUP($C25,$I$11:$K$12,2,)*VLOOKUP($D25,$I$15:$K$17,2,)*VLOOKUP($E25,$I$20:$K$21,2,)*VLOOKUP($F25,$I$24:$K$25,2,)*$F$15</f>
        <v>5.7870370370370367E-4</v>
      </c>
      <c r="K29" s="8">
        <f>VLOOKUP($A25,$I$2:$K$3,3,)*VLOOKUP($B25,$I$6:$K$8,3,)*VLOOKUP($C25,$I$11:$K$12,3,)*VLOOKUP($D25,$I$15:$K$17,3,)*VLOOKUP($E25,$I$20:$K$21,3,)*VLOOKUP($F25,$I$24:$K$25,3,)*$F$15</f>
        <v>7.9101562499999997E-3</v>
      </c>
    </row>
    <row r="30" spans="1:11" x14ac:dyDescent="0.3">
      <c r="I30" s="93" t="str">
        <f t="shared" ref="I30:I33" si="0">IF(J30&gt;K30,"Tepat","Terlambat")</f>
        <v>Terlambat</v>
      </c>
      <c r="J30" s="8">
        <f>VLOOKUP($A26,$I$2:$K$3,2,)*VLOOKUP($B26,$I$6:$K$8,2,)*VLOOKUP($C26,$I$11:$K$12,2,)*VLOOKUP($D26,$I$15:$K$17,2,)*VLOOKUP($E26,$I$20:$K$21,2,)*VLOOKUP($F26,$I$24:$K$25,2,)*$F$15</f>
        <v>1.9290123456790122E-3</v>
      </c>
      <c r="K30" s="8">
        <f>VLOOKUP($A26,$I$2:$K$3,3,)*VLOOKUP($B26,$I$6:$K$8,3,)*VLOOKUP($C26,$I$11:$K$12,3,)*VLOOKUP($D26,$I$15:$K$17,3,)*VLOOKUP($E26,$I$20:$K$21,3,)*VLOOKUP($F26,$I$24:$K$25,3,)*$F$15</f>
        <v>3.9550781249999998E-3</v>
      </c>
    </row>
    <row r="31" spans="1:11" x14ac:dyDescent="0.3">
      <c r="D31" s="164" t="s">
        <v>42</v>
      </c>
      <c r="E31" s="164"/>
      <c r="F31" s="164"/>
      <c r="I31" s="93" t="str">
        <f t="shared" si="0"/>
        <v>Tepat</v>
      </c>
      <c r="J31" s="8">
        <f t="shared" ref="J31:J33" si="1">VLOOKUP($A27,$I$2:$K$3,2,)*VLOOKUP($B27,$I$6:$K$8,2,)*VLOOKUP($C27,$I$11:$K$12,2,)*VLOOKUP($D27,$I$15:$K$17,2,)*VLOOKUP($E27,$I$20:$K$21,2,)*VLOOKUP($F27,$I$24:$K$25,2,)*$F$15</f>
        <v>5.7870370370370378E-2</v>
      </c>
      <c r="K31" s="8">
        <f>VLOOKUP($A27,$I$2:$K$3,3,)*VLOOKUP($B27,$I$6:$K$8,3,)*VLOOKUP($C27,$I$11:$K$12,3,)*VLOOKUP($D27,$I$15:$K$17,3,)*VLOOKUP($E27,$I$20:$K$21,3,)*VLOOKUP($F27,$I$24:$K$25,3,)*$F$15</f>
        <v>0</v>
      </c>
    </row>
    <row r="32" spans="1:11" x14ac:dyDescent="0.3">
      <c r="D32" s="8"/>
      <c r="E32" s="167" t="s">
        <v>43</v>
      </c>
      <c r="F32" s="167"/>
      <c r="I32" s="93" t="str">
        <f t="shared" si="0"/>
        <v>Tepat</v>
      </c>
      <c r="J32" s="8">
        <f t="shared" si="1"/>
        <v>1.1574074074074075E-2</v>
      </c>
      <c r="K32" s="8">
        <f>VLOOKUP($A28,$I$2:$K$3,3,)*VLOOKUP($B28,$I$6:$K$8,3,)*VLOOKUP($C28,$I$11:$K$12,3,)*VLOOKUP($D28,$I$15:$K$17,3,)*VLOOKUP($E28,$I$20:$K$21,3,)*VLOOKUP($F28,$I$24:$K$25,3,)*$F$15</f>
        <v>0</v>
      </c>
    </row>
    <row r="33" spans="4:11" x14ac:dyDescent="0.3">
      <c r="D33" s="27" t="s">
        <v>44</v>
      </c>
      <c r="E33" s="28" t="s">
        <v>188</v>
      </c>
      <c r="F33" s="28" t="s">
        <v>189</v>
      </c>
      <c r="I33" s="93" t="str">
        <f t="shared" si="0"/>
        <v>Terlambat</v>
      </c>
      <c r="J33" s="8">
        <f t="shared" si="1"/>
        <v>3.8580246913580245E-4</v>
      </c>
      <c r="K33" s="8">
        <f>VLOOKUP($A29,$I$2:$K$3,3,)*VLOOKUP($B29,$I$6:$K$8,3,)*VLOOKUP($C29,$I$11:$K$12,3,)*VLOOKUP($D29,$I$15:$K$17,3,)*VLOOKUP($E29,$I$20:$K$21,3,)*VLOOKUP($F29,$I$24:$K$25,3,)*$F$15</f>
        <v>1.3183593749999999E-3</v>
      </c>
    </row>
    <row r="34" spans="4:11" x14ac:dyDescent="0.3">
      <c r="D34" s="28" t="s">
        <v>188</v>
      </c>
      <c r="E34" s="29">
        <f>COUNTIFS($G$25:$G$29,$D34,$I$29:$I$33,$E33)</f>
        <v>2</v>
      </c>
      <c r="F34" s="29">
        <f>COUNTIFS($G$25:$G$29,D34,$I$29:$I$33,F33)</f>
        <v>1</v>
      </c>
    </row>
    <row r="35" spans="4:11" x14ac:dyDescent="0.3">
      <c r="D35" s="28" t="s">
        <v>189</v>
      </c>
      <c r="E35" s="29">
        <f>COUNTIFS($G$25:$G$29,$D35,$I$29:$I$33,E33)</f>
        <v>0</v>
      </c>
      <c r="F35" s="29">
        <f>COUNTIFS($G$25:$G$29,D35,$I$29:$I$33,F33)</f>
        <v>2</v>
      </c>
    </row>
    <row r="38" spans="4:11" x14ac:dyDescent="0.3">
      <c r="D38" s="204" t="s">
        <v>205</v>
      </c>
      <c r="E38" s="205">
        <f>(E34+F35)/SUM(E34:F35)</f>
        <v>0.8</v>
      </c>
    </row>
    <row r="39" spans="4:11" x14ac:dyDescent="0.3">
      <c r="D39" s="204"/>
      <c r="E39" s="205"/>
    </row>
    <row r="40" spans="4:11" x14ac:dyDescent="0.3">
      <c r="D40" s="204" t="s">
        <v>206</v>
      </c>
      <c r="E40" s="205">
        <f>(E34)/(E34+F34)</f>
        <v>0.66666666666666663</v>
      </c>
    </row>
    <row r="41" spans="4:11" x14ac:dyDescent="0.3">
      <c r="D41" s="204"/>
      <c r="E41" s="205"/>
    </row>
    <row r="42" spans="4:11" x14ac:dyDescent="0.3">
      <c r="D42" s="204" t="s">
        <v>207</v>
      </c>
      <c r="E42" s="205">
        <f>(E34)/(E34-E35)</f>
        <v>1</v>
      </c>
    </row>
    <row r="43" spans="4:11" x14ac:dyDescent="0.3">
      <c r="D43" s="204"/>
      <c r="E43" s="205"/>
    </row>
  </sheetData>
  <mergeCells count="16">
    <mergeCell ref="D16:E16"/>
    <mergeCell ref="F16:G16"/>
    <mergeCell ref="D13:G13"/>
    <mergeCell ref="D14:E14"/>
    <mergeCell ref="F14:G14"/>
    <mergeCell ref="D15:E15"/>
    <mergeCell ref="F15:G15"/>
    <mergeCell ref="D42:D43"/>
    <mergeCell ref="E42:E43"/>
    <mergeCell ref="A23:G23"/>
    <mergeCell ref="D31:F31"/>
    <mergeCell ref="E32:F32"/>
    <mergeCell ref="D38:D39"/>
    <mergeCell ref="E38:E39"/>
    <mergeCell ref="D40:D41"/>
    <mergeCell ref="E40:E4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A7D7-7930-46C0-B027-1EFA65FFC898}">
  <dimension ref="A1:S43"/>
  <sheetViews>
    <sheetView topLeftCell="A7" workbookViewId="0">
      <selection activeCell="I7" sqref="I7"/>
    </sheetView>
  </sheetViews>
  <sheetFormatPr defaultRowHeight="14.4" x14ac:dyDescent="0.3"/>
  <cols>
    <col min="1" max="1" width="8.6640625" customWidth="1"/>
    <col min="2" max="2" width="9.5546875" bestFit="1" customWidth="1"/>
    <col min="7" max="7" width="10.6640625" customWidth="1"/>
    <col min="10" max="10" width="12.5546875" customWidth="1"/>
    <col min="11" max="11" width="10.6640625" customWidth="1"/>
    <col min="12" max="12" width="10.88671875" customWidth="1"/>
    <col min="13" max="13" width="12.33203125" bestFit="1" customWidth="1"/>
    <col min="18" max="18" width="11.33203125" customWidth="1"/>
    <col min="19" max="19" width="12" bestFit="1" customWidth="1"/>
    <col min="257" max="257" width="8.6640625" customWidth="1"/>
    <col min="258" max="258" width="9.5546875" bestFit="1" customWidth="1"/>
    <col min="263" max="263" width="10.6640625" customWidth="1"/>
    <col min="266" max="266" width="12.5546875" customWidth="1"/>
    <col min="267" max="267" width="10.6640625" customWidth="1"/>
    <col min="268" max="268" width="10.88671875" customWidth="1"/>
    <col min="269" max="269" width="12.33203125" bestFit="1" customWidth="1"/>
    <col min="274" max="274" width="11.33203125" customWidth="1"/>
    <col min="275" max="275" width="12" bestFit="1" customWidth="1"/>
    <col min="513" max="513" width="8.6640625" customWidth="1"/>
    <col min="514" max="514" width="9.5546875" bestFit="1" customWidth="1"/>
    <col min="519" max="519" width="10.6640625" customWidth="1"/>
    <col min="522" max="522" width="12.5546875" customWidth="1"/>
    <col min="523" max="523" width="10.6640625" customWidth="1"/>
    <col min="524" max="524" width="10.88671875" customWidth="1"/>
    <col min="525" max="525" width="12.33203125" bestFit="1" customWidth="1"/>
    <col min="530" max="530" width="11.33203125" customWidth="1"/>
    <col min="531" max="531" width="12" bestFit="1" customWidth="1"/>
    <col min="769" max="769" width="8.6640625" customWidth="1"/>
    <col min="770" max="770" width="9.5546875" bestFit="1" customWidth="1"/>
    <col min="775" max="775" width="10.6640625" customWidth="1"/>
    <col min="778" max="778" width="12.5546875" customWidth="1"/>
    <col min="779" max="779" width="10.6640625" customWidth="1"/>
    <col min="780" max="780" width="10.88671875" customWidth="1"/>
    <col min="781" max="781" width="12.33203125" bestFit="1" customWidth="1"/>
    <col min="786" max="786" width="11.33203125" customWidth="1"/>
    <col min="787" max="787" width="12" bestFit="1" customWidth="1"/>
    <col min="1025" max="1025" width="8.6640625" customWidth="1"/>
    <col min="1026" max="1026" width="9.5546875" bestFit="1" customWidth="1"/>
    <col min="1031" max="1031" width="10.6640625" customWidth="1"/>
    <col min="1034" max="1034" width="12.5546875" customWidth="1"/>
    <col min="1035" max="1035" width="10.6640625" customWidth="1"/>
    <col min="1036" max="1036" width="10.88671875" customWidth="1"/>
    <col min="1037" max="1037" width="12.33203125" bestFit="1" customWidth="1"/>
    <col min="1042" max="1042" width="11.33203125" customWidth="1"/>
    <col min="1043" max="1043" width="12" bestFit="1" customWidth="1"/>
    <col min="1281" max="1281" width="8.6640625" customWidth="1"/>
    <col min="1282" max="1282" width="9.5546875" bestFit="1" customWidth="1"/>
    <col min="1287" max="1287" width="10.6640625" customWidth="1"/>
    <col min="1290" max="1290" width="12.5546875" customWidth="1"/>
    <col min="1291" max="1291" width="10.6640625" customWidth="1"/>
    <col min="1292" max="1292" width="10.88671875" customWidth="1"/>
    <col min="1293" max="1293" width="12.33203125" bestFit="1" customWidth="1"/>
    <col min="1298" max="1298" width="11.33203125" customWidth="1"/>
    <col min="1299" max="1299" width="12" bestFit="1" customWidth="1"/>
    <col min="1537" max="1537" width="8.6640625" customWidth="1"/>
    <col min="1538" max="1538" width="9.5546875" bestFit="1" customWidth="1"/>
    <col min="1543" max="1543" width="10.6640625" customWidth="1"/>
    <col min="1546" max="1546" width="12.5546875" customWidth="1"/>
    <col min="1547" max="1547" width="10.6640625" customWidth="1"/>
    <col min="1548" max="1548" width="10.88671875" customWidth="1"/>
    <col min="1549" max="1549" width="12.33203125" bestFit="1" customWidth="1"/>
    <col min="1554" max="1554" width="11.33203125" customWidth="1"/>
    <col min="1555" max="1555" width="12" bestFit="1" customWidth="1"/>
    <col min="1793" max="1793" width="8.6640625" customWidth="1"/>
    <col min="1794" max="1794" width="9.5546875" bestFit="1" customWidth="1"/>
    <col min="1799" max="1799" width="10.6640625" customWidth="1"/>
    <col min="1802" max="1802" width="12.5546875" customWidth="1"/>
    <col min="1803" max="1803" width="10.6640625" customWidth="1"/>
    <col min="1804" max="1804" width="10.88671875" customWidth="1"/>
    <col min="1805" max="1805" width="12.33203125" bestFit="1" customWidth="1"/>
    <col min="1810" max="1810" width="11.33203125" customWidth="1"/>
    <col min="1811" max="1811" width="12" bestFit="1" customWidth="1"/>
    <col min="2049" max="2049" width="8.6640625" customWidth="1"/>
    <col min="2050" max="2050" width="9.5546875" bestFit="1" customWidth="1"/>
    <col min="2055" max="2055" width="10.6640625" customWidth="1"/>
    <col min="2058" max="2058" width="12.5546875" customWidth="1"/>
    <col min="2059" max="2059" width="10.6640625" customWidth="1"/>
    <col min="2060" max="2060" width="10.88671875" customWidth="1"/>
    <col min="2061" max="2061" width="12.33203125" bestFit="1" customWidth="1"/>
    <col min="2066" max="2066" width="11.33203125" customWidth="1"/>
    <col min="2067" max="2067" width="12" bestFit="1" customWidth="1"/>
    <col min="2305" max="2305" width="8.6640625" customWidth="1"/>
    <col min="2306" max="2306" width="9.5546875" bestFit="1" customWidth="1"/>
    <col min="2311" max="2311" width="10.6640625" customWidth="1"/>
    <col min="2314" max="2314" width="12.5546875" customWidth="1"/>
    <col min="2315" max="2315" width="10.6640625" customWidth="1"/>
    <col min="2316" max="2316" width="10.88671875" customWidth="1"/>
    <col min="2317" max="2317" width="12.33203125" bestFit="1" customWidth="1"/>
    <col min="2322" max="2322" width="11.33203125" customWidth="1"/>
    <col min="2323" max="2323" width="12" bestFit="1" customWidth="1"/>
    <col min="2561" max="2561" width="8.6640625" customWidth="1"/>
    <col min="2562" max="2562" width="9.5546875" bestFit="1" customWidth="1"/>
    <col min="2567" max="2567" width="10.6640625" customWidth="1"/>
    <col min="2570" max="2570" width="12.5546875" customWidth="1"/>
    <col min="2571" max="2571" width="10.6640625" customWidth="1"/>
    <col min="2572" max="2572" width="10.88671875" customWidth="1"/>
    <col min="2573" max="2573" width="12.33203125" bestFit="1" customWidth="1"/>
    <col min="2578" max="2578" width="11.33203125" customWidth="1"/>
    <col min="2579" max="2579" width="12" bestFit="1" customWidth="1"/>
    <col min="2817" max="2817" width="8.6640625" customWidth="1"/>
    <col min="2818" max="2818" width="9.5546875" bestFit="1" customWidth="1"/>
    <col min="2823" max="2823" width="10.6640625" customWidth="1"/>
    <col min="2826" max="2826" width="12.5546875" customWidth="1"/>
    <col min="2827" max="2827" width="10.6640625" customWidth="1"/>
    <col min="2828" max="2828" width="10.88671875" customWidth="1"/>
    <col min="2829" max="2829" width="12.33203125" bestFit="1" customWidth="1"/>
    <col min="2834" max="2834" width="11.33203125" customWidth="1"/>
    <col min="2835" max="2835" width="12" bestFit="1" customWidth="1"/>
    <col min="3073" max="3073" width="8.6640625" customWidth="1"/>
    <col min="3074" max="3074" width="9.5546875" bestFit="1" customWidth="1"/>
    <col min="3079" max="3079" width="10.6640625" customWidth="1"/>
    <col min="3082" max="3082" width="12.5546875" customWidth="1"/>
    <col min="3083" max="3083" width="10.6640625" customWidth="1"/>
    <col min="3084" max="3084" width="10.88671875" customWidth="1"/>
    <col min="3085" max="3085" width="12.33203125" bestFit="1" customWidth="1"/>
    <col min="3090" max="3090" width="11.33203125" customWidth="1"/>
    <col min="3091" max="3091" width="12" bestFit="1" customWidth="1"/>
    <col min="3329" max="3329" width="8.6640625" customWidth="1"/>
    <col min="3330" max="3330" width="9.5546875" bestFit="1" customWidth="1"/>
    <col min="3335" max="3335" width="10.6640625" customWidth="1"/>
    <col min="3338" max="3338" width="12.5546875" customWidth="1"/>
    <col min="3339" max="3339" width="10.6640625" customWidth="1"/>
    <col min="3340" max="3340" width="10.88671875" customWidth="1"/>
    <col min="3341" max="3341" width="12.33203125" bestFit="1" customWidth="1"/>
    <col min="3346" max="3346" width="11.33203125" customWidth="1"/>
    <col min="3347" max="3347" width="12" bestFit="1" customWidth="1"/>
    <col min="3585" max="3585" width="8.6640625" customWidth="1"/>
    <col min="3586" max="3586" width="9.5546875" bestFit="1" customWidth="1"/>
    <col min="3591" max="3591" width="10.6640625" customWidth="1"/>
    <col min="3594" max="3594" width="12.5546875" customWidth="1"/>
    <col min="3595" max="3595" width="10.6640625" customWidth="1"/>
    <col min="3596" max="3596" width="10.88671875" customWidth="1"/>
    <col min="3597" max="3597" width="12.33203125" bestFit="1" customWidth="1"/>
    <col min="3602" max="3602" width="11.33203125" customWidth="1"/>
    <col min="3603" max="3603" width="12" bestFit="1" customWidth="1"/>
    <col min="3841" max="3841" width="8.6640625" customWidth="1"/>
    <col min="3842" max="3842" width="9.5546875" bestFit="1" customWidth="1"/>
    <col min="3847" max="3847" width="10.6640625" customWidth="1"/>
    <col min="3850" max="3850" width="12.5546875" customWidth="1"/>
    <col min="3851" max="3851" width="10.6640625" customWidth="1"/>
    <col min="3852" max="3852" width="10.88671875" customWidth="1"/>
    <col min="3853" max="3853" width="12.33203125" bestFit="1" customWidth="1"/>
    <col min="3858" max="3858" width="11.33203125" customWidth="1"/>
    <col min="3859" max="3859" width="12" bestFit="1" customWidth="1"/>
    <col min="4097" max="4097" width="8.6640625" customWidth="1"/>
    <col min="4098" max="4098" width="9.5546875" bestFit="1" customWidth="1"/>
    <col min="4103" max="4103" width="10.6640625" customWidth="1"/>
    <col min="4106" max="4106" width="12.5546875" customWidth="1"/>
    <col min="4107" max="4107" width="10.6640625" customWidth="1"/>
    <col min="4108" max="4108" width="10.88671875" customWidth="1"/>
    <col min="4109" max="4109" width="12.33203125" bestFit="1" customWidth="1"/>
    <col min="4114" max="4114" width="11.33203125" customWidth="1"/>
    <col min="4115" max="4115" width="12" bestFit="1" customWidth="1"/>
    <col min="4353" max="4353" width="8.6640625" customWidth="1"/>
    <col min="4354" max="4354" width="9.5546875" bestFit="1" customWidth="1"/>
    <col min="4359" max="4359" width="10.6640625" customWidth="1"/>
    <col min="4362" max="4362" width="12.5546875" customWidth="1"/>
    <col min="4363" max="4363" width="10.6640625" customWidth="1"/>
    <col min="4364" max="4364" width="10.88671875" customWidth="1"/>
    <col min="4365" max="4365" width="12.33203125" bestFit="1" customWidth="1"/>
    <col min="4370" max="4370" width="11.33203125" customWidth="1"/>
    <col min="4371" max="4371" width="12" bestFit="1" customWidth="1"/>
    <col min="4609" max="4609" width="8.6640625" customWidth="1"/>
    <col min="4610" max="4610" width="9.5546875" bestFit="1" customWidth="1"/>
    <col min="4615" max="4615" width="10.6640625" customWidth="1"/>
    <col min="4618" max="4618" width="12.5546875" customWidth="1"/>
    <col min="4619" max="4619" width="10.6640625" customWidth="1"/>
    <col min="4620" max="4620" width="10.88671875" customWidth="1"/>
    <col min="4621" max="4621" width="12.33203125" bestFit="1" customWidth="1"/>
    <col min="4626" max="4626" width="11.33203125" customWidth="1"/>
    <col min="4627" max="4627" width="12" bestFit="1" customWidth="1"/>
    <col min="4865" max="4865" width="8.6640625" customWidth="1"/>
    <col min="4866" max="4866" width="9.5546875" bestFit="1" customWidth="1"/>
    <col min="4871" max="4871" width="10.6640625" customWidth="1"/>
    <col min="4874" max="4874" width="12.5546875" customWidth="1"/>
    <col min="4875" max="4875" width="10.6640625" customWidth="1"/>
    <col min="4876" max="4876" width="10.88671875" customWidth="1"/>
    <col min="4877" max="4877" width="12.33203125" bestFit="1" customWidth="1"/>
    <col min="4882" max="4882" width="11.33203125" customWidth="1"/>
    <col min="4883" max="4883" width="12" bestFit="1" customWidth="1"/>
    <col min="5121" max="5121" width="8.6640625" customWidth="1"/>
    <col min="5122" max="5122" width="9.5546875" bestFit="1" customWidth="1"/>
    <col min="5127" max="5127" width="10.6640625" customWidth="1"/>
    <col min="5130" max="5130" width="12.5546875" customWidth="1"/>
    <col min="5131" max="5131" width="10.6640625" customWidth="1"/>
    <col min="5132" max="5132" width="10.88671875" customWidth="1"/>
    <col min="5133" max="5133" width="12.33203125" bestFit="1" customWidth="1"/>
    <col min="5138" max="5138" width="11.33203125" customWidth="1"/>
    <col min="5139" max="5139" width="12" bestFit="1" customWidth="1"/>
    <col min="5377" max="5377" width="8.6640625" customWidth="1"/>
    <col min="5378" max="5378" width="9.5546875" bestFit="1" customWidth="1"/>
    <col min="5383" max="5383" width="10.6640625" customWidth="1"/>
    <col min="5386" max="5386" width="12.5546875" customWidth="1"/>
    <col min="5387" max="5387" width="10.6640625" customWidth="1"/>
    <col min="5388" max="5388" width="10.88671875" customWidth="1"/>
    <col min="5389" max="5389" width="12.33203125" bestFit="1" customWidth="1"/>
    <col min="5394" max="5394" width="11.33203125" customWidth="1"/>
    <col min="5395" max="5395" width="12" bestFit="1" customWidth="1"/>
    <col min="5633" max="5633" width="8.6640625" customWidth="1"/>
    <col min="5634" max="5634" width="9.5546875" bestFit="1" customWidth="1"/>
    <col min="5639" max="5639" width="10.6640625" customWidth="1"/>
    <col min="5642" max="5642" width="12.5546875" customWidth="1"/>
    <col min="5643" max="5643" width="10.6640625" customWidth="1"/>
    <col min="5644" max="5644" width="10.88671875" customWidth="1"/>
    <col min="5645" max="5645" width="12.33203125" bestFit="1" customWidth="1"/>
    <col min="5650" max="5650" width="11.33203125" customWidth="1"/>
    <col min="5651" max="5651" width="12" bestFit="1" customWidth="1"/>
    <col min="5889" max="5889" width="8.6640625" customWidth="1"/>
    <col min="5890" max="5890" width="9.5546875" bestFit="1" customWidth="1"/>
    <col min="5895" max="5895" width="10.6640625" customWidth="1"/>
    <col min="5898" max="5898" width="12.5546875" customWidth="1"/>
    <col min="5899" max="5899" width="10.6640625" customWidth="1"/>
    <col min="5900" max="5900" width="10.88671875" customWidth="1"/>
    <col min="5901" max="5901" width="12.33203125" bestFit="1" customWidth="1"/>
    <col min="5906" max="5906" width="11.33203125" customWidth="1"/>
    <col min="5907" max="5907" width="12" bestFit="1" customWidth="1"/>
    <col min="6145" max="6145" width="8.6640625" customWidth="1"/>
    <col min="6146" max="6146" width="9.5546875" bestFit="1" customWidth="1"/>
    <col min="6151" max="6151" width="10.6640625" customWidth="1"/>
    <col min="6154" max="6154" width="12.5546875" customWidth="1"/>
    <col min="6155" max="6155" width="10.6640625" customWidth="1"/>
    <col min="6156" max="6156" width="10.88671875" customWidth="1"/>
    <col min="6157" max="6157" width="12.33203125" bestFit="1" customWidth="1"/>
    <col min="6162" max="6162" width="11.33203125" customWidth="1"/>
    <col min="6163" max="6163" width="12" bestFit="1" customWidth="1"/>
    <col min="6401" max="6401" width="8.6640625" customWidth="1"/>
    <col min="6402" max="6402" width="9.5546875" bestFit="1" customWidth="1"/>
    <col min="6407" max="6407" width="10.6640625" customWidth="1"/>
    <col min="6410" max="6410" width="12.5546875" customWidth="1"/>
    <col min="6411" max="6411" width="10.6640625" customWidth="1"/>
    <col min="6412" max="6412" width="10.88671875" customWidth="1"/>
    <col min="6413" max="6413" width="12.33203125" bestFit="1" customWidth="1"/>
    <col min="6418" max="6418" width="11.33203125" customWidth="1"/>
    <col min="6419" max="6419" width="12" bestFit="1" customWidth="1"/>
    <col min="6657" max="6657" width="8.6640625" customWidth="1"/>
    <col min="6658" max="6658" width="9.5546875" bestFit="1" customWidth="1"/>
    <col min="6663" max="6663" width="10.6640625" customWidth="1"/>
    <col min="6666" max="6666" width="12.5546875" customWidth="1"/>
    <col min="6667" max="6667" width="10.6640625" customWidth="1"/>
    <col min="6668" max="6668" width="10.88671875" customWidth="1"/>
    <col min="6669" max="6669" width="12.33203125" bestFit="1" customWidth="1"/>
    <col min="6674" max="6674" width="11.33203125" customWidth="1"/>
    <col min="6675" max="6675" width="12" bestFit="1" customWidth="1"/>
    <col min="6913" max="6913" width="8.6640625" customWidth="1"/>
    <col min="6914" max="6914" width="9.5546875" bestFit="1" customWidth="1"/>
    <col min="6919" max="6919" width="10.6640625" customWidth="1"/>
    <col min="6922" max="6922" width="12.5546875" customWidth="1"/>
    <col min="6923" max="6923" width="10.6640625" customWidth="1"/>
    <col min="6924" max="6924" width="10.88671875" customWidth="1"/>
    <col min="6925" max="6925" width="12.33203125" bestFit="1" customWidth="1"/>
    <col min="6930" max="6930" width="11.33203125" customWidth="1"/>
    <col min="6931" max="6931" width="12" bestFit="1" customWidth="1"/>
    <col min="7169" max="7169" width="8.6640625" customWidth="1"/>
    <col min="7170" max="7170" width="9.5546875" bestFit="1" customWidth="1"/>
    <col min="7175" max="7175" width="10.6640625" customWidth="1"/>
    <col min="7178" max="7178" width="12.5546875" customWidth="1"/>
    <col min="7179" max="7179" width="10.6640625" customWidth="1"/>
    <col min="7180" max="7180" width="10.88671875" customWidth="1"/>
    <col min="7181" max="7181" width="12.33203125" bestFit="1" customWidth="1"/>
    <col min="7186" max="7186" width="11.33203125" customWidth="1"/>
    <col min="7187" max="7187" width="12" bestFit="1" customWidth="1"/>
    <col min="7425" max="7425" width="8.6640625" customWidth="1"/>
    <col min="7426" max="7426" width="9.5546875" bestFit="1" customWidth="1"/>
    <col min="7431" max="7431" width="10.6640625" customWidth="1"/>
    <col min="7434" max="7434" width="12.5546875" customWidth="1"/>
    <col min="7435" max="7435" width="10.6640625" customWidth="1"/>
    <col min="7436" max="7436" width="10.88671875" customWidth="1"/>
    <col min="7437" max="7437" width="12.33203125" bestFit="1" customWidth="1"/>
    <col min="7442" max="7442" width="11.33203125" customWidth="1"/>
    <col min="7443" max="7443" width="12" bestFit="1" customWidth="1"/>
    <col min="7681" max="7681" width="8.6640625" customWidth="1"/>
    <col min="7682" max="7682" width="9.5546875" bestFit="1" customWidth="1"/>
    <col min="7687" max="7687" width="10.6640625" customWidth="1"/>
    <col min="7690" max="7690" width="12.5546875" customWidth="1"/>
    <col min="7691" max="7691" width="10.6640625" customWidth="1"/>
    <col min="7692" max="7692" width="10.88671875" customWidth="1"/>
    <col min="7693" max="7693" width="12.33203125" bestFit="1" customWidth="1"/>
    <col min="7698" max="7698" width="11.33203125" customWidth="1"/>
    <col min="7699" max="7699" width="12" bestFit="1" customWidth="1"/>
    <col min="7937" max="7937" width="8.6640625" customWidth="1"/>
    <col min="7938" max="7938" width="9.5546875" bestFit="1" customWidth="1"/>
    <col min="7943" max="7943" width="10.6640625" customWidth="1"/>
    <col min="7946" max="7946" width="12.5546875" customWidth="1"/>
    <col min="7947" max="7947" width="10.6640625" customWidth="1"/>
    <col min="7948" max="7948" width="10.88671875" customWidth="1"/>
    <col min="7949" max="7949" width="12.33203125" bestFit="1" customWidth="1"/>
    <col min="7954" max="7954" width="11.33203125" customWidth="1"/>
    <col min="7955" max="7955" width="12" bestFit="1" customWidth="1"/>
    <col min="8193" max="8193" width="8.6640625" customWidth="1"/>
    <col min="8194" max="8194" width="9.5546875" bestFit="1" customWidth="1"/>
    <col min="8199" max="8199" width="10.6640625" customWidth="1"/>
    <col min="8202" max="8202" width="12.5546875" customWidth="1"/>
    <col min="8203" max="8203" width="10.6640625" customWidth="1"/>
    <col min="8204" max="8204" width="10.88671875" customWidth="1"/>
    <col min="8205" max="8205" width="12.33203125" bestFit="1" customWidth="1"/>
    <col min="8210" max="8210" width="11.33203125" customWidth="1"/>
    <col min="8211" max="8211" width="12" bestFit="1" customWidth="1"/>
    <col min="8449" max="8449" width="8.6640625" customWidth="1"/>
    <col min="8450" max="8450" width="9.5546875" bestFit="1" customWidth="1"/>
    <col min="8455" max="8455" width="10.6640625" customWidth="1"/>
    <col min="8458" max="8458" width="12.5546875" customWidth="1"/>
    <col min="8459" max="8459" width="10.6640625" customWidth="1"/>
    <col min="8460" max="8460" width="10.88671875" customWidth="1"/>
    <col min="8461" max="8461" width="12.33203125" bestFit="1" customWidth="1"/>
    <col min="8466" max="8466" width="11.33203125" customWidth="1"/>
    <col min="8467" max="8467" width="12" bestFit="1" customWidth="1"/>
    <col min="8705" max="8705" width="8.6640625" customWidth="1"/>
    <col min="8706" max="8706" width="9.5546875" bestFit="1" customWidth="1"/>
    <col min="8711" max="8711" width="10.6640625" customWidth="1"/>
    <col min="8714" max="8714" width="12.5546875" customWidth="1"/>
    <col min="8715" max="8715" width="10.6640625" customWidth="1"/>
    <col min="8716" max="8716" width="10.88671875" customWidth="1"/>
    <col min="8717" max="8717" width="12.33203125" bestFit="1" customWidth="1"/>
    <col min="8722" max="8722" width="11.33203125" customWidth="1"/>
    <col min="8723" max="8723" width="12" bestFit="1" customWidth="1"/>
    <col min="8961" max="8961" width="8.6640625" customWidth="1"/>
    <col min="8962" max="8962" width="9.5546875" bestFit="1" customWidth="1"/>
    <col min="8967" max="8967" width="10.6640625" customWidth="1"/>
    <col min="8970" max="8970" width="12.5546875" customWidth="1"/>
    <col min="8971" max="8971" width="10.6640625" customWidth="1"/>
    <col min="8972" max="8972" width="10.88671875" customWidth="1"/>
    <col min="8973" max="8973" width="12.33203125" bestFit="1" customWidth="1"/>
    <col min="8978" max="8978" width="11.33203125" customWidth="1"/>
    <col min="8979" max="8979" width="12" bestFit="1" customWidth="1"/>
    <col min="9217" max="9217" width="8.6640625" customWidth="1"/>
    <col min="9218" max="9218" width="9.5546875" bestFit="1" customWidth="1"/>
    <col min="9223" max="9223" width="10.6640625" customWidth="1"/>
    <col min="9226" max="9226" width="12.5546875" customWidth="1"/>
    <col min="9227" max="9227" width="10.6640625" customWidth="1"/>
    <col min="9228" max="9228" width="10.88671875" customWidth="1"/>
    <col min="9229" max="9229" width="12.33203125" bestFit="1" customWidth="1"/>
    <col min="9234" max="9234" width="11.33203125" customWidth="1"/>
    <col min="9235" max="9235" width="12" bestFit="1" customWidth="1"/>
    <col min="9473" max="9473" width="8.6640625" customWidth="1"/>
    <col min="9474" max="9474" width="9.5546875" bestFit="1" customWidth="1"/>
    <col min="9479" max="9479" width="10.6640625" customWidth="1"/>
    <col min="9482" max="9482" width="12.5546875" customWidth="1"/>
    <col min="9483" max="9483" width="10.6640625" customWidth="1"/>
    <col min="9484" max="9484" width="10.88671875" customWidth="1"/>
    <col min="9485" max="9485" width="12.33203125" bestFit="1" customWidth="1"/>
    <col min="9490" max="9490" width="11.33203125" customWidth="1"/>
    <col min="9491" max="9491" width="12" bestFit="1" customWidth="1"/>
    <col min="9729" max="9729" width="8.6640625" customWidth="1"/>
    <col min="9730" max="9730" width="9.5546875" bestFit="1" customWidth="1"/>
    <col min="9735" max="9735" width="10.6640625" customWidth="1"/>
    <col min="9738" max="9738" width="12.5546875" customWidth="1"/>
    <col min="9739" max="9739" width="10.6640625" customWidth="1"/>
    <col min="9740" max="9740" width="10.88671875" customWidth="1"/>
    <col min="9741" max="9741" width="12.33203125" bestFit="1" customWidth="1"/>
    <col min="9746" max="9746" width="11.33203125" customWidth="1"/>
    <col min="9747" max="9747" width="12" bestFit="1" customWidth="1"/>
    <col min="9985" max="9985" width="8.6640625" customWidth="1"/>
    <col min="9986" max="9986" width="9.5546875" bestFit="1" customWidth="1"/>
    <col min="9991" max="9991" width="10.6640625" customWidth="1"/>
    <col min="9994" max="9994" width="12.5546875" customWidth="1"/>
    <col min="9995" max="9995" width="10.6640625" customWidth="1"/>
    <col min="9996" max="9996" width="10.88671875" customWidth="1"/>
    <col min="9997" max="9997" width="12.33203125" bestFit="1" customWidth="1"/>
    <col min="10002" max="10002" width="11.33203125" customWidth="1"/>
    <col min="10003" max="10003" width="12" bestFit="1" customWidth="1"/>
    <col min="10241" max="10241" width="8.6640625" customWidth="1"/>
    <col min="10242" max="10242" width="9.5546875" bestFit="1" customWidth="1"/>
    <col min="10247" max="10247" width="10.6640625" customWidth="1"/>
    <col min="10250" max="10250" width="12.5546875" customWidth="1"/>
    <col min="10251" max="10251" width="10.6640625" customWidth="1"/>
    <col min="10252" max="10252" width="10.88671875" customWidth="1"/>
    <col min="10253" max="10253" width="12.33203125" bestFit="1" customWidth="1"/>
    <col min="10258" max="10258" width="11.33203125" customWidth="1"/>
    <col min="10259" max="10259" width="12" bestFit="1" customWidth="1"/>
    <col min="10497" max="10497" width="8.6640625" customWidth="1"/>
    <col min="10498" max="10498" width="9.5546875" bestFit="1" customWidth="1"/>
    <col min="10503" max="10503" width="10.6640625" customWidth="1"/>
    <col min="10506" max="10506" width="12.5546875" customWidth="1"/>
    <col min="10507" max="10507" width="10.6640625" customWidth="1"/>
    <col min="10508" max="10508" width="10.88671875" customWidth="1"/>
    <col min="10509" max="10509" width="12.33203125" bestFit="1" customWidth="1"/>
    <col min="10514" max="10514" width="11.33203125" customWidth="1"/>
    <col min="10515" max="10515" width="12" bestFit="1" customWidth="1"/>
    <col min="10753" max="10753" width="8.6640625" customWidth="1"/>
    <col min="10754" max="10754" width="9.5546875" bestFit="1" customWidth="1"/>
    <col min="10759" max="10759" width="10.6640625" customWidth="1"/>
    <col min="10762" max="10762" width="12.5546875" customWidth="1"/>
    <col min="10763" max="10763" width="10.6640625" customWidth="1"/>
    <col min="10764" max="10764" width="10.88671875" customWidth="1"/>
    <col min="10765" max="10765" width="12.33203125" bestFit="1" customWidth="1"/>
    <col min="10770" max="10770" width="11.33203125" customWidth="1"/>
    <col min="10771" max="10771" width="12" bestFit="1" customWidth="1"/>
    <col min="11009" max="11009" width="8.6640625" customWidth="1"/>
    <col min="11010" max="11010" width="9.5546875" bestFit="1" customWidth="1"/>
    <col min="11015" max="11015" width="10.6640625" customWidth="1"/>
    <col min="11018" max="11018" width="12.5546875" customWidth="1"/>
    <col min="11019" max="11019" width="10.6640625" customWidth="1"/>
    <col min="11020" max="11020" width="10.88671875" customWidth="1"/>
    <col min="11021" max="11021" width="12.33203125" bestFit="1" customWidth="1"/>
    <col min="11026" max="11026" width="11.33203125" customWidth="1"/>
    <col min="11027" max="11027" width="12" bestFit="1" customWidth="1"/>
    <col min="11265" max="11265" width="8.6640625" customWidth="1"/>
    <col min="11266" max="11266" width="9.5546875" bestFit="1" customWidth="1"/>
    <col min="11271" max="11271" width="10.6640625" customWidth="1"/>
    <col min="11274" max="11274" width="12.5546875" customWidth="1"/>
    <col min="11275" max="11275" width="10.6640625" customWidth="1"/>
    <col min="11276" max="11276" width="10.88671875" customWidth="1"/>
    <col min="11277" max="11277" width="12.33203125" bestFit="1" customWidth="1"/>
    <col min="11282" max="11282" width="11.33203125" customWidth="1"/>
    <col min="11283" max="11283" width="12" bestFit="1" customWidth="1"/>
    <col min="11521" max="11521" width="8.6640625" customWidth="1"/>
    <col min="11522" max="11522" width="9.5546875" bestFit="1" customWidth="1"/>
    <col min="11527" max="11527" width="10.6640625" customWidth="1"/>
    <col min="11530" max="11530" width="12.5546875" customWidth="1"/>
    <col min="11531" max="11531" width="10.6640625" customWidth="1"/>
    <col min="11532" max="11532" width="10.88671875" customWidth="1"/>
    <col min="11533" max="11533" width="12.33203125" bestFit="1" customWidth="1"/>
    <col min="11538" max="11538" width="11.33203125" customWidth="1"/>
    <col min="11539" max="11539" width="12" bestFit="1" customWidth="1"/>
    <col min="11777" max="11777" width="8.6640625" customWidth="1"/>
    <col min="11778" max="11778" width="9.5546875" bestFit="1" customWidth="1"/>
    <col min="11783" max="11783" width="10.6640625" customWidth="1"/>
    <col min="11786" max="11786" width="12.5546875" customWidth="1"/>
    <col min="11787" max="11787" width="10.6640625" customWidth="1"/>
    <col min="11788" max="11788" width="10.88671875" customWidth="1"/>
    <col min="11789" max="11789" width="12.33203125" bestFit="1" customWidth="1"/>
    <col min="11794" max="11794" width="11.33203125" customWidth="1"/>
    <col min="11795" max="11795" width="12" bestFit="1" customWidth="1"/>
    <col min="12033" max="12033" width="8.6640625" customWidth="1"/>
    <col min="12034" max="12034" width="9.5546875" bestFit="1" customWidth="1"/>
    <col min="12039" max="12039" width="10.6640625" customWidth="1"/>
    <col min="12042" max="12042" width="12.5546875" customWidth="1"/>
    <col min="12043" max="12043" width="10.6640625" customWidth="1"/>
    <col min="12044" max="12044" width="10.88671875" customWidth="1"/>
    <col min="12045" max="12045" width="12.33203125" bestFit="1" customWidth="1"/>
    <col min="12050" max="12050" width="11.33203125" customWidth="1"/>
    <col min="12051" max="12051" width="12" bestFit="1" customWidth="1"/>
    <col min="12289" max="12289" width="8.6640625" customWidth="1"/>
    <col min="12290" max="12290" width="9.5546875" bestFit="1" customWidth="1"/>
    <col min="12295" max="12295" width="10.6640625" customWidth="1"/>
    <col min="12298" max="12298" width="12.5546875" customWidth="1"/>
    <col min="12299" max="12299" width="10.6640625" customWidth="1"/>
    <col min="12300" max="12300" width="10.88671875" customWidth="1"/>
    <col min="12301" max="12301" width="12.33203125" bestFit="1" customWidth="1"/>
    <col min="12306" max="12306" width="11.33203125" customWidth="1"/>
    <col min="12307" max="12307" width="12" bestFit="1" customWidth="1"/>
    <col min="12545" max="12545" width="8.6640625" customWidth="1"/>
    <col min="12546" max="12546" width="9.5546875" bestFit="1" customWidth="1"/>
    <col min="12551" max="12551" width="10.6640625" customWidth="1"/>
    <col min="12554" max="12554" width="12.5546875" customWidth="1"/>
    <col min="12555" max="12555" width="10.6640625" customWidth="1"/>
    <col min="12556" max="12556" width="10.88671875" customWidth="1"/>
    <col min="12557" max="12557" width="12.33203125" bestFit="1" customWidth="1"/>
    <col min="12562" max="12562" width="11.33203125" customWidth="1"/>
    <col min="12563" max="12563" width="12" bestFit="1" customWidth="1"/>
    <col min="12801" max="12801" width="8.6640625" customWidth="1"/>
    <col min="12802" max="12802" width="9.5546875" bestFit="1" customWidth="1"/>
    <col min="12807" max="12807" width="10.6640625" customWidth="1"/>
    <col min="12810" max="12810" width="12.5546875" customWidth="1"/>
    <col min="12811" max="12811" width="10.6640625" customWidth="1"/>
    <col min="12812" max="12812" width="10.88671875" customWidth="1"/>
    <col min="12813" max="12813" width="12.33203125" bestFit="1" customWidth="1"/>
    <col min="12818" max="12818" width="11.33203125" customWidth="1"/>
    <col min="12819" max="12819" width="12" bestFit="1" customWidth="1"/>
    <col min="13057" max="13057" width="8.6640625" customWidth="1"/>
    <col min="13058" max="13058" width="9.5546875" bestFit="1" customWidth="1"/>
    <col min="13063" max="13063" width="10.6640625" customWidth="1"/>
    <col min="13066" max="13066" width="12.5546875" customWidth="1"/>
    <col min="13067" max="13067" width="10.6640625" customWidth="1"/>
    <col min="13068" max="13068" width="10.88671875" customWidth="1"/>
    <col min="13069" max="13069" width="12.33203125" bestFit="1" customWidth="1"/>
    <col min="13074" max="13074" width="11.33203125" customWidth="1"/>
    <col min="13075" max="13075" width="12" bestFit="1" customWidth="1"/>
    <col min="13313" max="13313" width="8.6640625" customWidth="1"/>
    <col min="13314" max="13314" width="9.5546875" bestFit="1" customWidth="1"/>
    <col min="13319" max="13319" width="10.6640625" customWidth="1"/>
    <col min="13322" max="13322" width="12.5546875" customWidth="1"/>
    <col min="13323" max="13323" width="10.6640625" customWidth="1"/>
    <col min="13324" max="13324" width="10.88671875" customWidth="1"/>
    <col min="13325" max="13325" width="12.33203125" bestFit="1" customWidth="1"/>
    <col min="13330" max="13330" width="11.33203125" customWidth="1"/>
    <col min="13331" max="13331" width="12" bestFit="1" customWidth="1"/>
    <col min="13569" max="13569" width="8.6640625" customWidth="1"/>
    <col min="13570" max="13570" width="9.5546875" bestFit="1" customWidth="1"/>
    <col min="13575" max="13575" width="10.6640625" customWidth="1"/>
    <col min="13578" max="13578" width="12.5546875" customWidth="1"/>
    <col min="13579" max="13579" width="10.6640625" customWidth="1"/>
    <col min="13580" max="13580" width="10.88671875" customWidth="1"/>
    <col min="13581" max="13581" width="12.33203125" bestFit="1" customWidth="1"/>
    <col min="13586" max="13586" width="11.33203125" customWidth="1"/>
    <col min="13587" max="13587" width="12" bestFit="1" customWidth="1"/>
    <col min="13825" max="13825" width="8.6640625" customWidth="1"/>
    <col min="13826" max="13826" width="9.5546875" bestFit="1" customWidth="1"/>
    <col min="13831" max="13831" width="10.6640625" customWidth="1"/>
    <col min="13834" max="13834" width="12.5546875" customWidth="1"/>
    <col min="13835" max="13835" width="10.6640625" customWidth="1"/>
    <col min="13836" max="13836" width="10.88671875" customWidth="1"/>
    <col min="13837" max="13837" width="12.33203125" bestFit="1" customWidth="1"/>
    <col min="13842" max="13842" width="11.33203125" customWidth="1"/>
    <col min="13843" max="13843" width="12" bestFit="1" customWidth="1"/>
    <col min="14081" max="14081" width="8.6640625" customWidth="1"/>
    <col min="14082" max="14082" width="9.5546875" bestFit="1" customWidth="1"/>
    <col min="14087" max="14087" width="10.6640625" customWidth="1"/>
    <col min="14090" max="14090" width="12.5546875" customWidth="1"/>
    <col min="14091" max="14091" width="10.6640625" customWidth="1"/>
    <col min="14092" max="14092" width="10.88671875" customWidth="1"/>
    <col min="14093" max="14093" width="12.33203125" bestFit="1" customWidth="1"/>
    <col min="14098" max="14098" width="11.33203125" customWidth="1"/>
    <col min="14099" max="14099" width="12" bestFit="1" customWidth="1"/>
    <col min="14337" max="14337" width="8.6640625" customWidth="1"/>
    <col min="14338" max="14338" width="9.5546875" bestFit="1" customWidth="1"/>
    <col min="14343" max="14343" width="10.6640625" customWidth="1"/>
    <col min="14346" max="14346" width="12.5546875" customWidth="1"/>
    <col min="14347" max="14347" width="10.6640625" customWidth="1"/>
    <col min="14348" max="14348" width="10.88671875" customWidth="1"/>
    <col min="14349" max="14349" width="12.33203125" bestFit="1" customWidth="1"/>
    <col min="14354" max="14354" width="11.33203125" customWidth="1"/>
    <col min="14355" max="14355" width="12" bestFit="1" customWidth="1"/>
    <col min="14593" max="14593" width="8.6640625" customWidth="1"/>
    <col min="14594" max="14594" width="9.5546875" bestFit="1" customWidth="1"/>
    <col min="14599" max="14599" width="10.6640625" customWidth="1"/>
    <col min="14602" max="14602" width="12.5546875" customWidth="1"/>
    <col min="14603" max="14603" width="10.6640625" customWidth="1"/>
    <col min="14604" max="14604" width="10.88671875" customWidth="1"/>
    <col min="14605" max="14605" width="12.33203125" bestFit="1" customWidth="1"/>
    <col min="14610" max="14610" width="11.33203125" customWidth="1"/>
    <col min="14611" max="14611" width="12" bestFit="1" customWidth="1"/>
    <col min="14849" max="14849" width="8.6640625" customWidth="1"/>
    <col min="14850" max="14850" width="9.5546875" bestFit="1" customWidth="1"/>
    <col min="14855" max="14855" width="10.6640625" customWidth="1"/>
    <col min="14858" max="14858" width="12.5546875" customWidth="1"/>
    <col min="14859" max="14859" width="10.6640625" customWidth="1"/>
    <col min="14860" max="14860" width="10.88671875" customWidth="1"/>
    <col min="14861" max="14861" width="12.33203125" bestFit="1" customWidth="1"/>
    <col min="14866" max="14866" width="11.33203125" customWidth="1"/>
    <col min="14867" max="14867" width="12" bestFit="1" customWidth="1"/>
    <col min="15105" max="15105" width="8.6640625" customWidth="1"/>
    <col min="15106" max="15106" width="9.5546875" bestFit="1" customWidth="1"/>
    <col min="15111" max="15111" width="10.6640625" customWidth="1"/>
    <col min="15114" max="15114" width="12.5546875" customWidth="1"/>
    <col min="15115" max="15115" width="10.6640625" customWidth="1"/>
    <col min="15116" max="15116" width="10.88671875" customWidth="1"/>
    <col min="15117" max="15117" width="12.33203125" bestFit="1" customWidth="1"/>
    <col min="15122" max="15122" width="11.33203125" customWidth="1"/>
    <col min="15123" max="15123" width="12" bestFit="1" customWidth="1"/>
    <col min="15361" max="15361" width="8.6640625" customWidth="1"/>
    <col min="15362" max="15362" width="9.5546875" bestFit="1" customWidth="1"/>
    <col min="15367" max="15367" width="10.6640625" customWidth="1"/>
    <col min="15370" max="15370" width="12.5546875" customWidth="1"/>
    <col min="15371" max="15371" width="10.6640625" customWidth="1"/>
    <col min="15372" max="15372" width="10.88671875" customWidth="1"/>
    <col min="15373" max="15373" width="12.33203125" bestFit="1" customWidth="1"/>
    <col min="15378" max="15378" width="11.33203125" customWidth="1"/>
    <col min="15379" max="15379" width="12" bestFit="1" customWidth="1"/>
    <col min="15617" max="15617" width="8.6640625" customWidth="1"/>
    <col min="15618" max="15618" width="9.5546875" bestFit="1" customWidth="1"/>
    <col min="15623" max="15623" width="10.6640625" customWidth="1"/>
    <col min="15626" max="15626" width="12.5546875" customWidth="1"/>
    <col min="15627" max="15627" width="10.6640625" customWidth="1"/>
    <col min="15628" max="15628" width="10.88671875" customWidth="1"/>
    <col min="15629" max="15629" width="12.33203125" bestFit="1" customWidth="1"/>
    <col min="15634" max="15634" width="11.33203125" customWidth="1"/>
    <col min="15635" max="15635" width="12" bestFit="1" customWidth="1"/>
    <col min="15873" max="15873" width="8.6640625" customWidth="1"/>
    <col min="15874" max="15874" width="9.5546875" bestFit="1" customWidth="1"/>
    <col min="15879" max="15879" width="10.6640625" customWidth="1"/>
    <col min="15882" max="15882" width="12.5546875" customWidth="1"/>
    <col min="15883" max="15883" width="10.6640625" customWidth="1"/>
    <col min="15884" max="15884" width="10.88671875" customWidth="1"/>
    <col min="15885" max="15885" width="12.33203125" bestFit="1" customWidth="1"/>
    <col min="15890" max="15890" width="11.33203125" customWidth="1"/>
    <col min="15891" max="15891" width="12" bestFit="1" customWidth="1"/>
    <col min="16129" max="16129" width="8.6640625" customWidth="1"/>
    <col min="16130" max="16130" width="9.5546875" bestFit="1" customWidth="1"/>
    <col min="16135" max="16135" width="10.6640625" customWidth="1"/>
    <col min="16138" max="16138" width="12.5546875" customWidth="1"/>
    <col min="16139" max="16139" width="10.6640625" customWidth="1"/>
    <col min="16140" max="16140" width="10.88671875" customWidth="1"/>
    <col min="16141" max="16141" width="12.33203125" bestFit="1" customWidth="1"/>
    <col min="16146" max="16146" width="11.33203125" customWidth="1"/>
    <col min="16147" max="16147" width="12" bestFit="1" customWidth="1"/>
  </cols>
  <sheetData>
    <row r="1" spans="1:19" ht="28.8" x14ac:dyDescent="0.3">
      <c r="A1" s="80" t="s">
        <v>208</v>
      </c>
      <c r="B1" s="80" t="s">
        <v>209</v>
      </c>
      <c r="C1" s="80" t="s">
        <v>210</v>
      </c>
      <c r="D1" s="80" t="s">
        <v>157</v>
      </c>
      <c r="E1" s="80" t="s">
        <v>158</v>
      </c>
      <c r="F1" s="80" t="s">
        <v>159</v>
      </c>
      <c r="G1" s="80" t="s">
        <v>187</v>
      </c>
    </row>
    <row r="2" spans="1:19" ht="15" customHeight="1" x14ac:dyDescent="0.3">
      <c r="A2" s="17">
        <v>60</v>
      </c>
      <c r="B2" s="95">
        <v>41.777333333333338</v>
      </c>
      <c r="C2" s="17">
        <v>154</v>
      </c>
      <c r="D2" s="87">
        <v>2.08</v>
      </c>
      <c r="E2" s="83">
        <v>1.35</v>
      </c>
      <c r="F2" s="87">
        <v>1.1399999999999999</v>
      </c>
      <c r="G2" s="62" t="s">
        <v>211</v>
      </c>
    </row>
    <row r="3" spans="1:19" ht="15.6" x14ac:dyDescent="0.3">
      <c r="A3" s="83">
        <v>66</v>
      </c>
      <c r="B3" s="95">
        <v>62.500303030303023</v>
      </c>
      <c r="C3" s="17">
        <v>144</v>
      </c>
      <c r="D3" s="87">
        <v>1.54</v>
      </c>
      <c r="E3" s="83">
        <v>2.08</v>
      </c>
      <c r="F3" s="87">
        <v>2.14</v>
      </c>
      <c r="G3" s="62" t="s">
        <v>211</v>
      </c>
      <c r="M3" s="96" t="s">
        <v>225</v>
      </c>
    </row>
    <row r="4" spans="1:19" x14ac:dyDescent="0.3">
      <c r="A4" s="83">
        <v>35</v>
      </c>
      <c r="B4" s="95">
        <v>75.820571428571427</v>
      </c>
      <c r="C4" s="17">
        <v>83</v>
      </c>
      <c r="D4" s="87">
        <v>3.03</v>
      </c>
      <c r="E4" s="83">
        <v>2.71</v>
      </c>
      <c r="F4" s="87">
        <v>2.7</v>
      </c>
      <c r="G4" s="62" t="s">
        <v>211</v>
      </c>
    </row>
    <row r="5" spans="1:19" x14ac:dyDescent="0.3">
      <c r="A5" s="83">
        <v>37</v>
      </c>
      <c r="B5" s="95">
        <v>60.951621621621612</v>
      </c>
      <c r="C5" s="17">
        <v>89</v>
      </c>
      <c r="D5" s="87">
        <v>2.25</v>
      </c>
      <c r="E5" s="83">
        <v>2.82</v>
      </c>
      <c r="F5" s="87">
        <v>1.8</v>
      </c>
      <c r="G5" s="62" t="s">
        <v>211</v>
      </c>
    </row>
    <row r="6" spans="1:19" x14ac:dyDescent="0.3">
      <c r="A6" s="83">
        <v>60</v>
      </c>
      <c r="B6" s="95">
        <v>71.244499999999988</v>
      </c>
      <c r="C6" s="17">
        <v>126</v>
      </c>
      <c r="D6" s="87">
        <v>2.67</v>
      </c>
      <c r="E6" s="83">
        <v>2.98</v>
      </c>
      <c r="F6" s="87">
        <v>3.26</v>
      </c>
      <c r="G6" s="62" t="s">
        <v>153</v>
      </c>
    </row>
    <row r="7" spans="1:19" x14ac:dyDescent="0.3">
      <c r="A7" s="83">
        <v>63</v>
      </c>
      <c r="B7" s="95">
        <v>85.255396825396829</v>
      </c>
      <c r="C7" s="17">
        <v>126</v>
      </c>
      <c r="D7" s="87">
        <v>2.64</v>
      </c>
      <c r="E7" s="83">
        <v>2.77</v>
      </c>
      <c r="F7" s="87">
        <v>2.87</v>
      </c>
      <c r="G7" s="62" t="s">
        <v>153</v>
      </c>
    </row>
    <row r="8" spans="1:19" x14ac:dyDescent="0.3">
      <c r="A8" s="83">
        <v>63</v>
      </c>
      <c r="B8" s="95">
        <v>81.031904761904769</v>
      </c>
      <c r="C8" s="17">
        <v>126</v>
      </c>
      <c r="D8" s="87">
        <v>2.86</v>
      </c>
      <c r="E8" s="83">
        <v>2.73</v>
      </c>
      <c r="F8" s="87">
        <v>2.04</v>
      </c>
      <c r="G8" s="62" t="s">
        <v>153</v>
      </c>
    </row>
    <row r="9" spans="1:19" x14ac:dyDescent="0.3">
      <c r="A9" s="83">
        <v>65</v>
      </c>
      <c r="B9" s="95">
        <v>35.907076923076922</v>
      </c>
      <c r="C9" s="17">
        <v>161</v>
      </c>
      <c r="D9" s="87">
        <v>2.97</v>
      </c>
      <c r="E9" s="83">
        <v>2.82</v>
      </c>
      <c r="F9" s="87">
        <v>2.7</v>
      </c>
      <c r="G9" s="62" t="s">
        <v>153</v>
      </c>
    </row>
    <row r="10" spans="1:19" x14ac:dyDescent="0.3">
      <c r="A10" s="83">
        <v>62</v>
      </c>
      <c r="B10" s="95">
        <v>24.716129032258063</v>
      </c>
      <c r="C10" s="17">
        <v>114</v>
      </c>
      <c r="D10" s="87">
        <v>2.57</v>
      </c>
      <c r="E10" s="83">
        <v>2.02</v>
      </c>
      <c r="F10" s="87">
        <v>3.07</v>
      </c>
      <c r="G10" s="62" t="s">
        <v>153</v>
      </c>
      <c r="M10" s="9" t="s">
        <v>212</v>
      </c>
    </row>
    <row r="11" spans="1:19" ht="28.8" x14ac:dyDescent="0.3">
      <c r="L11" s="97"/>
      <c r="M11" s="98" t="s">
        <v>208</v>
      </c>
      <c r="N11" s="80" t="s">
        <v>209</v>
      </c>
      <c r="O11" s="80" t="s">
        <v>210</v>
      </c>
      <c r="P11" s="80" t="s">
        <v>157</v>
      </c>
      <c r="Q11" s="80" t="s">
        <v>158</v>
      </c>
      <c r="R11" s="80" t="s">
        <v>159</v>
      </c>
      <c r="S11" s="80" t="s">
        <v>187</v>
      </c>
    </row>
    <row r="12" spans="1:19" x14ac:dyDescent="0.3">
      <c r="A12" s="213" t="s">
        <v>20</v>
      </c>
      <c r="B12" s="213"/>
      <c r="C12" s="213"/>
      <c r="D12" s="213"/>
      <c r="E12" s="213"/>
      <c r="F12" s="213"/>
      <c r="G12" s="213"/>
      <c r="I12" s="9" t="s">
        <v>213</v>
      </c>
      <c r="J12" s="99"/>
      <c r="K12" s="99"/>
      <c r="L12" s="97" t="s">
        <v>214</v>
      </c>
      <c r="M12" s="100">
        <v>54</v>
      </c>
      <c r="N12" s="101">
        <v>81.031904761904769</v>
      </c>
      <c r="O12" s="65">
        <v>100</v>
      </c>
      <c r="P12" s="102">
        <v>2.25</v>
      </c>
      <c r="Q12" s="103">
        <v>2.82</v>
      </c>
      <c r="R12" s="102">
        <v>1.8</v>
      </c>
      <c r="S12" s="104" t="s">
        <v>226</v>
      </c>
    </row>
    <row r="13" spans="1:19" ht="28.8" x14ac:dyDescent="0.3">
      <c r="A13" s="23" t="s">
        <v>202</v>
      </c>
      <c r="B13" s="105" t="s">
        <v>208</v>
      </c>
      <c r="C13" s="105" t="s">
        <v>209</v>
      </c>
      <c r="D13" s="105" t="s">
        <v>210</v>
      </c>
      <c r="E13" s="105" t="s">
        <v>157</v>
      </c>
      <c r="F13" s="105" t="s">
        <v>158</v>
      </c>
      <c r="G13" s="105" t="s">
        <v>159</v>
      </c>
      <c r="L13" s="94" t="s">
        <v>153</v>
      </c>
      <c r="M13" s="106">
        <f t="shared" ref="M13:R13" si="0">1/SQRT(2*3.14*B20)*EXP(-((M12-B14)^2/(2*(B20^2))))</f>
        <v>4.0240318370001636E-6</v>
      </c>
      <c r="N13" s="106">
        <f t="shared" si="0"/>
        <v>5.6220328427029162E-2</v>
      </c>
      <c r="O13" s="106">
        <f t="shared" si="0"/>
        <v>2.1493969999136126E-2</v>
      </c>
      <c r="P13" s="106">
        <f t="shared" si="0"/>
        <v>1.2511493338052319E-2</v>
      </c>
      <c r="Q13" s="106">
        <f t="shared" si="0"/>
        <v>0.59901328160804312</v>
      </c>
      <c r="R13" s="106">
        <f t="shared" si="0"/>
        <v>6.2848944035560059E-2</v>
      </c>
      <c r="S13" s="107">
        <f>M13*N13*O13*P13*Q13*R13*C25</f>
        <v>1.2724552144694834E-12</v>
      </c>
    </row>
    <row r="14" spans="1:19" x14ac:dyDescent="0.3">
      <c r="A14" s="62" t="s">
        <v>153</v>
      </c>
      <c r="B14" s="8">
        <f t="shared" ref="B14:G14" si="1">AVERAGE(A30:A34)</f>
        <v>62.6</v>
      </c>
      <c r="C14" s="20">
        <f t="shared" si="1"/>
        <v>59.631001508527312</v>
      </c>
      <c r="D14" s="8">
        <f t="shared" si="1"/>
        <v>130.6</v>
      </c>
      <c r="E14" s="8">
        <f t="shared" si="1"/>
        <v>2.742</v>
      </c>
      <c r="F14" s="8">
        <f t="shared" si="1"/>
        <v>2.6640000000000001</v>
      </c>
      <c r="G14" s="8">
        <f t="shared" si="1"/>
        <v>2.7880000000000003</v>
      </c>
      <c r="L14" s="207" t="s">
        <v>211</v>
      </c>
      <c r="M14" s="209">
        <f t="shared" ref="M14:R14" si="2">1/SQRT(2*3.14*B21)*EXP(-((M12-B15)^2/(2*(B21^2))))</f>
        <v>9.6397912125586321E-2</v>
      </c>
      <c r="N14" s="209">
        <f t="shared" si="2"/>
        <v>3.5548351093309595E-2</v>
      </c>
      <c r="O14" s="209">
        <f t="shared" si="2"/>
        <v>5.8798591417056199E-2</v>
      </c>
      <c r="P14" s="209">
        <f t="shared" si="2"/>
        <v>0.50795074140241214</v>
      </c>
      <c r="Q14" s="209">
        <f t="shared" si="2"/>
        <v>0.33600569524304386</v>
      </c>
      <c r="R14" s="209">
        <f t="shared" si="2"/>
        <v>0.48196946896794862</v>
      </c>
      <c r="S14" s="211">
        <f>M14*N14*O14*P14*Q14*R14*C26</f>
        <v>7.3664671742869665E-6</v>
      </c>
    </row>
    <row r="15" spans="1:19" x14ac:dyDescent="0.3">
      <c r="A15" s="62" t="s">
        <v>211</v>
      </c>
      <c r="B15" s="8">
        <f t="shared" ref="B15:G15" si="3">AVERAGE(H30:H33)</f>
        <v>49.5</v>
      </c>
      <c r="C15" s="8">
        <f t="shared" si="3"/>
        <v>60.26245735345735</v>
      </c>
      <c r="D15" s="8">
        <f t="shared" si="3"/>
        <v>117.5</v>
      </c>
      <c r="E15" s="8">
        <f t="shared" si="3"/>
        <v>2.2250000000000001</v>
      </c>
      <c r="F15" s="8">
        <f t="shared" si="3"/>
        <v>2.2400000000000002</v>
      </c>
      <c r="G15" s="8">
        <f t="shared" si="3"/>
        <v>1.9450000000000001</v>
      </c>
      <c r="L15" s="207"/>
      <c r="M15" s="210"/>
      <c r="N15" s="210"/>
      <c r="O15" s="210"/>
      <c r="P15" s="210"/>
      <c r="Q15" s="210"/>
      <c r="R15" s="210"/>
      <c r="S15" s="212"/>
    </row>
    <row r="16" spans="1:19" x14ac:dyDescent="0.3">
      <c r="R16" s="9" t="s">
        <v>227</v>
      </c>
      <c r="S16">
        <f>MAX(S13:S15)</f>
        <v>7.3664671742869665E-6</v>
      </c>
    </row>
    <row r="17" spans="1:13" x14ac:dyDescent="0.3">
      <c r="I17" s="9" t="s">
        <v>215</v>
      </c>
    </row>
    <row r="18" spans="1:13" x14ac:dyDescent="0.3">
      <c r="A18" s="213" t="s">
        <v>216</v>
      </c>
      <c r="B18" s="213"/>
      <c r="C18" s="213"/>
      <c r="D18" s="213"/>
      <c r="E18" s="213"/>
      <c r="F18" s="213"/>
      <c r="G18" s="213"/>
      <c r="K18" t="s">
        <v>217</v>
      </c>
    </row>
    <row r="19" spans="1:13" ht="28.8" x14ac:dyDescent="0.3">
      <c r="A19" s="23" t="s">
        <v>202</v>
      </c>
      <c r="B19" s="105" t="s">
        <v>208</v>
      </c>
      <c r="C19" s="105" t="s">
        <v>209</v>
      </c>
      <c r="D19" s="105" t="s">
        <v>210</v>
      </c>
      <c r="E19" s="105" t="s">
        <v>157</v>
      </c>
      <c r="F19" s="105" t="s">
        <v>158</v>
      </c>
      <c r="G19" s="105" t="s">
        <v>159</v>
      </c>
      <c r="K19" t="s">
        <v>218</v>
      </c>
    </row>
    <row r="20" spans="1:13" x14ac:dyDescent="0.3">
      <c r="A20" s="62" t="s">
        <v>153</v>
      </c>
      <c r="B20" s="8">
        <f t="shared" ref="B20:G20" si="4">_xlfn.STDEV.S(A30:A34)</f>
        <v>1.8165902124584952</v>
      </c>
      <c r="C20" s="8">
        <f t="shared" si="4"/>
        <v>27.528869212144109</v>
      </c>
      <c r="D20" s="8">
        <f t="shared" si="4"/>
        <v>17.770762504743551</v>
      </c>
      <c r="E20" s="8">
        <f t="shared" si="4"/>
        <v>0.16664333169977136</v>
      </c>
      <c r="F20" s="8">
        <f t="shared" si="4"/>
        <v>0.37233049834790244</v>
      </c>
      <c r="G20" s="8">
        <f t="shared" si="4"/>
        <v>0.46804914271900822</v>
      </c>
      <c r="K20" t="s">
        <v>219</v>
      </c>
    </row>
    <row r="21" spans="1:13" x14ac:dyDescent="0.3">
      <c r="A21" s="62" t="s">
        <v>211</v>
      </c>
      <c r="B21" s="8">
        <f t="shared" ref="B21:G21" si="5">_xlfn.STDEV.S(H30:H33)</f>
        <v>15.800843859321775</v>
      </c>
      <c r="C21" s="8">
        <f t="shared" si="5"/>
        <v>14.014725877632166</v>
      </c>
      <c r="D21" s="8">
        <f t="shared" si="5"/>
        <v>36.683329547175333</v>
      </c>
      <c r="E21" s="8">
        <f t="shared" si="5"/>
        <v>0.61614392258086359</v>
      </c>
      <c r="F21" s="8">
        <f t="shared" si="5"/>
        <v>0.67700320038632911</v>
      </c>
      <c r="G21" s="8">
        <f t="shared" si="5"/>
        <v>0.65245689512794569</v>
      </c>
      <c r="K21" t="s">
        <v>220</v>
      </c>
    </row>
    <row r="22" spans="1:13" x14ac:dyDescent="0.3">
      <c r="K22" t="s">
        <v>221</v>
      </c>
    </row>
    <row r="23" spans="1:13" x14ac:dyDescent="0.3">
      <c r="A23" s="206" t="s">
        <v>201</v>
      </c>
      <c r="B23" s="206"/>
      <c r="C23" s="206"/>
      <c r="D23" s="206"/>
      <c r="E23" s="108"/>
      <c r="F23" s="108"/>
      <c r="G23" s="108"/>
      <c r="K23" t="s">
        <v>222</v>
      </c>
    </row>
    <row r="24" spans="1:13" x14ac:dyDescent="0.3">
      <c r="A24" s="207" t="s">
        <v>202</v>
      </c>
      <c r="B24" s="207"/>
      <c r="C24" s="207" t="s">
        <v>203</v>
      </c>
      <c r="D24" s="207"/>
    </row>
    <row r="25" spans="1:13" ht="19.2" x14ac:dyDescent="0.45">
      <c r="A25" s="184" t="s">
        <v>153</v>
      </c>
      <c r="B25" s="184"/>
      <c r="C25" s="184">
        <f>COUNTIF(G2:G10,A25)/COUNTA(G2:G10)</f>
        <v>0.55555555555555558</v>
      </c>
      <c r="D25" s="184"/>
      <c r="G25" s="109" t="s">
        <v>223</v>
      </c>
    </row>
    <row r="26" spans="1:13" x14ac:dyDescent="0.3">
      <c r="A26" s="184" t="s">
        <v>211</v>
      </c>
      <c r="B26" s="184"/>
      <c r="C26" s="184">
        <f>COUNTIF(G2:G10,A26)/COUNTA(G2:G10)</f>
        <v>0.44444444444444442</v>
      </c>
      <c r="D26" s="184"/>
      <c r="G26" t="s">
        <v>224</v>
      </c>
    </row>
    <row r="27" spans="1:13" x14ac:dyDescent="0.3">
      <c r="C27">
        <f>SUM(C25:D26)</f>
        <v>1</v>
      </c>
    </row>
    <row r="28" spans="1:13" x14ac:dyDescent="0.3">
      <c r="A28" s="208" t="s">
        <v>228</v>
      </c>
      <c r="B28" s="208"/>
      <c r="C28" s="208"/>
      <c r="D28" s="208"/>
      <c r="E28" s="208"/>
      <c r="F28" s="208"/>
      <c r="H28" s="208" t="s">
        <v>229</v>
      </c>
      <c r="I28" s="208"/>
      <c r="J28" s="208"/>
      <c r="K28" s="208"/>
      <c r="L28" s="208"/>
      <c r="M28" s="208"/>
    </row>
    <row r="29" spans="1:13" ht="28.8" x14ac:dyDescent="0.3">
      <c r="A29" s="105" t="s">
        <v>208</v>
      </c>
      <c r="B29" s="105" t="s">
        <v>209</v>
      </c>
      <c r="C29" s="105" t="s">
        <v>210</v>
      </c>
      <c r="D29" s="105" t="s">
        <v>157</v>
      </c>
      <c r="E29" s="105" t="s">
        <v>158</v>
      </c>
      <c r="F29" s="105" t="s">
        <v>159</v>
      </c>
      <c r="H29" s="105" t="s">
        <v>208</v>
      </c>
      <c r="I29" s="105" t="s">
        <v>209</v>
      </c>
      <c r="J29" s="105" t="s">
        <v>210</v>
      </c>
      <c r="K29" s="105" t="s">
        <v>157</v>
      </c>
      <c r="L29" s="105" t="s">
        <v>158</v>
      </c>
      <c r="M29" s="105" t="s">
        <v>159</v>
      </c>
    </row>
    <row r="30" spans="1:13" x14ac:dyDescent="0.3">
      <c r="A30" s="83">
        <v>60</v>
      </c>
      <c r="B30" s="95">
        <v>71.244499999999988</v>
      </c>
      <c r="C30" s="17">
        <v>126</v>
      </c>
      <c r="D30" s="87">
        <v>2.67</v>
      </c>
      <c r="E30" s="83">
        <v>2.98</v>
      </c>
      <c r="F30" s="87">
        <v>3.26</v>
      </c>
      <c r="H30" s="17">
        <v>60</v>
      </c>
      <c r="I30" s="95">
        <v>41.777333333333338</v>
      </c>
      <c r="J30" s="17">
        <v>154</v>
      </c>
      <c r="K30" s="87">
        <v>2.08</v>
      </c>
      <c r="L30" s="83">
        <v>1.35</v>
      </c>
      <c r="M30" s="87">
        <v>1.1399999999999999</v>
      </c>
    </row>
    <row r="31" spans="1:13" x14ac:dyDescent="0.3">
      <c r="A31" s="83">
        <v>63</v>
      </c>
      <c r="B31" s="95">
        <v>85.255396825396829</v>
      </c>
      <c r="C31" s="17">
        <v>126</v>
      </c>
      <c r="D31" s="87">
        <v>2.64</v>
      </c>
      <c r="E31" s="83">
        <v>2.77</v>
      </c>
      <c r="F31" s="87">
        <v>2.87</v>
      </c>
      <c r="H31" s="83">
        <v>66</v>
      </c>
      <c r="I31" s="95">
        <v>62.500303030303023</v>
      </c>
      <c r="J31" s="17">
        <v>144</v>
      </c>
      <c r="K31" s="87">
        <v>1.54</v>
      </c>
      <c r="L31" s="83">
        <v>2.08</v>
      </c>
      <c r="M31" s="87">
        <v>2.14</v>
      </c>
    </row>
    <row r="32" spans="1:13" x14ac:dyDescent="0.3">
      <c r="A32" s="83">
        <v>63</v>
      </c>
      <c r="B32" s="95">
        <v>81.031904761904769</v>
      </c>
      <c r="C32" s="17">
        <v>126</v>
      </c>
      <c r="D32" s="87">
        <v>2.86</v>
      </c>
      <c r="E32" s="83">
        <v>2.73</v>
      </c>
      <c r="F32" s="87">
        <v>2.04</v>
      </c>
      <c r="H32" s="83">
        <v>35</v>
      </c>
      <c r="I32" s="95">
        <v>75.820571428571427</v>
      </c>
      <c r="J32" s="17">
        <v>83</v>
      </c>
      <c r="K32" s="87">
        <v>3.03</v>
      </c>
      <c r="L32" s="83">
        <v>2.71</v>
      </c>
      <c r="M32" s="87">
        <v>2.7</v>
      </c>
    </row>
    <row r="33" spans="1:13" x14ac:dyDescent="0.3">
      <c r="A33" s="83">
        <v>65</v>
      </c>
      <c r="B33" s="95">
        <v>35.907076923076922</v>
      </c>
      <c r="C33" s="17">
        <v>161</v>
      </c>
      <c r="D33" s="87">
        <v>2.97</v>
      </c>
      <c r="E33" s="83">
        <v>2.82</v>
      </c>
      <c r="F33" s="87">
        <v>2.7</v>
      </c>
      <c r="H33" s="83">
        <v>37</v>
      </c>
      <c r="I33" s="95">
        <v>60.951621621621612</v>
      </c>
      <c r="J33" s="17">
        <v>89</v>
      </c>
      <c r="K33" s="87">
        <v>2.25</v>
      </c>
      <c r="L33" s="83">
        <v>2.82</v>
      </c>
      <c r="M33" s="87">
        <v>1.8</v>
      </c>
    </row>
    <row r="34" spans="1:13" x14ac:dyDescent="0.3">
      <c r="A34" s="83">
        <v>62</v>
      </c>
      <c r="B34" s="95">
        <v>24.716129032258063</v>
      </c>
      <c r="C34" s="17">
        <v>114</v>
      </c>
      <c r="D34" s="87">
        <v>2.57</v>
      </c>
      <c r="E34" s="83">
        <v>2.02</v>
      </c>
      <c r="F34" s="87">
        <v>3.07</v>
      </c>
    </row>
    <row r="37" spans="1:13" ht="28.8" x14ac:dyDescent="0.3">
      <c r="A37" s="105" t="s">
        <v>208</v>
      </c>
      <c r="B37" s="105" t="s">
        <v>230</v>
      </c>
      <c r="C37" s="105" t="s">
        <v>231</v>
      </c>
      <c r="E37" s="105" t="s">
        <v>232</v>
      </c>
    </row>
    <row r="38" spans="1:13" x14ac:dyDescent="0.3">
      <c r="A38" s="83">
        <v>60</v>
      </c>
      <c r="B38" s="8">
        <f>A38-$B$35</f>
        <v>60</v>
      </c>
      <c r="C38" s="8">
        <f>POWER(B38,2)</f>
        <v>3600</v>
      </c>
      <c r="E38" s="8">
        <f>SQRT(C43/(COUNTA(C38:C42)-1))</f>
        <v>70.012498884127822</v>
      </c>
    </row>
    <row r="39" spans="1:13" x14ac:dyDescent="0.3">
      <c r="A39" s="83">
        <v>63</v>
      </c>
      <c r="B39" s="8">
        <f>A39-$B$35</f>
        <v>63</v>
      </c>
      <c r="C39" s="8">
        <f>POWER(B39,2)</f>
        <v>3969</v>
      </c>
    </row>
    <row r="40" spans="1:13" x14ac:dyDescent="0.3">
      <c r="A40" s="83">
        <v>63</v>
      </c>
      <c r="B40" s="8">
        <f>A40-$B$35</f>
        <v>63</v>
      </c>
      <c r="C40" s="8">
        <f>POWER(B40,2)</f>
        <v>3969</v>
      </c>
    </row>
    <row r="41" spans="1:13" x14ac:dyDescent="0.3">
      <c r="A41" s="83">
        <v>65</v>
      </c>
      <c r="B41" s="8">
        <f>A41-$B$35</f>
        <v>65</v>
      </c>
      <c r="C41" s="8">
        <f>POWER(B41,2)</f>
        <v>4225</v>
      </c>
    </row>
    <row r="42" spans="1:13" x14ac:dyDescent="0.3">
      <c r="A42" s="83">
        <v>62</v>
      </c>
      <c r="B42" s="8">
        <f>A42-$B$35</f>
        <v>62</v>
      </c>
      <c r="C42" s="8">
        <f>POWER(B42,2)</f>
        <v>3844</v>
      </c>
    </row>
    <row r="43" spans="1:13" x14ac:dyDescent="0.3">
      <c r="A43" s="9">
        <f>SUM(A38:A42)</f>
        <v>313</v>
      </c>
      <c r="C43" s="110">
        <f>SUM(C38:C42)</f>
        <v>19607</v>
      </c>
    </row>
  </sheetData>
  <mergeCells count="19">
    <mergeCell ref="A12:G12"/>
    <mergeCell ref="L14:L15"/>
    <mergeCell ref="A25:B25"/>
    <mergeCell ref="C25:D25"/>
    <mergeCell ref="M14:M15"/>
    <mergeCell ref="A28:F28"/>
    <mergeCell ref="H28:M28"/>
    <mergeCell ref="Q14:Q15"/>
    <mergeCell ref="R14:R15"/>
    <mergeCell ref="S14:S15"/>
    <mergeCell ref="A18:G18"/>
    <mergeCell ref="A23:D23"/>
    <mergeCell ref="A24:B24"/>
    <mergeCell ref="C24:D24"/>
    <mergeCell ref="A26:B26"/>
    <mergeCell ref="C26:D26"/>
    <mergeCell ref="N14:N15"/>
    <mergeCell ref="O14:O15"/>
    <mergeCell ref="P14:P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79FE-87AA-4F69-B320-5203B01B9F48}">
  <dimension ref="A1:AE130"/>
  <sheetViews>
    <sheetView zoomScale="70" zoomScaleNormal="70" workbookViewId="0">
      <selection activeCell="C1" sqref="C1:G21"/>
    </sheetView>
  </sheetViews>
  <sheetFormatPr defaultRowHeight="14.4" x14ac:dyDescent="0.3"/>
  <cols>
    <col min="1" max="1" width="18.5546875" customWidth="1"/>
    <col min="3" max="3" width="11.44140625" customWidth="1"/>
    <col min="6" max="6" width="12.5546875" customWidth="1"/>
    <col min="7" max="7" width="11.88671875" customWidth="1"/>
    <col min="8" max="8" width="12.5546875" customWidth="1"/>
    <col min="10" max="10" width="12" customWidth="1"/>
    <col min="11" max="11" width="20.44140625" customWidth="1"/>
    <col min="14" max="14" width="13.6640625" customWidth="1"/>
    <col min="17" max="17" width="11.6640625" customWidth="1"/>
    <col min="18" max="18" width="11.109375" customWidth="1"/>
    <col min="19" max="19" width="11.33203125" customWidth="1"/>
    <col min="20" max="20" width="10.6640625" customWidth="1"/>
    <col min="22" max="22" width="12" customWidth="1"/>
    <col min="25" max="25" width="11.33203125" customWidth="1"/>
    <col min="31" max="31" width="10.6640625" customWidth="1"/>
  </cols>
  <sheetData>
    <row r="1" spans="1:16" x14ac:dyDescent="0.3">
      <c r="A1" s="67" t="s">
        <v>148</v>
      </c>
      <c r="B1" s="67" t="s">
        <v>1</v>
      </c>
      <c r="C1" s="68" t="s">
        <v>159</v>
      </c>
      <c r="D1" s="68" t="s">
        <v>160</v>
      </c>
      <c r="E1" s="68" t="s">
        <v>165</v>
      </c>
      <c r="F1" s="68" t="s">
        <v>166</v>
      </c>
      <c r="G1" s="68" t="s">
        <v>146</v>
      </c>
      <c r="J1" s="9" t="s">
        <v>61</v>
      </c>
    </row>
    <row r="2" spans="1:16" x14ac:dyDescent="0.3">
      <c r="A2" s="69" t="s">
        <v>150</v>
      </c>
      <c r="B2" s="70" t="s">
        <v>6</v>
      </c>
      <c r="C2" s="71">
        <v>3.6</v>
      </c>
      <c r="D2" s="70">
        <v>3.58</v>
      </c>
      <c r="E2" s="70">
        <v>3.05</v>
      </c>
      <c r="F2" s="70">
        <v>3.7</v>
      </c>
      <c r="G2" s="70" t="s">
        <v>153</v>
      </c>
    </row>
    <row r="3" spans="1:16" x14ac:dyDescent="0.3">
      <c r="A3" s="72" t="s">
        <v>150</v>
      </c>
      <c r="B3" s="73" t="s">
        <v>8</v>
      </c>
      <c r="C3" s="73">
        <v>3.6</v>
      </c>
      <c r="D3" s="73">
        <v>3.68</v>
      </c>
      <c r="E3" s="73">
        <v>3.3</v>
      </c>
      <c r="F3" s="73">
        <v>3.85</v>
      </c>
      <c r="G3" s="73" t="s">
        <v>153</v>
      </c>
      <c r="J3" s="159" t="s">
        <v>57</v>
      </c>
      <c r="K3" s="159"/>
      <c r="L3" s="34" t="s">
        <v>58</v>
      </c>
      <c r="M3" s="35" t="s">
        <v>153</v>
      </c>
      <c r="N3" s="35" t="s">
        <v>154</v>
      </c>
      <c r="O3" s="34" t="s">
        <v>59</v>
      </c>
      <c r="P3" s="36"/>
    </row>
    <row r="4" spans="1:16" x14ac:dyDescent="0.3">
      <c r="A4" s="69" t="s">
        <v>151</v>
      </c>
      <c r="B4" s="70" t="s">
        <v>8</v>
      </c>
      <c r="C4" s="70">
        <v>3.05</v>
      </c>
      <c r="D4" s="70">
        <v>3.05</v>
      </c>
      <c r="E4" s="70">
        <v>3.3</v>
      </c>
      <c r="F4" s="70">
        <v>3.4</v>
      </c>
      <c r="G4" s="70" t="s">
        <v>153</v>
      </c>
      <c r="J4" s="171" t="s">
        <v>25</v>
      </c>
      <c r="K4" s="172"/>
      <c r="L4" s="8">
        <f>COUNTA(A2:A21)</f>
        <v>20</v>
      </c>
      <c r="M4" s="8">
        <f>COUNTIF($G$2:$G$21,M3)</f>
        <v>12</v>
      </c>
      <c r="N4" s="8">
        <f>COUNTIF($G$2:$G$21,N3)</f>
        <v>8</v>
      </c>
      <c r="O4" s="8">
        <f>((-M4/L4)*IMLOG2(M4/L4)+(-N4/L4)*IMLOG2(N4/L4))</f>
        <v>0.97095059445466747</v>
      </c>
    </row>
    <row r="5" spans="1:16" x14ac:dyDescent="0.3">
      <c r="A5" s="72" t="s">
        <v>21</v>
      </c>
      <c r="B5" s="73" t="s">
        <v>8</v>
      </c>
      <c r="C5" s="73">
        <v>3.3</v>
      </c>
      <c r="D5" s="73">
        <v>3.42</v>
      </c>
      <c r="E5" s="73">
        <v>3.55</v>
      </c>
      <c r="F5" s="73">
        <v>3.7</v>
      </c>
      <c r="G5" s="73" t="s">
        <v>153</v>
      </c>
    </row>
    <row r="6" spans="1:16" x14ac:dyDescent="0.3">
      <c r="A6" s="69" t="s">
        <v>150</v>
      </c>
      <c r="B6" s="70" t="s">
        <v>8</v>
      </c>
      <c r="C6" s="71">
        <v>3.05</v>
      </c>
      <c r="D6" s="70">
        <v>3.2</v>
      </c>
      <c r="E6" s="70">
        <v>3.2</v>
      </c>
      <c r="F6" s="70">
        <v>3.4</v>
      </c>
      <c r="G6" s="70" t="s">
        <v>153</v>
      </c>
      <c r="J6" s="9" t="s">
        <v>62</v>
      </c>
    </row>
    <row r="7" spans="1:16" x14ac:dyDescent="0.3">
      <c r="A7" s="72" t="s">
        <v>150</v>
      </c>
      <c r="B7" s="73" t="s">
        <v>6</v>
      </c>
      <c r="C7" s="73">
        <v>3.35</v>
      </c>
      <c r="D7" s="73">
        <v>3</v>
      </c>
      <c r="E7" s="73">
        <v>2.85</v>
      </c>
      <c r="F7" s="73">
        <v>3.1</v>
      </c>
      <c r="G7" s="73" t="s">
        <v>153</v>
      </c>
      <c r="J7" s="9" t="s">
        <v>63</v>
      </c>
    </row>
    <row r="8" spans="1:16" x14ac:dyDescent="0.3">
      <c r="A8" s="72" t="s">
        <v>152</v>
      </c>
      <c r="B8" s="70" t="s">
        <v>8</v>
      </c>
      <c r="C8" s="70">
        <v>2.02</v>
      </c>
      <c r="D8" s="70">
        <v>2.0299999999999998</v>
      </c>
      <c r="E8" s="70">
        <v>1.83</v>
      </c>
      <c r="F8" s="70">
        <v>0.85</v>
      </c>
      <c r="G8" s="70" t="s">
        <v>154</v>
      </c>
      <c r="J8" s="169" t="s">
        <v>57</v>
      </c>
      <c r="K8" s="169"/>
      <c r="L8" s="38" t="s">
        <v>58</v>
      </c>
      <c r="M8" s="35" t="s">
        <v>153</v>
      </c>
      <c r="N8" s="35" t="s">
        <v>154</v>
      </c>
      <c r="O8" s="38" t="s">
        <v>59</v>
      </c>
      <c r="P8" s="37" t="s">
        <v>60</v>
      </c>
    </row>
    <row r="9" spans="1:16" x14ac:dyDescent="0.3">
      <c r="A9" s="72" t="s">
        <v>150</v>
      </c>
      <c r="B9" s="73" t="s">
        <v>8</v>
      </c>
      <c r="C9" s="73">
        <v>3.3</v>
      </c>
      <c r="D9" s="73">
        <v>2.79</v>
      </c>
      <c r="E9" s="73">
        <v>3.45</v>
      </c>
      <c r="F9" s="73">
        <v>3.55</v>
      </c>
      <c r="G9" s="73" t="s">
        <v>153</v>
      </c>
      <c r="J9" s="42"/>
      <c r="K9" s="42"/>
      <c r="L9" s="42"/>
      <c r="M9" s="42"/>
      <c r="N9" s="42"/>
      <c r="O9" s="42"/>
      <c r="P9" s="43">
        <f>($O$4)-((($L10/$L$4)*($O10)+($L11/$L$4)*($O11)+($L12/$L$4)*($O12)+($L13/$L$4)*($O13)))</f>
        <v>0.26675794249934914</v>
      </c>
    </row>
    <row r="10" spans="1:16" x14ac:dyDescent="0.3">
      <c r="A10" s="72" t="s">
        <v>152</v>
      </c>
      <c r="B10" s="70" t="s">
        <v>6</v>
      </c>
      <c r="C10" s="71">
        <v>3.05</v>
      </c>
      <c r="D10" s="70">
        <v>2.79</v>
      </c>
      <c r="E10" s="70">
        <v>3</v>
      </c>
      <c r="F10" s="70">
        <v>2.85</v>
      </c>
      <c r="G10" s="70" t="s">
        <v>154</v>
      </c>
      <c r="J10" s="170" t="s">
        <v>148</v>
      </c>
      <c r="K10" s="16" t="s">
        <v>150</v>
      </c>
      <c r="L10" s="40">
        <f>COUNTIF($A$2:$A$21,K10)</f>
        <v>8</v>
      </c>
      <c r="M10" s="40">
        <f>COUNTIFS($A$2:$A$21,$K10,$G$2:$G$21,$M$8)</f>
        <v>7</v>
      </c>
      <c r="N10" s="40">
        <f>COUNTIFS($A$2:$A$21,$K10,$G$2:$G$21,$N$8)</f>
        <v>1</v>
      </c>
      <c r="O10" s="40">
        <f>((-M10/L10)*IMLOG2(M10/L10)+(-N10/L10)*IMLOG2(N10/L10))</f>
        <v>0.54356444319959651</v>
      </c>
      <c r="P10" s="173"/>
    </row>
    <row r="11" spans="1:16" x14ac:dyDescent="0.3">
      <c r="A11" s="72" t="s">
        <v>152</v>
      </c>
      <c r="B11" s="73" t="s">
        <v>6</v>
      </c>
      <c r="C11" s="73">
        <v>3.05</v>
      </c>
      <c r="D11" s="73">
        <v>2.95</v>
      </c>
      <c r="E11" s="73">
        <v>3.45</v>
      </c>
      <c r="F11" s="73">
        <v>3.25</v>
      </c>
      <c r="G11" s="73" t="s">
        <v>154</v>
      </c>
      <c r="J11" s="170"/>
      <c r="K11" s="16" t="s">
        <v>151</v>
      </c>
      <c r="L11" s="40">
        <f t="shared" ref="L11:L13" si="0">COUNTIF($A$2:$A$21,K11)</f>
        <v>4</v>
      </c>
      <c r="M11" s="40">
        <f t="shared" ref="M11:M13" si="1">COUNTIFS($A$2:$A$21,$K11,$G$2:$G$21,$M$8)</f>
        <v>1</v>
      </c>
      <c r="N11" s="40">
        <f t="shared" ref="N11:N13" si="2">COUNTIFS($A$2:$A$21,$K11,$G$2:$G$21,$N$8)</f>
        <v>3</v>
      </c>
      <c r="O11" s="40">
        <f>((-M11/L11)*IMLOG2(M11/L11)+(-N11/L11)*IMLOG2(N11/L11))</f>
        <v>0.81127812445913294</v>
      </c>
      <c r="P11" s="173"/>
    </row>
    <row r="12" spans="1:16" x14ac:dyDescent="0.3">
      <c r="A12" s="69" t="s">
        <v>151</v>
      </c>
      <c r="B12" s="70" t="s">
        <v>8</v>
      </c>
      <c r="C12" s="71">
        <v>2.38</v>
      </c>
      <c r="D12" s="70">
        <v>1.58</v>
      </c>
      <c r="E12" s="70">
        <v>0</v>
      </c>
      <c r="F12" s="70">
        <v>1.43</v>
      </c>
      <c r="G12" s="70" t="s">
        <v>154</v>
      </c>
      <c r="J12" s="170"/>
      <c r="K12" s="16" t="s">
        <v>21</v>
      </c>
      <c r="L12" s="40">
        <f t="shared" si="0"/>
        <v>4</v>
      </c>
      <c r="M12" s="40">
        <f t="shared" si="1"/>
        <v>3</v>
      </c>
      <c r="N12" s="40">
        <f t="shared" si="2"/>
        <v>1</v>
      </c>
      <c r="O12" s="40">
        <f>((-M12/L12)*IMLOG2(M12/L12)+(-N12/L12)*IMLOG2(N12/L12))</f>
        <v>0.81127812445913294</v>
      </c>
      <c r="P12" s="173"/>
    </row>
    <row r="13" spans="1:16" x14ac:dyDescent="0.3">
      <c r="A13" s="72" t="s">
        <v>151</v>
      </c>
      <c r="B13" s="73" t="s">
        <v>8</v>
      </c>
      <c r="C13" s="73">
        <v>2.15</v>
      </c>
      <c r="D13" s="73">
        <v>2.02</v>
      </c>
      <c r="E13" s="73">
        <v>2.0299999999999998</v>
      </c>
      <c r="F13" s="73">
        <v>1.83</v>
      </c>
      <c r="G13" s="73" t="s">
        <v>154</v>
      </c>
      <c r="J13" s="170"/>
      <c r="K13" s="16" t="s">
        <v>152</v>
      </c>
      <c r="L13" s="40">
        <f t="shared" si="0"/>
        <v>4</v>
      </c>
      <c r="M13" s="40">
        <f t="shared" si="1"/>
        <v>1</v>
      </c>
      <c r="N13" s="40">
        <f t="shared" si="2"/>
        <v>3</v>
      </c>
      <c r="O13" s="40">
        <f t="shared" ref="O13" si="3">((-M13/L13)*IMLOG2(M13/L13)+(-N13/L13)*IMLOG2(N13/L13))</f>
        <v>0.81127812445913294</v>
      </c>
      <c r="P13" s="173"/>
    </row>
    <row r="14" spans="1:16" x14ac:dyDescent="0.3">
      <c r="A14" s="69" t="s">
        <v>21</v>
      </c>
      <c r="B14" s="70" t="s">
        <v>6</v>
      </c>
      <c r="C14" s="70">
        <v>3.28</v>
      </c>
      <c r="D14" s="70">
        <v>3.37</v>
      </c>
      <c r="E14" s="70">
        <v>3.54</v>
      </c>
      <c r="F14" s="70">
        <v>3.35</v>
      </c>
      <c r="G14" s="70" t="s">
        <v>153</v>
      </c>
      <c r="J14" s="170" t="s">
        <v>1</v>
      </c>
      <c r="K14" s="44"/>
      <c r="L14" s="44"/>
      <c r="M14" s="44"/>
      <c r="N14" s="44"/>
      <c r="O14" s="44"/>
      <c r="P14" s="41">
        <f>($O$4)-((($L15/$L$4)*($O15)+($L16/$L$4)*($O16)))</f>
        <v>0</v>
      </c>
    </row>
    <row r="15" spans="1:16" x14ac:dyDescent="0.3">
      <c r="A15" s="72" t="s">
        <v>150</v>
      </c>
      <c r="B15" s="73" t="s">
        <v>6</v>
      </c>
      <c r="C15" s="73">
        <v>2.77</v>
      </c>
      <c r="D15" s="73">
        <v>3.05</v>
      </c>
      <c r="E15" s="73">
        <v>3.08</v>
      </c>
      <c r="F15" s="73">
        <v>3.15</v>
      </c>
      <c r="G15" s="73" t="s">
        <v>153</v>
      </c>
      <c r="J15" s="170"/>
      <c r="K15" s="40" t="s">
        <v>8</v>
      </c>
      <c r="L15" s="40">
        <f>COUNTIF($B$2:$B$21,K15)</f>
        <v>10</v>
      </c>
      <c r="M15" s="40">
        <f>COUNTIFS($B$2:$B$21,$K15,$G$2:$G$21,$M$8)</f>
        <v>6</v>
      </c>
      <c r="N15" s="40">
        <f>COUNTIFS($B$2:$B$21,$K15,$G$2:$G$21,$N$8)</f>
        <v>4</v>
      </c>
      <c r="O15" s="40">
        <f t="shared" ref="O15" si="4">((-M15/L15)*IMLOG2(M15/L15)+(-N15/L15)*IMLOG2(N15/L15))</f>
        <v>0.97095059445466747</v>
      </c>
      <c r="P15" s="39"/>
    </row>
    <row r="16" spans="1:16" x14ac:dyDescent="0.3">
      <c r="A16" s="69" t="s">
        <v>151</v>
      </c>
      <c r="B16" s="70" t="s">
        <v>6</v>
      </c>
      <c r="C16" s="71">
        <v>3.28</v>
      </c>
      <c r="D16" s="70">
        <v>2.13</v>
      </c>
      <c r="E16" s="70">
        <v>1.68</v>
      </c>
      <c r="F16" s="74">
        <v>2.87</v>
      </c>
      <c r="G16" s="70" t="s">
        <v>154</v>
      </c>
      <c r="J16" s="170"/>
      <c r="K16" s="40" t="s">
        <v>6</v>
      </c>
      <c r="L16" s="40">
        <f>COUNTIF($B$2:$B$21,K16)</f>
        <v>10</v>
      </c>
      <c r="M16" s="40">
        <f>COUNTIFS($B$2:$B$21,$K16,$G$2:$G$21,$M$8)</f>
        <v>6</v>
      </c>
      <c r="N16" s="40">
        <f>COUNTIFS($B$2:$B$21,$K16,$G$2:$G$21,$N$8)</f>
        <v>4</v>
      </c>
      <c r="O16" s="40">
        <f t="shared" ref="O16" si="5">((-M16/L16)*IMLOG2(M16/L16)+(-N16/L16)*IMLOG2(N16/L16))</f>
        <v>0.97095059445466747</v>
      </c>
      <c r="P16" s="39"/>
    </row>
    <row r="17" spans="1:22" x14ac:dyDescent="0.3">
      <c r="A17" s="72" t="s">
        <v>152</v>
      </c>
      <c r="B17" s="73" t="s">
        <v>8</v>
      </c>
      <c r="C17" s="73">
        <v>3.28</v>
      </c>
      <c r="D17" s="73">
        <v>3.37</v>
      </c>
      <c r="E17" s="73">
        <v>3.54</v>
      </c>
      <c r="F17" s="73">
        <v>3.35</v>
      </c>
      <c r="G17" s="73" t="s">
        <v>153</v>
      </c>
      <c r="J17" s="9" t="s">
        <v>70</v>
      </c>
    </row>
    <row r="18" spans="1:22" x14ac:dyDescent="0.3">
      <c r="A18" s="72" t="s">
        <v>150</v>
      </c>
      <c r="B18" s="70" t="s">
        <v>6</v>
      </c>
      <c r="C18" s="70">
        <v>3.03</v>
      </c>
      <c r="D18" s="70">
        <v>2.71</v>
      </c>
      <c r="E18" s="70">
        <v>2.7</v>
      </c>
      <c r="F18" s="70">
        <v>2.61</v>
      </c>
      <c r="G18" s="70" t="s">
        <v>154</v>
      </c>
      <c r="J18" s="9" t="s">
        <v>71</v>
      </c>
    </row>
    <row r="19" spans="1:22" x14ac:dyDescent="0.3">
      <c r="A19" s="72" t="s">
        <v>21</v>
      </c>
      <c r="B19" s="73" t="s">
        <v>8</v>
      </c>
      <c r="C19" s="73">
        <v>1.1399999999999999</v>
      </c>
      <c r="D19" s="73">
        <v>1.49</v>
      </c>
      <c r="E19" s="73">
        <v>0.87</v>
      </c>
      <c r="F19" s="73">
        <v>1.47</v>
      </c>
      <c r="G19" s="73" t="s">
        <v>154</v>
      </c>
      <c r="J19" s="169" t="s">
        <v>57</v>
      </c>
      <c r="K19" s="169"/>
      <c r="L19" s="38" t="s">
        <v>58</v>
      </c>
      <c r="M19" s="35" t="s">
        <v>153</v>
      </c>
      <c r="N19" s="35" t="s">
        <v>154</v>
      </c>
      <c r="O19" s="38" t="s">
        <v>59</v>
      </c>
      <c r="P19" s="37" t="s">
        <v>60</v>
      </c>
    </row>
    <row r="20" spans="1:22" x14ac:dyDescent="0.3">
      <c r="A20" s="72" t="s">
        <v>21</v>
      </c>
      <c r="B20" s="70" t="s">
        <v>6</v>
      </c>
      <c r="C20" s="71">
        <v>3.04</v>
      </c>
      <c r="D20" s="70">
        <v>2.21</v>
      </c>
      <c r="E20" s="70">
        <v>2.12</v>
      </c>
      <c r="F20" s="70">
        <v>2.86</v>
      </c>
      <c r="G20" s="70" t="s">
        <v>153</v>
      </c>
      <c r="J20" s="170" t="s">
        <v>159</v>
      </c>
      <c r="K20" s="44"/>
      <c r="L20" s="44"/>
      <c r="M20" s="44"/>
      <c r="N20" s="44"/>
      <c r="O20" s="44"/>
      <c r="P20" s="41">
        <f>($O$4)-((($L21/$L$4)*($O21)+($L22/$L$4)*($O22)))</f>
        <v>0.16298801427695153</v>
      </c>
    </row>
    <row r="21" spans="1:22" x14ac:dyDescent="0.3">
      <c r="A21" s="72" t="s">
        <v>150</v>
      </c>
      <c r="B21" s="73" t="s">
        <v>6</v>
      </c>
      <c r="C21" s="73">
        <v>3.13</v>
      </c>
      <c r="D21" s="73">
        <v>3.26</v>
      </c>
      <c r="E21" s="73">
        <v>3.36</v>
      </c>
      <c r="F21" s="73">
        <v>3.53</v>
      </c>
      <c r="G21" s="73" t="s">
        <v>153</v>
      </c>
      <c r="J21" s="170"/>
      <c r="K21" s="39" t="s">
        <v>65</v>
      </c>
      <c r="L21" s="39">
        <f>COUNTIF($C$2:$C$21,$K21)</f>
        <v>5</v>
      </c>
      <c r="M21" s="39">
        <f>COUNTIFS($C$2:$C$21,$K21,$G$2:$G$21,$M$19)</f>
        <v>1</v>
      </c>
      <c r="N21" s="39">
        <f>COUNTIFS($C$2:$C$21,$K21,$G$2:$G$21,$N$19)</f>
        <v>4</v>
      </c>
      <c r="O21" s="39">
        <f>((-M21/L21)*IMLOG2(M21/L21)+(-N21/L21)*IMLOG2(N21/L21))</f>
        <v>0.72192809488736165</v>
      </c>
      <c r="P21" s="39"/>
      <c r="R21" s="9" t="s">
        <v>84</v>
      </c>
    </row>
    <row r="22" spans="1:22" x14ac:dyDescent="0.3">
      <c r="B22" s="8"/>
      <c r="C22" s="47" t="s">
        <v>159</v>
      </c>
      <c r="D22" s="47" t="s">
        <v>160</v>
      </c>
      <c r="E22" s="47" t="s">
        <v>165</v>
      </c>
      <c r="F22" s="47" t="s">
        <v>166</v>
      </c>
      <c r="J22" s="170"/>
      <c r="K22" s="39" t="s">
        <v>66</v>
      </c>
      <c r="L22" s="39">
        <f t="shared" ref="L22" si="6">COUNTIF($C$2:$C$21,$K22)</f>
        <v>15</v>
      </c>
      <c r="M22" s="39">
        <f t="shared" ref="M22" si="7">COUNTIFS($C$2:$C$21,$K22,$G$2:$G$21,$M$19)</f>
        <v>11</v>
      </c>
      <c r="N22" s="39">
        <f t="shared" ref="N22" si="8">COUNTIFS($C$2:$C$21,$K22,$G$2:$G$21,$N$19)</f>
        <v>4</v>
      </c>
      <c r="O22" s="39">
        <f t="shared" ref="O22" si="9">((-M22/L22)*IMLOG2(M22/L22)+(-N22/L22)*IMLOG2(N22/L22))</f>
        <v>0.83664074194116733</v>
      </c>
      <c r="P22" s="39"/>
    </row>
    <row r="23" spans="1:22" x14ac:dyDescent="0.3">
      <c r="B23" s="76" t="s">
        <v>64</v>
      </c>
      <c r="C23" s="77">
        <f>AVERAGE(C2:C21)</f>
        <v>2.9425000000000008</v>
      </c>
      <c r="D23" s="77">
        <f t="shared" ref="D23:F23" si="10">AVERAGE(D2:D21)</f>
        <v>2.7839999999999998</v>
      </c>
      <c r="E23" s="77">
        <f t="shared" si="10"/>
        <v>2.6949999999999994</v>
      </c>
      <c r="F23" s="77">
        <f t="shared" si="10"/>
        <v>2.9050000000000002</v>
      </c>
      <c r="J23" s="170"/>
      <c r="K23" s="39"/>
      <c r="L23" s="39"/>
      <c r="M23" s="39"/>
      <c r="N23" s="39"/>
      <c r="O23" s="39"/>
      <c r="P23" s="41">
        <f>($O$4)-((($L24/$L$4)*($O24)+($L25/$L$4)*($O25)))</f>
        <v>0.22437117627527448</v>
      </c>
      <c r="R23" s="50" t="s">
        <v>85</v>
      </c>
      <c r="S23" s="50">
        <f>MAX(P9,P14,P23,P32,P38,P47)</f>
        <v>0.60998654701098665</v>
      </c>
      <c r="T23" s="48" t="s">
        <v>160</v>
      </c>
      <c r="U23" s="51" t="s">
        <v>153</v>
      </c>
      <c r="V23" s="51" t="s">
        <v>154</v>
      </c>
    </row>
    <row r="24" spans="1:22" x14ac:dyDescent="0.3">
      <c r="B24" s="62" t="s">
        <v>67</v>
      </c>
      <c r="C24" s="78">
        <f>MEDIAN(C2:C21)</f>
        <v>3.05</v>
      </c>
      <c r="D24" s="78">
        <f t="shared" ref="D24:F24" si="11">MEDIAN(D2:D21)</f>
        <v>2.9750000000000001</v>
      </c>
      <c r="E24" s="78">
        <f t="shared" si="11"/>
        <v>3.0649999999999999</v>
      </c>
      <c r="F24" s="78">
        <f t="shared" si="11"/>
        <v>3.2</v>
      </c>
      <c r="J24" s="170"/>
      <c r="K24" s="40" t="s">
        <v>68</v>
      </c>
      <c r="L24" s="40">
        <f>COUNTIF($C$2:$C$21,$K24)</f>
        <v>11</v>
      </c>
      <c r="M24" s="40">
        <f>COUNTIFS($C$2:$C$21,$K24,$G$2:$G$21,$M$19)</f>
        <v>4</v>
      </c>
      <c r="N24" s="40">
        <f>COUNTIFS($C$2:$C$21,$K24,$G$2:$G$21,$N$19)</f>
        <v>7</v>
      </c>
      <c r="O24" s="40">
        <f>((-M24/L24)*IMLOG2(M24/L24)+(-N24/L24)*IMLOG2(N24/L24))</f>
        <v>0.9456603046006411</v>
      </c>
      <c r="P24" s="39"/>
      <c r="T24" s="40" t="s">
        <v>74</v>
      </c>
      <c r="U24">
        <v>2</v>
      </c>
      <c r="V24">
        <v>8</v>
      </c>
    </row>
    <row r="25" spans="1:22" x14ac:dyDescent="0.3">
      <c r="B25" s="9"/>
      <c r="J25" s="170"/>
      <c r="K25" s="40" t="s">
        <v>69</v>
      </c>
      <c r="L25" s="40">
        <f>COUNTIF($C$2:$C$21,$K25)</f>
        <v>9</v>
      </c>
      <c r="M25" s="40">
        <f>COUNTIFS($C$2:$C$21,$K25,$G$2:$G$21,$M$19)</f>
        <v>8</v>
      </c>
      <c r="N25" s="40">
        <f>COUNTIFS($C$2:$C$21,$K25,$G$2:$G$21,$N$19)</f>
        <v>1</v>
      </c>
      <c r="O25" s="40">
        <f>((-M25/L25)*IMLOG2(M25/L25)+(-N25/L25)*IMLOG2(N25/L25))</f>
        <v>0.50325833477564508</v>
      </c>
      <c r="P25" s="39"/>
      <c r="T25" s="40" t="s">
        <v>75</v>
      </c>
      <c r="U25">
        <v>10</v>
      </c>
      <c r="V25">
        <v>0</v>
      </c>
    </row>
    <row r="26" spans="1:22" x14ac:dyDescent="0.3">
      <c r="J26" s="170"/>
      <c r="K26" s="39"/>
      <c r="L26" s="39"/>
      <c r="M26" s="39"/>
      <c r="N26" s="39"/>
      <c r="O26" s="39"/>
      <c r="P26" s="39"/>
    </row>
    <row r="27" spans="1:22" x14ac:dyDescent="0.3">
      <c r="R27" s="9" t="s">
        <v>86</v>
      </c>
    </row>
    <row r="28" spans="1:22" x14ac:dyDescent="0.3">
      <c r="J28" s="169" t="s">
        <v>57</v>
      </c>
      <c r="K28" s="169"/>
      <c r="L28" s="38" t="s">
        <v>58</v>
      </c>
      <c r="M28" s="35" t="s">
        <v>153</v>
      </c>
      <c r="N28" s="35" t="s">
        <v>154</v>
      </c>
      <c r="O28" s="38" t="s">
        <v>59</v>
      </c>
      <c r="P28" s="37" t="s">
        <v>60</v>
      </c>
    </row>
    <row r="29" spans="1:22" x14ac:dyDescent="0.3">
      <c r="A29" s="165" t="s">
        <v>117</v>
      </c>
      <c r="B29" s="165"/>
      <c r="C29" s="165"/>
      <c r="D29" s="165"/>
      <c r="E29" s="165"/>
      <c r="F29" s="165"/>
      <c r="G29" s="165"/>
      <c r="J29" s="170" t="s">
        <v>160</v>
      </c>
      <c r="K29" s="44"/>
      <c r="L29" s="44"/>
      <c r="M29" s="44"/>
      <c r="N29" s="44"/>
      <c r="O29" s="44"/>
      <c r="P29" s="41">
        <f>($O$4)-((($L30/$L$4)*($O30)+($L31/$L$4)*($O31)))</f>
        <v>0.36126669540965684</v>
      </c>
    </row>
    <row r="30" spans="1:22" x14ac:dyDescent="0.3">
      <c r="A30" s="4" t="s">
        <v>148</v>
      </c>
      <c r="B30" s="4" t="s">
        <v>1</v>
      </c>
      <c r="C30" s="5" t="s">
        <v>159</v>
      </c>
      <c r="D30" s="5" t="s">
        <v>160</v>
      </c>
      <c r="E30" s="5" t="s">
        <v>165</v>
      </c>
      <c r="F30" s="5" t="s">
        <v>166</v>
      </c>
      <c r="G30" s="5" t="s">
        <v>146</v>
      </c>
      <c r="H30" s="54" t="s">
        <v>118</v>
      </c>
      <c r="J30" s="170"/>
      <c r="K30" s="39" t="s">
        <v>72</v>
      </c>
      <c r="L30" s="39">
        <f>COUNTIF($D$2:$D$21,$K30)</f>
        <v>7</v>
      </c>
      <c r="M30" s="39">
        <f>COUNTIFS($D$2:$D$21,$K30,$G$2:$G$21,$M$19)</f>
        <v>1</v>
      </c>
      <c r="N30" s="39">
        <f>COUNTIFS($D$2:$D$21,$K30,$G$2:$G$21,$N$19)</f>
        <v>6</v>
      </c>
      <c r="O30" s="39">
        <f>((-M30/L30)*IMLOG2(M30/L30)+(-N30/L30)*IMLOG2(N30/L30))</f>
        <v>0.59167277858232681</v>
      </c>
      <c r="P30" s="39"/>
    </row>
    <row r="31" spans="1:22" x14ac:dyDescent="0.3">
      <c r="A31" s="72" t="s">
        <v>21</v>
      </c>
      <c r="B31" s="73" t="s">
        <v>8</v>
      </c>
      <c r="C31" s="73">
        <v>3.05</v>
      </c>
      <c r="D31" s="73">
        <v>1.99</v>
      </c>
      <c r="E31" s="73">
        <v>2.46</v>
      </c>
      <c r="F31" s="73">
        <v>0.94</v>
      </c>
      <c r="G31" s="73" t="s">
        <v>154</v>
      </c>
      <c r="H31" s="57" t="str">
        <f>IF(D31&gt;2.98,"Lulus","Tidak Lulus")</f>
        <v>Tidak Lulus</v>
      </c>
      <c r="J31" s="170"/>
      <c r="K31" s="39" t="s">
        <v>73</v>
      </c>
      <c r="L31" s="39">
        <f>COUNTIF($D$2:$D$21,$K31)</f>
        <v>13</v>
      </c>
      <c r="M31" s="39">
        <f>COUNTIFS($D$2:$D$21,$K31,$G$2:$G$21,$M$19)</f>
        <v>11</v>
      </c>
      <c r="N31" s="39">
        <f>COUNTIFS($D$2:$D$21,$K31,$G$2:$G$21,$N$19)</f>
        <v>2</v>
      </c>
      <c r="O31" s="39">
        <f t="shared" ref="O31" si="12">((-M31/L31)*IMLOG2(M31/L31)+(-N31/L31)*IMLOG2(N31/L31))</f>
        <v>0.61938219467876343</v>
      </c>
      <c r="P31" s="39"/>
    </row>
    <row r="32" spans="1:22" x14ac:dyDescent="0.3">
      <c r="A32" s="72" t="s">
        <v>21</v>
      </c>
      <c r="B32" s="70" t="s">
        <v>6</v>
      </c>
      <c r="C32" s="71">
        <v>3.04</v>
      </c>
      <c r="D32" s="70">
        <v>2.21</v>
      </c>
      <c r="E32" s="70">
        <v>2.12</v>
      </c>
      <c r="F32" s="70">
        <v>2.86</v>
      </c>
      <c r="G32" s="70" t="s">
        <v>153</v>
      </c>
      <c r="H32" s="57" t="str">
        <f>IF(D32&gt;2.98,"Lulus","Tidak Lulus")</f>
        <v>Tidak Lulus</v>
      </c>
      <c r="J32" s="170"/>
      <c r="K32" s="39"/>
      <c r="L32" s="39"/>
      <c r="M32" s="39"/>
      <c r="N32" s="39"/>
      <c r="O32" s="39"/>
      <c r="P32" s="41">
        <f>($O$4)-((($L33/$L$4)*($O33)+($L34/$L$4)*($O34)))</f>
        <v>0.60998654701098665</v>
      </c>
    </row>
    <row r="33" spans="1:18" x14ac:dyDescent="0.3">
      <c r="A33" s="69" t="s">
        <v>151</v>
      </c>
      <c r="B33" s="70" t="s">
        <v>8</v>
      </c>
      <c r="C33" s="71">
        <v>2.14</v>
      </c>
      <c r="D33" s="70">
        <v>2.15</v>
      </c>
      <c r="E33" s="70">
        <v>2.59</v>
      </c>
      <c r="F33" s="70">
        <v>2.57</v>
      </c>
      <c r="G33" s="70" t="s">
        <v>154</v>
      </c>
      <c r="H33" s="57" t="str">
        <f>IF(D33&gt;2.98,"Lulus","Tidak Lulus")</f>
        <v>Tidak Lulus</v>
      </c>
      <c r="J33" s="170"/>
      <c r="K33" s="40" t="s">
        <v>74</v>
      </c>
      <c r="L33" s="40">
        <f>COUNTIF($D$2:$D$21,$K33)</f>
        <v>10</v>
      </c>
      <c r="M33" s="40">
        <f>COUNTIFS($D$2:$D$21,$K33,$G$2:$G$21,$M$19)</f>
        <v>2</v>
      </c>
      <c r="N33" s="40">
        <f>COUNTIFS($D$2:$D$21,$K33,$G$2:$G$21,$N$19)</f>
        <v>8</v>
      </c>
      <c r="O33" s="40">
        <f>((-M33/L33)*IMLOG2(M33/L33)+(-N33/L33)*IMLOG2(N33/L33))</f>
        <v>0.72192809488736165</v>
      </c>
      <c r="P33" s="39"/>
    </row>
    <row r="34" spans="1:18" x14ac:dyDescent="0.3">
      <c r="A34" s="72" t="s">
        <v>150</v>
      </c>
      <c r="B34" s="73" t="s">
        <v>6</v>
      </c>
      <c r="C34" s="73">
        <v>3.35</v>
      </c>
      <c r="D34" s="73">
        <v>3</v>
      </c>
      <c r="E34" s="73">
        <v>2.85</v>
      </c>
      <c r="F34" s="73">
        <v>3.1</v>
      </c>
      <c r="G34" s="73" t="s">
        <v>153</v>
      </c>
      <c r="H34" s="57" t="str">
        <f>IF(D34&gt;2.98,"Lulus","Tidak Lulus")</f>
        <v>Lulus</v>
      </c>
      <c r="J34" s="170"/>
      <c r="K34" s="40" t="s">
        <v>75</v>
      </c>
      <c r="L34" s="40">
        <f>COUNTIF($D$2:$D$21,$K34)</f>
        <v>10</v>
      </c>
      <c r="M34" s="40">
        <f>COUNTIFS($D$2:$D$21,$K34,$G$2:$G$21,$M$19)</f>
        <v>10</v>
      </c>
      <c r="N34" s="40">
        <f>COUNTIFS($D$2:$D$21,$K34,$G$2:$G$21,$N$19)</f>
        <v>0</v>
      </c>
      <c r="O34" s="40">
        <v>0</v>
      </c>
      <c r="P34" s="39"/>
    </row>
    <row r="35" spans="1:18" x14ac:dyDescent="0.3">
      <c r="A35" s="72" t="s">
        <v>152</v>
      </c>
      <c r="B35" s="70" t="s">
        <v>8</v>
      </c>
      <c r="C35" s="70">
        <v>1.4</v>
      </c>
      <c r="D35" s="70">
        <v>2.39</v>
      </c>
      <c r="E35" s="70">
        <v>2.5099999999999998</v>
      </c>
      <c r="F35" s="70">
        <v>3.56</v>
      </c>
      <c r="G35" s="70" t="s">
        <v>154</v>
      </c>
      <c r="H35" s="57" t="str">
        <f>IF(D35&gt;2.98,"Lulus","Tidak Lulus")</f>
        <v>Tidak Lulus</v>
      </c>
      <c r="J35" s="170"/>
      <c r="K35" s="39"/>
      <c r="L35" s="39"/>
      <c r="M35" s="39"/>
      <c r="N35" s="39"/>
      <c r="O35" s="39"/>
      <c r="P35" s="39"/>
    </row>
    <row r="36" spans="1:18" x14ac:dyDescent="0.3">
      <c r="A36" s="72" t="s">
        <v>150</v>
      </c>
      <c r="B36" s="73" t="s">
        <v>8</v>
      </c>
      <c r="C36" s="73">
        <v>2.56</v>
      </c>
      <c r="D36" s="73">
        <v>2.5</v>
      </c>
      <c r="E36" s="73">
        <v>0.64</v>
      </c>
      <c r="F36" s="73">
        <v>1.66</v>
      </c>
      <c r="G36" s="73" t="s">
        <v>153</v>
      </c>
      <c r="H36" s="57" t="str">
        <f t="shared" ref="H36" si="13">IF(D36&gt;2.98,"Lulus","Tidak Lulus")</f>
        <v>Tidak Lulus</v>
      </c>
    </row>
    <row r="37" spans="1:18" x14ac:dyDescent="0.3">
      <c r="J37" s="169" t="s">
        <v>57</v>
      </c>
      <c r="K37" s="169"/>
      <c r="L37" s="38" t="s">
        <v>58</v>
      </c>
      <c r="M37" s="35" t="s">
        <v>153</v>
      </c>
      <c r="N37" s="35" t="s">
        <v>154</v>
      </c>
      <c r="O37" s="38" t="s">
        <v>59</v>
      </c>
      <c r="P37" s="37" t="s">
        <v>60</v>
      </c>
    </row>
    <row r="38" spans="1:18" x14ac:dyDescent="0.3">
      <c r="J38" s="170" t="s">
        <v>165</v>
      </c>
      <c r="K38" s="44"/>
      <c r="L38" s="44"/>
      <c r="M38" s="44"/>
      <c r="N38" s="44"/>
      <c r="O38" s="44"/>
      <c r="P38" s="41">
        <f>($O$4)-((($L39/$L$4)*($O39)+($L40/$L$4)*($O40)))</f>
        <v>0.36126669540965684</v>
      </c>
      <c r="R38" t="s">
        <v>87</v>
      </c>
    </row>
    <row r="39" spans="1:18" x14ac:dyDescent="0.3">
      <c r="J39" s="170"/>
      <c r="K39" s="40" t="s">
        <v>76</v>
      </c>
      <c r="L39" s="40">
        <f>COUNTIF($E$2:$E$21,$K39)</f>
        <v>7</v>
      </c>
      <c r="M39" s="40">
        <f>COUNTIFS($E$2:$E$21,$K39,$G$2:$G$21,$M$19)</f>
        <v>1</v>
      </c>
      <c r="N39" s="40">
        <f>COUNTIFS($E$2:$E$21,$K39,$G$2:$G$21,$N$19)</f>
        <v>6</v>
      </c>
      <c r="O39" s="40">
        <f>((-M39/L39)*IMLOG2(M39/L39)+(-N39/L39)*IMLOG2(N39/L39))</f>
        <v>0.59167277858232681</v>
      </c>
      <c r="P39" s="39"/>
    </row>
    <row r="40" spans="1:18" x14ac:dyDescent="0.3">
      <c r="A40" s="166" t="s">
        <v>42</v>
      </c>
      <c r="B40" s="166"/>
      <c r="C40" s="166"/>
      <c r="J40" s="170"/>
      <c r="K40" s="40" t="s">
        <v>77</v>
      </c>
      <c r="L40" s="40">
        <f>COUNTIF($E$2:$E$21,$K40)</f>
        <v>13</v>
      </c>
      <c r="M40" s="40">
        <f>COUNTIFS($E$2:$E$21,$K40,$G$2:$G$21,$M$19)</f>
        <v>11</v>
      </c>
      <c r="N40" s="40">
        <f>COUNTIFS($E$2:$E$21,$K40,$G$2:$G$21,$N$19)</f>
        <v>2</v>
      </c>
      <c r="O40" s="40">
        <f t="shared" ref="O40" si="14">((-M40/L40)*IMLOG2(M40/L40)+(-N40/L40)*IMLOG2(N40/L40))</f>
        <v>0.61938219467876343</v>
      </c>
      <c r="P40" s="39"/>
      <c r="R40" s="9" t="s">
        <v>88</v>
      </c>
    </row>
    <row r="41" spans="1:18" x14ac:dyDescent="0.3">
      <c r="A41" s="8"/>
      <c r="B41" s="167" t="s">
        <v>43</v>
      </c>
      <c r="C41" s="167"/>
      <c r="E41" s="166" t="s">
        <v>55</v>
      </c>
      <c r="F41" s="166"/>
      <c r="G41" s="166"/>
      <c r="J41" s="170"/>
      <c r="K41" s="39"/>
      <c r="L41" s="39"/>
      <c r="M41" s="39"/>
      <c r="N41" s="39"/>
      <c r="O41" s="39"/>
      <c r="P41" s="41">
        <f>($O$4)-((($L42/$L$4)*($O42)+($L43/$L$4)*($O43)))</f>
        <v>0.29580734804468012</v>
      </c>
      <c r="R41" t="s">
        <v>172</v>
      </c>
    </row>
    <row r="42" spans="1:18" x14ac:dyDescent="0.3">
      <c r="A42" s="27" t="s">
        <v>44</v>
      </c>
      <c r="B42" s="28" t="s">
        <v>153</v>
      </c>
      <c r="C42" s="28" t="s">
        <v>154</v>
      </c>
      <c r="E42" s="33" t="s">
        <v>54</v>
      </c>
      <c r="F42" s="33" t="s">
        <v>46</v>
      </c>
      <c r="G42" s="33" t="s">
        <v>53</v>
      </c>
      <c r="J42" s="170"/>
      <c r="K42" s="39" t="s">
        <v>78</v>
      </c>
      <c r="L42" s="39">
        <f>COUNTIF($E$2:$E$21,$K42)</f>
        <v>10</v>
      </c>
      <c r="M42" s="39">
        <f>COUNTIFS($E$2:$E$21,$K42,$G$2:$G$21,$M$19)</f>
        <v>3</v>
      </c>
      <c r="N42" s="39">
        <f>COUNTIFS($E$2:$E$21,$K42,$G$2:$G$21,$N$19)</f>
        <v>7</v>
      </c>
      <c r="O42" s="39">
        <f>((-M42/L42)*IMLOG2(M42/L42)+(-N42/L42)*IMLOG2(N42/L42))</f>
        <v>0.88129089923069359</v>
      </c>
      <c r="P42" s="39"/>
      <c r="R42" t="s">
        <v>173</v>
      </c>
    </row>
    <row r="43" spans="1:18" x14ac:dyDescent="0.3">
      <c r="A43" s="28" t="s">
        <v>153</v>
      </c>
      <c r="B43" s="29">
        <f>COUNTIFS($G$31:$G$36,$A43,$H$31:$H$36,$B$42)</f>
        <v>1</v>
      </c>
      <c r="C43" s="29">
        <f>COUNTIFS($G$31:$G$36,$A43,$H$31:$H$36,$C$42)</f>
        <v>2</v>
      </c>
      <c r="E43" s="16" t="s">
        <v>45</v>
      </c>
      <c r="F43" s="8" t="s">
        <v>56</v>
      </c>
      <c r="G43" s="8">
        <f>(B43+C44)/SUM(B43:C44)</f>
        <v>0.66666666666666663</v>
      </c>
      <c r="J43" s="170"/>
      <c r="K43" s="39" t="s">
        <v>79</v>
      </c>
      <c r="L43" s="39">
        <f>COUNTIF($E$2:$E$21,$K43)</f>
        <v>10</v>
      </c>
      <c r="M43" s="39">
        <f>COUNTIFS($E$2:$E$21,$K43,$G$2:$G$21,$M$19)</f>
        <v>9</v>
      </c>
      <c r="N43" s="39">
        <f>COUNTIFS($E$2:$E$21,$K43,$G$2:$G$21,$N$19)</f>
        <v>1</v>
      </c>
      <c r="O43" s="39">
        <f>((-M43/L43)*IMLOG2(M43/L43)+(-N43/L43)*IMLOG2(N43/L43))</f>
        <v>0.468995593589281</v>
      </c>
      <c r="P43" s="39"/>
    </row>
    <row r="44" spans="1:18" x14ac:dyDescent="0.3">
      <c r="A44" s="28" t="s">
        <v>154</v>
      </c>
      <c r="B44" s="29">
        <f>COUNTIFS($G$31:$G$36,$A44,$H$31:$H$36,$B$42)</f>
        <v>0</v>
      </c>
      <c r="C44" s="29">
        <f>COUNTIFS($G$31:$G$36,$A44,$H$31:$H$36,$C$42)</f>
        <v>3</v>
      </c>
      <c r="E44" s="16" t="s">
        <v>47</v>
      </c>
      <c r="F44" s="8" t="s">
        <v>49</v>
      </c>
      <c r="G44" s="8">
        <f>B43/(B43+C43)</f>
        <v>0.33333333333333331</v>
      </c>
      <c r="J44" s="170"/>
      <c r="K44" s="39"/>
      <c r="L44" s="39"/>
      <c r="M44" s="39"/>
      <c r="N44" s="39"/>
      <c r="O44" s="39"/>
      <c r="P44" s="39"/>
      <c r="R44" s="9" t="s">
        <v>89</v>
      </c>
    </row>
    <row r="45" spans="1:18" x14ac:dyDescent="0.3">
      <c r="E45" s="16" t="s">
        <v>48</v>
      </c>
      <c r="F45" s="8" t="s">
        <v>251</v>
      </c>
      <c r="G45" s="8">
        <f>B43/(B43+B44)</f>
        <v>1</v>
      </c>
      <c r="R45" s="79" t="s">
        <v>174</v>
      </c>
    </row>
    <row r="46" spans="1:18" x14ac:dyDescent="0.3">
      <c r="J46" s="169" t="s">
        <v>57</v>
      </c>
      <c r="K46" s="169"/>
      <c r="L46" s="38" t="s">
        <v>58</v>
      </c>
      <c r="M46" s="35" t="s">
        <v>153</v>
      </c>
      <c r="N46" s="35" t="s">
        <v>154</v>
      </c>
      <c r="O46" s="38" t="s">
        <v>59</v>
      </c>
      <c r="P46" s="37" t="s">
        <v>60</v>
      </c>
      <c r="R46" t="s">
        <v>175</v>
      </c>
    </row>
    <row r="47" spans="1:18" x14ac:dyDescent="0.3">
      <c r="E47" t="s">
        <v>161</v>
      </c>
      <c r="J47" s="170" t="s">
        <v>166</v>
      </c>
      <c r="K47" s="44"/>
      <c r="L47" s="44"/>
      <c r="M47" s="44"/>
      <c r="N47" s="44"/>
      <c r="O47" s="44"/>
      <c r="P47" s="41">
        <f>($O$4)-((($L48/$L$4)*($O48)+($L49/$L$4)*($O49)))</f>
        <v>0.50523470699264839</v>
      </c>
    </row>
    <row r="48" spans="1:18" x14ac:dyDescent="0.3">
      <c r="E48" t="s">
        <v>162</v>
      </c>
      <c r="J48" s="170"/>
      <c r="K48" s="40" t="s">
        <v>80</v>
      </c>
      <c r="L48" s="40">
        <f>COUNTIF($F$2:$F$21,$K48)</f>
        <v>8</v>
      </c>
      <c r="M48" s="40">
        <f>COUNTIFS($F$2:$F$21,$K48,$G$2:$G$21,$M$19)</f>
        <v>1</v>
      </c>
      <c r="N48" s="40">
        <f>COUNTIFS($F$2:$F$21,$K48,$G$2:$G$21,$N$19)</f>
        <v>7</v>
      </c>
      <c r="O48" s="40">
        <f>((-M48/L48)*IMLOG2(M48/L48)+(-N48/L48)*IMLOG2(N48/L48))</f>
        <v>0.54356444319959651</v>
      </c>
      <c r="P48" s="39"/>
      <c r="R48" s="9" t="s">
        <v>90</v>
      </c>
    </row>
    <row r="49" spans="5:18" x14ac:dyDescent="0.3">
      <c r="E49" t="s">
        <v>163</v>
      </c>
      <c r="J49" s="170"/>
      <c r="K49" s="40" t="s">
        <v>81</v>
      </c>
      <c r="L49" s="40">
        <f>COUNTIF($F$2:$F$21,$K49)</f>
        <v>12</v>
      </c>
      <c r="M49" s="40">
        <f>COUNTIFS($F$2:$F$21,$K49,$G$2:$G$21,$M$19)</f>
        <v>11</v>
      </c>
      <c r="N49" s="40">
        <f>COUNTIFS($F$2:$F$21,$K49,$G$2:$G$21,$N$19)</f>
        <v>1</v>
      </c>
      <c r="O49" s="40">
        <f t="shared" ref="O49" si="15">((-M49/L49)*IMLOG2(M49/L49)+(-N49/L49)*IMLOG2(N49/L49))</f>
        <v>0.41381685030363408</v>
      </c>
      <c r="P49" s="39"/>
      <c r="R49" t="s">
        <v>91</v>
      </c>
    </row>
    <row r="50" spans="5:18" x14ac:dyDescent="0.3">
      <c r="E50" t="s">
        <v>164</v>
      </c>
      <c r="J50" s="170"/>
      <c r="K50" s="39"/>
      <c r="L50" s="39"/>
      <c r="M50" s="39"/>
      <c r="N50" s="39"/>
      <c r="O50" s="39"/>
      <c r="P50" s="41">
        <f>($O$4)-((($L51/$L$4)*($O51)+($L52/$L$4)*($O52)))</f>
        <v>0.29580734804468012</v>
      </c>
      <c r="R50" t="s">
        <v>92</v>
      </c>
    </row>
    <row r="51" spans="5:18" x14ac:dyDescent="0.3">
      <c r="J51" s="170"/>
      <c r="K51" s="39" t="s">
        <v>82</v>
      </c>
      <c r="L51" s="39">
        <f>COUNTIF($F$2:$F$21,$K51)</f>
        <v>10</v>
      </c>
      <c r="M51" s="39">
        <f>COUNTIFS($F$2:$F$21,$K51,$G$2:$G$21,$M$19)</f>
        <v>3</v>
      </c>
      <c r="N51" s="39">
        <f>COUNTIFS($F$2:$F$21,$K51,$G$2:$G$21,$N$19)</f>
        <v>7</v>
      </c>
      <c r="O51" s="39">
        <f>((-M51/L51)*IMLOG2(M51/L51)+(-N51/L51)*IMLOG2(N51/L51))</f>
        <v>0.88129089923069359</v>
      </c>
      <c r="P51" s="39"/>
    </row>
    <row r="52" spans="5:18" x14ac:dyDescent="0.3">
      <c r="J52" s="170"/>
      <c r="K52" s="39" t="s">
        <v>83</v>
      </c>
      <c r="L52" s="39">
        <f>COUNTIF($F$2:$F$21,$K52)</f>
        <v>10</v>
      </c>
      <c r="M52" s="39">
        <f>COUNTIFS($F$2:$F$21,$K52,$G$2:$G$21,$M$19)</f>
        <v>9</v>
      </c>
      <c r="N52" s="39">
        <f>COUNTIFS($F$2:$F$21,$K52,$G$2:$G$21,$N$19)</f>
        <v>1</v>
      </c>
      <c r="O52" s="39">
        <f>((-M52/L52)*IMLOG2(M52/L52)+(-N52/L52)*IMLOG2(N52/L52))</f>
        <v>0.468995593589281</v>
      </c>
      <c r="P52" s="39"/>
    </row>
    <row r="53" spans="5:18" x14ac:dyDescent="0.3">
      <c r="J53" s="170"/>
      <c r="K53" s="39"/>
      <c r="L53" s="39"/>
      <c r="M53" s="39"/>
      <c r="N53" s="39"/>
      <c r="O53" s="39"/>
      <c r="P53" s="39"/>
    </row>
    <row r="67" spans="11:25" x14ac:dyDescent="0.3">
      <c r="R67" s="9" t="s">
        <v>168</v>
      </c>
    </row>
    <row r="68" spans="11:25" x14ac:dyDescent="0.3">
      <c r="R68" t="s">
        <v>167</v>
      </c>
    </row>
    <row r="69" spans="11:25" x14ac:dyDescent="0.3">
      <c r="R69" t="s">
        <v>93</v>
      </c>
    </row>
    <row r="72" spans="11:25" x14ac:dyDescent="0.3">
      <c r="W72" t="s">
        <v>94</v>
      </c>
    </row>
    <row r="74" spans="11:25" x14ac:dyDescent="0.3">
      <c r="W74" s="76" t="s">
        <v>160</v>
      </c>
      <c r="X74" s="35" t="s">
        <v>153</v>
      </c>
      <c r="Y74" s="35" t="s">
        <v>154</v>
      </c>
    </row>
    <row r="75" spans="11:25" x14ac:dyDescent="0.3">
      <c r="W75" s="16" t="s">
        <v>74</v>
      </c>
      <c r="X75" s="8">
        <v>2</v>
      </c>
      <c r="Y75" s="8">
        <v>8</v>
      </c>
    </row>
    <row r="76" spans="11:25" x14ac:dyDescent="0.3">
      <c r="W76" s="16" t="s">
        <v>75</v>
      </c>
      <c r="X76" s="8">
        <v>10</v>
      </c>
      <c r="Y76" s="8">
        <v>0</v>
      </c>
    </row>
    <row r="80" spans="11:25" x14ac:dyDescent="0.3">
      <c r="K80" s="67" t="s">
        <v>148</v>
      </c>
      <c r="L80" s="67" t="s">
        <v>1</v>
      </c>
      <c r="M80" s="68" t="s">
        <v>159</v>
      </c>
      <c r="N80" s="68" t="s">
        <v>160</v>
      </c>
      <c r="O80" s="68" t="s">
        <v>165</v>
      </c>
      <c r="P80" s="68" t="s">
        <v>166</v>
      </c>
      <c r="Q80" s="68" t="s">
        <v>146</v>
      </c>
      <c r="S80" t="s">
        <v>171</v>
      </c>
    </row>
    <row r="81" spans="11:31" x14ac:dyDescent="0.3">
      <c r="K81" s="7" t="s">
        <v>152</v>
      </c>
      <c r="L81" s="1" t="s">
        <v>8</v>
      </c>
      <c r="M81" s="1">
        <v>2.02</v>
      </c>
      <c r="N81" s="1">
        <v>2.0299999999999998</v>
      </c>
      <c r="O81" s="1">
        <v>1.83</v>
      </c>
      <c r="P81" s="1">
        <v>0.85</v>
      </c>
      <c r="Q81" s="1" t="s">
        <v>154</v>
      </c>
      <c r="S81" t="s">
        <v>95</v>
      </c>
    </row>
    <row r="82" spans="11:31" x14ac:dyDescent="0.3">
      <c r="K82" s="7" t="s">
        <v>150</v>
      </c>
      <c r="L82" s="2" t="s">
        <v>8</v>
      </c>
      <c r="M82" s="2">
        <v>3.3</v>
      </c>
      <c r="N82" s="2">
        <v>2.79</v>
      </c>
      <c r="O82" s="2">
        <v>3.45</v>
      </c>
      <c r="P82" s="2">
        <v>3.55</v>
      </c>
      <c r="Q82" s="2" t="s">
        <v>153</v>
      </c>
    </row>
    <row r="83" spans="11:31" x14ac:dyDescent="0.3">
      <c r="K83" s="7" t="s">
        <v>152</v>
      </c>
      <c r="L83" s="3" t="s">
        <v>6</v>
      </c>
      <c r="M83" s="1">
        <v>3.05</v>
      </c>
      <c r="N83" s="1">
        <v>2.79</v>
      </c>
      <c r="O83" s="1">
        <v>3</v>
      </c>
      <c r="P83" s="1">
        <v>2.85</v>
      </c>
      <c r="Q83" s="1" t="s">
        <v>154</v>
      </c>
      <c r="S83" t="s">
        <v>96</v>
      </c>
    </row>
    <row r="84" spans="11:31" x14ac:dyDescent="0.3">
      <c r="K84" s="7" t="s">
        <v>152</v>
      </c>
      <c r="L84" s="2" t="s">
        <v>6</v>
      </c>
      <c r="M84" s="2">
        <v>3.05</v>
      </c>
      <c r="N84" s="2">
        <v>2.95</v>
      </c>
      <c r="O84" s="2">
        <v>3.45</v>
      </c>
      <c r="P84" s="2">
        <v>3.25</v>
      </c>
      <c r="Q84" s="2" t="s">
        <v>154</v>
      </c>
      <c r="S84" t="s">
        <v>97</v>
      </c>
    </row>
    <row r="85" spans="11:31" x14ac:dyDescent="0.3">
      <c r="K85" s="6" t="s">
        <v>151</v>
      </c>
      <c r="L85" s="1" t="s">
        <v>8</v>
      </c>
      <c r="M85" s="1">
        <v>2.38</v>
      </c>
      <c r="N85" s="1">
        <v>1.58</v>
      </c>
      <c r="O85" s="1">
        <v>0</v>
      </c>
      <c r="P85" s="1">
        <v>1.43</v>
      </c>
      <c r="Q85" s="1" t="s">
        <v>154</v>
      </c>
    </row>
    <row r="86" spans="11:31" x14ac:dyDescent="0.3">
      <c r="K86" s="7" t="s">
        <v>151</v>
      </c>
      <c r="L86" s="2" t="s">
        <v>8</v>
      </c>
      <c r="M86" s="2">
        <v>2.15</v>
      </c>
      <c r="N86" s="2">
        <v>2.02</v>
      </c>
      <c r="O86" s="2">
        <v>2.0299999999999998</v>
      </c>
      <c r="P86" s="2">
        <v>1.83</v>
      </c>
      <c r="Q86" s="2" t="s">
        <v>154</v>
      </c>
      <c r="S86" s="159" t="s">
        <v>57</v>
      </c>
      <c r="T86" s="159"/>
      <c r="U86" s="34" t="s">
        <v>58</v>
      </c>
      <c r="V86" s="35" t="s">
        <v>153</v>
      </c>
      <c r="W86" s="35" t="s">
        <v>154</v>
      </c>
      <c r="X86" s="34" t="s">
        <v>59</v>
      </c>
    </row>
    <row r="87" spans="11:31" x14ac:dyDescent="0.3">
      <c r="K87" s="6" t="s">
        <v>151</v>
      </c>
      <c r="L87" s="1" t="s">
        <v>6</v>
      </c>
      <c r="M87" s="1">
        <v>3.28</v>
      </c>
      <c r="N87" s="1">
        <v>2.13</v>
      </c>
      <c r="O87" s="1">
        <v>1.68</v>
      </c>
      <c r="P87" s="45">
        <v>2.87</v>
      </c>
      <c r="Q87" s="1" t="s">
        <v>154</v>
      </c>
      <c r="S87" s="171" t="s">
        <v>25</v>
      </c>
      <c r="T87" s="172"/>
      <c r="U87" s="8">
        <f>COUNTA(K81:K91)</f>
        <v>11</v>
      </c>
      <c r="V87" s="8">
        <f>COUNTIF($Q$81:$Q$91,V86)</f>
        <v>3</v>
      </c>
      <c r="W87" s="8">
        <f>COUNTIF($Q$81:$Q$91,W86)</f>
        <v>8</v>
      </c>
      <c r="X87" s="8">
        <f>((-V87/U87)*IMLOG2(V87/U87)+(-W87/U87)*IMLOG2(W87/U87))</f>
        <v>0.84535093662243588</v>
      </c>
    </row>
    <row r="88" spans="11:31" x14ac:dyDescent="0.3">
      <c r="K88" s="7" t="s">
        <v>150</v>
      </c>
      <c r="L88" s="1" t="s">
        <v>6</v>
      </c>
      <c r="M88" s="1">
        <v>3.03</v>
      </c>
      <c r="N88" s="1">
        <v>2.71</v>
      </c>
      <c r="O88" s="1">
        <v>2.7</v>
      </c>
      <c r="P88" s="1">
        <v>2.61</v>
      </c>
      <c r="Q88" s="1" t="s">
        <v>154</v>
      </c>
    </row>
    <row r="89" spans="11:31" x14ac:dyDescent="0.3">
      <c r="K89" s="7" t="s">
        <v>21</v>
      </c>
      <c r="L89" s="2" t="s">
        <v>8</v>
      </c>
      <c r="M89" s="2">
        <v>1.1399999999999999</v>
      </c>
      <c r="N89" s="2">
        <v>1.49</v>
      </c>
      <c r="O89" s="2">
        <v>0.87</v>
      </c>
      <c r="P89" s="2">
        <v>1.47</v>
      </c>
      <c r="Q89" s="2" t="s">
        <v>154</v>
      </c>
      <c r="S89" s="169" t="s">
        <v>57</v>
      </c>
      <c r="T89" s="169"/>
      <c r="U89" s="38" t="s">
        <v>58</v>
      </c>
      <c r="V89" s="35" t="s">
        <v>153</v>
      </c>
      <c r="W89" s="35" t="s">
        <v>154</v>
      </c>
      <c r="X89" s="38" t="s">
        <v>59</v>
      </c>
      <c r="Y89" s="37" t="s">
        <v>60</v>
      </c>
    </row>
    <row r="90" spans="11:31" x14ac:dyDescent="0.3">
      <c r="K90" s="7" t="s">
        <v>21</v>
      </c>
      <c r="L90" s="3" t="s">
        <v>6</v>
      </c>
      <c r="M90" s="1">
        <v>3.04</v>
      </c>
      <c r="N90" s="1">
        <v>2.21</v>
      </c>
      <c r="O90" s="1">
        <v>2.12</v>
      </c>
      <c r="P90" s="1">
        <v>2.86</v>
      </c>
      <c r="Q90" s="1" t="s">
        <v>153</v>
      </c>
      <c r="S90" s="42"/>
      <c r="T90" s="42"/>
      <c r="U90" s="42"/>
      <c r="V90" s="42"/>
      <c r="W90" s="42"/>
      <c r="X90" s="42"/>
      <c r="Y90" s="43">
        <f>($X$87)-((($U91/$U$87)*($X91)+($U92/$U$87)*($X92)+($U93/$U$87)*($X93)+($U94/$U$87)*($X94)))</f>
        <v>0.663532754804254</v>
      </c>
      <c r="AA90" s="50" t="s">
        <v>85</v>
      </c>
      <c r="AB90" s="50">
        <f>MAX(Y90,Y95,Y100,Y108,Y116,Y124)</f>
        <v>0.663532754804254</v>
      </c>
      <c r="AC90" s="48" t="s">
        <v>169</v>
      </c>
      <c r="AD90" s="35" t="s">
        <v>153</v>
      </c>
      <c r="AE90" s="35" t="s">
        <v>154</v>
      </c>
    </row>
    <row r="91" spans="11:31" x14ac:dyDescent="0.3">
      <c r="K91" s="7" t="s">
        <v>150</v>
      </c>
      <c r="L91" s="2" t="s">
        <v>6</v>
      </c>
      <c r="M91" s="2">
        <v>3.13</v>
      </c>
      <c r="N91" s="2">
        <v>3.26</v>
      </c>
      <c r="O91" s="2">
        <v>3.36</v>
      </c>
      <c r="P91" s="2">
        <v>3.53</v>
      </c>
      <c r="Q91" s="2" t="s">
        <v>153</v>
      </c>
      <c r="S91" s="170" t="s">
        <v>148</v>
      </c>
      <c r="T91" s="40" t="s">
        <v>150</v>
      </c>
      <c r="U91" s="40">
        <f>COUNTIF($K$81:$K$91,T91)</f>
        <v>3</v>
      </c>
      <c r="V91" s="40">
        <f>COUNTIFS($K$81:$K$91,$T91,$Q$81:$Q$91,$V$89)</f>
        <v>2</v>
      </c>
      <c r="W91" s="40">
        <f>COUNTIFS($K$81:$K$91,$T91,$Q$81:$Q$91,$W$89)</f>
        <v>1</v>
      </c>
      <c r="X91" s="40">
        <v>0</v>
      </c>
      <c r="Y91" s="173"/>
      <c r="AC91" s="40" t="s">
        <v>150</v>
      </c>
      <c r="AD91" s="40">
        <f>COUNTIFS($K$81:$K$91,$T91,$Q$81:$Q$91,$V$89)</f>
        <v>2</v>
      </c>
      <c r="AE91" s="40">
        <f>COUNTIFS($K$81:$K$91,$T91,$Q$81:$Q$91,$W$89)</f>
        <v>1</v>
      </c>
    </row>
    <row r="92" spans="11:31" x14ac:dyDescent="0.3">
      <c r="S92" s="170"/>
      <c r="T92" s="40" t="s">
        <v>151</v>
      </c>
      <c r="U92" s="40">
        <f t="shared" ref="U92:U94" si="16">COUNTIF($K$81:$K$91,T92)</f>
        <v>3</v>
      </c>
      <c r="V92" s="40">
        <f t="shared" ref="V92:V94" si="17">COUNTIFS($K$81:$K$91,$T92,$Q$81:$Q$91,$V$89)</f>
        <v>0</v>
      </c>
      <c r="W92" s="40">
        <f t="shared" ref="W92:W94" si="18">COUNTIFS($K$81:$K$91,$T92,$Q$81:$Q$91,$W$89)</f>
        <v>3</v>
      </c>
      <c r="X92" s="40">
        <v>0</v>
      </c>
      <c r="Y92" s="173"/>
      <c r="AC92" s="40" t="s">
        <v>151</v>
      </c>
      <c r="AD92" s="40">
        <f>COUNTIFS($K$81:$K$91,$T92,$Q$81:$Q$91,$V$89)</f>
        <v>0</v>
      </c>
      <c r="AE92" s="40">
        <f t="shared" ref="AE92:AE94" si="19">COUNTIFS($K$81:$K$91,$T92,$Q$81:$Q$91,$W$89)</f>
        <v>3</v>
      </c>
    </row>
    <row r="93" spans="11:31" x14ac:dyDescent="0.3">
      <c r="M93" s="47" t="s">
        <v>2</v>
      </c>
      <c r="N93" s="47" t="s">
        <v>3</v>
      </c>
      <c r="O93" s="47" t="s">
        <v>4</v>
      </c>
      <c r="P93" s="47" t="s">
        <v>5</v>
      </c>
      <c r="S93" s="170"/>
      <c r="T93" s="40" t="s">
        <v>21</v>
      </c>
      <c r="U93" s="40">
        <f t="shared" si="16"/>
        <v>2</v>
      </c>
      <c r="V93" s="40">
        <f t="shared" si="17"/>
        <v>1</v>
      </c>
      <c r="W93" s="40">
        <f t="shared" si="18"/>
        <v>1</v>
      </c>
      <c r="X93" s="40">
        <f>((-V93/U93)*IMLOG2(V93/U93)+(-W93/U93)*IMLOG2(W93/U93))</f>
        <v>1</v>
      </c>
      <c r="Y93" s="173"/>
      <c r="AC93" s="53" t="s">
        <v>21</v>
      </c>
      <c r="AD93" s="40">
        <f>COUNTIFS($K$81:$K$91,$T93,$Q$81:$Q$91,$V$89)</f>
        <v>1</v>
      </c>
      <c r="AE93" s="40">
        <f t="shared" si="19"/>
        <v>1</v>
      </c>
    </row>
    <row r="94" spans="11:31" x14ac:dyDescent="0.3">
      <c r="L94" s="48" t="s">
        <v>64</v>
      </c>
      <c r="M94" s="46">
        <f>AVERAGE(M81:M91)</f>
        <v>2.688181818181818</v>
      </c>
      <c r="N94" s="46">
        <f>AVERAGE(N81:N91)</f>
        <v>2.36</v>
      </c>
      <c r="O94" s="46">
        <f t="shared" ref="O94:P94" si="20">AVERAGE(O81:O91)</f>
        <v>2.2263636363636365</v>
      </c>
      <c r="P94" s="46">
        <f t="shared" si="20"/>
        <v>2.4636363636363634</v>
      </c>
      <c r="S94" s="170"/>
      <c r="T94" s="40" t="s">
        <v>152</v>
      </c>
      <c r="U94" s="40">
        <f t="shared" si="16"/>
        <v>3</v>
      </c>
      <c r="V94" s="40">
        <f t="shared" si="17"/>
        <v>0</v>
      </c>
      <c r="W94" s="40">
        <f t="shared" si="18"/>
        <v>3</v>
      </c>
      <c r="X94" s="40">
        <v>0</v>
      </c>
      <c r="Y94" s="173"/>
      <c r="AC94" s="53" t="s">
        <v>152</v>
      </c>
      <c r="AD94" s="40">
        <f t="shared" ref="AD94" si="21">COUNTIFS($K$81:$K$91,$T94,$Q$81:$Q$91,$V$89)</f>
        <v>0</v>
      </c>
      <c r="AE94" s="40">
        <f t="shared" si="19"/>
        <v>3</v>
      </c>
    </row>
    <row r="95" spans="11:31" x14ac:dyDescent="0.3">
      <c r="L95" s="9" t="s">
        <v>67</v>
      </c>
      <c r="M95" s="49">
        <f>MEDIAN(M81:M91)</f>
        <v>3.04</v>
      </c>
      <c r="N95" s="49">
        <f>MEDIAN(N81:N91)</f>
        <v>2.21</v>
      </c>
      <c r="O95" s="49">
        <f>MEDIAN(O81:O91)</f>
        <v>2.12</v>
      </c>
      <c r="P95" s="49">
        <f t="shared" ref="P95" si="22">MEDIAN(P81:P91)</f>
        <v>2.85</v>
      </c>
      <c r="S95" s="170" t="s">
        <v>1</v>
      </c>
      <c r="T95" s="44"/>
      <c r="U95" s="44"/>
      <c r="V95" s="44"/>
      <c r="W95" s="44"/>
      <c r="X95" s="44"/>
      <c r="Y95" s="41">
        <f>($X$87)-((($U96/$U$87)*($X96)+($U97/$U$87)*($X97)))</f>
        <v>1.6313165825731168E-2</v>
      </c>
    </row>
    <row r="96" spans="11:31" x14ac:dyDescent="0.3">
      <c r="S96" s="170"/>
      <c r="T96" s="40" t="s">
        <v>8</v>
      </c>
      <c r="U96" s="40">
        <f>COUNTIF($L$81:$L$91,T96)</f>
        <v>5</v>
      </c>
      <c r="V96" s="40">
        <f>COUNTIFS($L$81:$L$91,$T96,$Q$81:$Q$91,$V$89)</f>
        <v>1</v>
      </c>
      <c r="W96" s="40">
        <f>COUNTIFS($L$81:$L$91,$T96,$Q$81:$Q$91,$W$89)</f>
        <v>4</v>
      </c>
      <c r="X96" s="40">
        <f>((-V96/U96)*IMLOG2(V96/U96)+(-W96/U96)*IMLOG2(W96/U96))</f>
        <v>0.72192809488736165</v>
      </c>
      <c r="Y96" s="39"/>
    </row>
    <row r="97" spans="19:27" x14ac:dyDescent="0.3">
      <c r="S97" s="170"/>
      <c r="T97" s="40" t="s">
        <v>6</v>
      </c>
      <c r="U97" s="40">
        <f>COUNTIF($L$81:$L$91,T97)</f>
        <v>6</v>
      </c>
      <c r="V97" s="40">
        <f>COUNTIFS($L$81:$L$91,$T97,$Q$81:$Q$91,$V$89)</f>
        <v>2</v>
      </c>
      <c r="W97" s="40">
        <f>COUNTIFS($L$81:$L$91,$T97,$Q$81:$Q$91,$W$89)</f>
        <v>4</v>
      </c>
      <c r="X97" s="40">
        <f>((-V97/U97)*IMLOG2(V97/U97)+(-W97/U97)*IMLOG2(W97/U97))</f>
        <v>0.91829583405449056</v>
      </c>
      <c r="Y97" s="39"/>
    </row>
    <row r="99" spans="19:27" x14ac:dyDescent="0.3">
      <c r="S99" s="169" t="s">
        <v>57</v>
      </c>
      <c r="T99" s="169"/>
      <c r="U99" s="38" t="s">
        <v>58</v>
      </c>
      <c r="V99" s="35" t="s">
        <v>153</v>
      </c>
      <c r="W99" s="35" t="s">
        <v>154</v>
      </c>
      <c r="X99" s="38" t="s">
        <v>59</v>
      </c>
      <c r="Y99" s="37" t="s">
        <v>60</v>
      </c>
    </row>
    <row r="100" spans="19:27" x14ac:dyDescent="0.3">
      <c r="S100" s="170" t="s">
        <v>2</v>
      </c>
      <c r="T100" s="44"/>
      <c r="U100" s="44"/>
      <c r="V100" s="44"/>
      <c r="W100" s="44"/>
      <c r="X100" s="44"/>
      <c r="Y100" s="41">
        <f>($X$87)-((($U101/$U$87)*($X101)+($U102/$U$87)*($X102)))</f>
        <v>0.2183875773279117</v>
      </c>
    </row>
    <row r="101" spans="19:27" x14ac:dyDescent="0.3">
      <c r="S101" s="170"/>
      <c r="T101" s="40" t="s">
        <v>98</v>
      </c>
      <c r="U101" s="40">
        <f>COUNTIF($M$81:$M$91,$T101)</f>
        <v>4</v>
      </c>
      <c r="V101" s="40">
        <f>COUNTIFS($M$81:$M$91,$T101,$Q$81:$Q$91,$V$99)</f>
        <v>0</v>
      </c>
      <c r="W101" s="40">
        <f>COUNTIFS($M$81:$M$91,$T101,$Q$81:$Q$91,$W$99)</f>
        <v>4</v>
      </c>
      <c r="X101" s="40">
        <v>0</v>
      </c>
      <c r="Y101" s="39"/>
    </row>
    <row r="102" spans="19:27" x14ac:dyDescent="0.3">
      <c r="S102" s="170"/>
      <c r="T102" s="40" t="s">
        <v>99</v>
      </c>
      <c r="U102" s="40">
        <f>COUNTIF($M$81:$M$91,$T102)</f>
        <v>7</v>
      </c>
      <c r="V102" s="40">
        <f>COUNTIFS($M$81:$M$91,$T102,$Q$81:$Q$91,$V$99)</f>
        <v>3</v>
      </c>
      <c r="W102" s="40">
        <f>COUNTIFS($M$81:$M$91,$T102,$Q$81:$Q$91,$W$99)</f>
        <v>4</v>
      </c>
      <c r="X102" s="40">
        <f>((-V102/U102)*IMLOG2(V102/U102)+(-W102/U102)*IMLOG2(W102/U102))</f>
        <v>0.9852281360342523</v>
      </c>
      <c r="Y102" s="39"/>
    </row>
    <row r="103" spans="19:27" x14ac:dyDescent="0.3">
      <c r="S103" s="170"/>
      <c r="T103" s="39"/>
      <c r="U103" s="39"/>
      <c r="V103" s="39"/>
      <c r="W103" s="39"/>
      <c r="X103" s="39"/>
      <c r="Y103" s="41">
        <f>($X$87)-((($U104/$U$87)*($X104)+($U105/$U$87)*($X105)))</f>
        <v>4.9452072789393453E-2</v>
      </c>
    </row>
    <row r="104" spans="19:27" x14ac:dyDescent="0.3">
      <c r="S104" s="170"/>
      <c r="T104" s="39" t="s">
        <v>100</v>
      </c>
      <c r="U104" s="39">
        <f>COUNTIF($M$81:$M$91,$T104)</f>
        <v>6</v>
      </c>
      <c r="V104" s="39">
        <f>COUNTIFS($M$81:$M$91,$T104,$Q$81:$Q$91,$V$99)</f>
        <v>1</v>
      </c>
      <c r="W104" s="39">
        <f>COUNTIFS($M$81:$M$91,$T104,$Q$81:$Q$91,$W$99)</f>
        <v>5</v>
      </c>
      <c r="X104" s="39">
        <f>((-V104/U104)*IMLOG2(V104/U104)+(-W104/U104)*IMLOG2(W104/U104))</f>
        <v>0.650022421648355</v>
      </c>
      <c r="Y104" s="39"/>
    </row>
    <row r="105" spans="19:27" x14ac:dyDescent="0.3">
      <c r="S105" s="170"/>
      <c r="T105" s="39" t="s">
        <v>101</v>
      </c>
      <c r="U105" s="39">
        <f>COUNTIF($M$81:$M$91,$T105)</f>
        <v>5</v>
      </c>
      <c r="V105" s="39">
        <f>COUNTIFS($M$81:$M$91,$T105,$Q$81:$Q$91,$V$99)</f>
        <v>2</v>
      </c>
      <c r="W105" s="39">
        <f>COUNTIFS($M$81:$M$91,$T105,$Q$81:$Q$91,$W$99)</f>
        <v>3</v>
      </c>
      <c r="X105" s="39">
        <f>((-V105/U105)*IMLOG2(V105/U105)+(-W105/U105)*IMLOG2(W105/U105))</f>
        <v>0.97095059445466747</v>
      </c>
      <c r="Y105" s="39"/>
    </row>
    <row r="106" spans="19:27" x14ac:dyDescent="0.3">
      <c r="S106" s="170"/>
      <c r="T106" s="39"/>
      <c r="U106" s="39"/>
      <c r="V106" s="39"/>
      <c r="W106" s="39"/>
      <c r="X106" s="39"/>
      <c r="Y106" s="39"/>
    </row>
    <row r="107" spans="19:27" x14ac:dyDescent="0.3">
      <c r="S107" s="169" t="s">
        <v>57</v>
      </c>
      <c r="T107" s="169"/>
      <c r="U107" s="38" t="s">
        <v>58</v>
      </c>
      <c r="V107" s="35" t="s">
        <v>153</v>
      </c>
      <c r="W107" s="35" t="s">
        <v>154</v>
      </c>
      <c r="X107" s="38" t="s">
        <v>59</v>
      </c>
      <c r="Y107" s="37" t="s">
        <v>60</v>
      </c>
    </row>
    <row r="108" spans="19:27" x14ac:dyDescent="0.3">
      <c r="S108" s="170" t="s">
        <v>3</v>
      </c>
      <c r="T108" s="44"/>
      <c r="U108" s="44"/>
      <c r="V108" s="44"/>
      <c r="W108" s="44"/>
      <c r="X108" s="44"/>
      <c r="Y108" s="41">
        <f>($X$87)-((($U109/$U$87)*($X109)+($U110/$U$87)*($X110)))</f>
        <v>4.9452072789393453E-2</v>
      </c>
    </row>
    <row r="109" spans="19:27" x14ac:dyDescent="0.3">
      <c r="S109" s="170"/>
      <c r="T109" s="40" t="s">
        <v>102</v>
      </c>
      <c r="U109" s="40">
        <f>COUNTIF($N$81:$N$91,$T109)</f>
        <v>6</v>
      </c>
      <c r="V109" s="40">
        <f>COUNTIFS($N$81:$N$91,$T109,$Q$81:$Q$91,$V$99)</f>
        <v>1</v>
      </c>
      <c r="W109" s="40">
        <f>COUNTIFS($N$81:$N$91,$T109,$Q$81:$Q$91,$W$99)</f>
        <v>5</v>
      </c>
      <c r="X109" s="39">
        <f>((-V109/U109)*IMLOG2(V109/U109)+(-W109/U109)*IMLOG2(W109/U109))</f>
        <v>0.650022421648355</v>
      </c>
      <c r="Y109" s="39"/>
    </row>
    <row r="110" spans="19:27" x14ac:dyDescent="0.3">
      <c r="S110" s="170"/>
      <c r="T110" s="40" t="s">
        <v>103</v>
      </c>
      <c r="U110" s="40">
        <f>COUNTIF($N$81:$N$91,$T110)</f>
        <v>5</v>
      </c>
      <c r="V110" s="40">
        <f>COUNTIFS($N$81:$N$91,$T110,$Q$81:$Q$91,$V$99)</f>
        <v>2</v>
      </c>
      <c r="W110" s="40">
        <f>COUNTIFS($N$81:$N$91,$T110,$Q$81:$Q$91,$W$99)</f>
        <v>3</v>
      </c>
      <c r="X110" s="40">
        <f>((-V110/U110)*IMLOG2(V110/U110)+(-W110/U110)*IMLOG2(W110/U110))</f>
        <v>0.97095059445466747</v>
      </c>
      <c r="Y110" s="39"/>
      <c r="AA110" s="9" t="s">
        <v>114</v>
      </c>
    </row>
    <row r="111" spans="19:27" x14ac:dyDescent="0.3">
      <c r="S111" s="170"/>
      <c r="T111" s="39"/>
      <c r="U111" s="39"/>
      <c r="V111" s="39"/>
      <c r="W111" s="39"/>
      <c r="X111" s="39"/>
      <c r="Y111" s="41">
        <f>($X$87)-((($U112/$U$87)*($X112)+($U113/$U$87)*($X113)))</f>
        <v>4.9452072789393453E-2</v>
      </c>
      <c r="AA111" t="s">
        <v>170</v>
      </c>
    </row>
    <row r="112" spans="19:27" x14ac:dyDescent="0.3">
      <c r="S112" s="170"/>
      <c r="T112" s="39" t="s">
        <v>104</v>
      </c>
      <c r="U112" s="39">
        <f>COUNTIF($N$81:$N$91,$T112)</f>
        <v>6</v>
      </c>
      <c r="V112" s="39">
        <f>COUNTIFS($N$81:$N$91,$T112,$Q$81:$Q$91,$V$99)</f>
        <v>1</v>
      </c>
      <c r="W112" s="39">
        <f>COUNTIFS($N$81:$N$91,$T112,$Q$81:$Q$91,$W$99)</f>
        <v>5</v>
      </c>
      <c r="X112" s="39">
        <f>((-V112/U112)*IMLOG2(V112/U112)+(-W112/U112)*IMLOG2(W112/U112))</f>
        <v>0.650022421648355</v>
      </c>
      <c r="Y112" s="39"/>
    </row>
    <row r="113" spans="19:27" x14ac:dyDescent="0.3">
      <c r="S113" s="170"/>
      <c r="T113" s="39" t="s">
        <v>105</v>
      </c>
      <c r="U113" s="39">
        <f>COUNTIF($N$81:$N$91,$T113)</f>
        <v>5</v>
      </c>
      <c r="V113" s="39">
        <f>COUNTIFS($N$81:$N$91,$T113,$Q$81:$Q$91,$V$99)</f>
        <v>2</v>
      </c>
      <c r="W113" s="39">
        <f>COUNTIFS($N$81:$N$91,$T113,$Q$81:$Q$91,$W$99)</f>
        <v>3</v>
      </c>
      <c r="X113" s="39">
        <f>((-V113/U113)*IMLOG2(V113/U113)+(-W113/U113)*IMLOG2(W113/U113))</f>
        <v>0.97095059445466747</v>
      </c>
      <c r="Y113" s="39"/>
      <c r="AA113" t="s">
        <v>115</v>
      </c>
    </row>
    <row r="114" spans="19:27" x14ac:dyDescent="0.3">
      <c r="S114" s="170"/>
      <c r="T114" s="39"/>
      <c r="U114" s="39"/>
      <c r="V114" s="39"/>
      <c r="W114" s="39"/>
      <c r="X114" s="39"/>
      <c r="Y114" s="39"/>
    </row>
    <row r="115" spans="19:27" x14ac:dyDescent="0.3">
      <c r="S115" s="169" t="s">
        <v>57</v>
      </c>
      <c r="T115" s="169"/>
      <c r="U115" s="38" t="s">
        <v>58</v>
      </c>
      <c r="V115" s="35" t="s">
        <v>153</v>
      </c>
      <c r="W115" s="35" t="s">
        <v>154</v>
      </c>
      <c r="X115" s="38" t="s">
        <v>59</v>
      </c>
      <c r="Y115" s="37" t="s">
        <v>60</v>
      </c>
      <c r="AA115" s="9" t="s">
        <v>116</v>
      </c>
    </row>
    <row r="116" spans="19:27" x14ac:dyDescent="0.3">
      <c r="S116" s="170" t="s">
        <v>4</v>
      </c>
      <c r="T116" s="44"/>
      <c r="U116" s="44"/>
      <c r="V116" s="44"/>
      <c r="W116" s="44"/>
      <c r="X116" s="44"/>
      <c r="Y116" s="41">
        <f>($X$87)-((($U117/$U$87)*($X117)+($U118/$U$87)*($X118)))</f>
        <v>4.9452072789393453E-2</v>
      </c>
    </row>
    <row r="117" spans="19:27" x14ac:dyDescent="0.3">
      <c r="S117" s="170"/>
      <c r="T117" s="40" t="s">
        <v>106</v>
      </c>
      <c r="U117" s="40">
        <f>COUNTIF($O$81:$O$91,$T117)</f>
        <v>6</v>
      </c>
      <c r="V117" s="40">
        <f>COUNTIFS($O$81:$O$91,$T117,$Q$81:$Q$91,$V$99)</f>
        <v>1</v>
      </c>
      <c r="W117" s="40">
        <f>COUNTIFS($O$81:$O$91,$T117,$Q$81:$Q$91,$W$99)</f>
        <v>5</v>
      </c>
      <c r="X117" s="40">
        <f>((-V117/U117)*IMLOG2(V117/U117)+(-W117/U117)*IMLOG2(W117/U117))</f>
        <v>0.650022421648355</v>
      </c>
      <c r="Y117" s="39"/>
    </row>
    <row r="118" spans="19:27" x14ac:dyDescent="0.3">
      <c r="S118" s="170"/>
      <c r="T118" s="40" t="s">
        <v>107</v>
      </c>
      <c r="U118" s="40">
        <f>COUNTIF($O$81:$O$91,$T118)</f>
        <v>5</v>
      </c>
      <c r="V118" s="40">
        <f>COUNTIFS($O$81:$O$91,$T118,$Q$81:$Q$91,$V$99)</f>
        <v>2</v>
      </c>
      <c r="W118" s="40">
        <f>COUNTIFS($O$81:$O$91,$T118,$Q$81:$Q$91,$W$99)</f>
        <v>3</v>
      </c>
      <c r="X118" s="40">
        <f>((-V118/U118)*IMLOG2(V118/U118)+(-W118/U118)*IMLOG2(W118/U118))</f>
        <v>0.97095059445466747</v>
      </c>
      <c r="Y118" s="39"/>
    </row>
    <row r="119" spans="19:27" x14ac:dyDescent="0.3">
      <c r="S119" s="170"/>
      <c r="T119" s="39"/>
      <c r="U119" s="39"/>
      <c r="V119" s="39"/>
      <c r="W119" s="39"/>
      <c r="X119" s="39"/>
      <c r="Y119" s="41">
        <f>($X$87)-((($U120/$U$87)*($X120)+($U121/$U$87)*($X121)))</f>
        <v>4.9452072789393453E-2</v>
      </c>
    </row>
    <row r="120" spans="19:27" x14ac:dyDescent="0.3">
      <c r="S120" s="170"/>
      <c r="T120" s="39" t="s">
        <v>108</v>
      </c>
      <c r="U120" s="39">
        <f>COUNTIF($O$81:$O$91,$T120)</f>
        <v>6</v>
      </c>
      <c r="V120" s="39">
        <f>COUNTIFS($O$81:$O$91,$T120,$Q$81:$Q$91,$V$99)</f>
        <v>1</v>
      </c>
      <c r="W120" s="39">
        <f>COUNTIFS($O$81:$O$91,$T120,$Q$81:$Q$91,$W$99)</f>
        <v>5</v>
      </c>
      <c r="X120" s="39">
        <f>((-V120/U120)*IMLOG2(V120/U120)+(-W120/U120)*IMLOG2(W120/U120))</f>
        <v>0.650022421648355</v>
      </c>
      <c r="Y120" s="39"/>
    </row>
    <row r="121" spans="19:27" x14ac:dyDescent="0.3">
      <c r="S121" s="170"/>
      <c r="T121" s="39" t="s">
        <v>109</v>
      </c>
      <c r="U121" s="39">
        <f>COUNTIF($O$81:$O$91,$T121)</f>
        <v>5</v>
      </c>
      <c r="V121" s="39">
        <f>COUNTIFS($O$81:$O$91,$T121,$Q$81:$Q$91,$V$99)</f>
        <v>2</v>
      </c>
      <c r="W121" s="39">
        <f>COUNTIFS($O$81:$O$91,$T121,$Q$81:$Q$91,$W$99)</f>
        <v>3</v>
      </c>
      <c r="X121" s="39">
        <f>((-V121/U121)*IMLOG2(V121/U121)+(-W121/U121)*IMLOG2(W121/U121))</f>
        <v>0.97095059445466747</v>
      </c>
      <c r="Y121" s="39"/>
    </row>
    <row r="122" spans="19:27" x14ac:dyDescent="0.3">
      <c r="S122" s="170"/>
      <c r="T122" s="39"/>
      <c r="U122" s="39"/>
      <c r="V122" s="39"/>
      <c r="W122" s="39"/>
      <c r="X122" s="39"/>
      <c r="Y122" s="39"/>
    </row>
    <row r="123" spans="19:27" x14ac:dyDescent="0.3">
      <c r="S123" s="169" t="s">
        <v>57</v>
      </c>
      <c r="T123" s="169"/>
      <c r="U123" s="38" t="s">
        <v>58</v>
      </c>
      <c r="V123" s="35" t="s">
        <v>153</v>
      </c>
      <c r="W123" s="35" t="s">
        <v>154</v>
      </c>
      <c r="X123" s="38" t="s">
        <v>59</v>
      </c>
      <c r="Y123" s="37" t="s">
        <v>60</v>
      </c>
    </row>
    <row r="124" spans="19:27" x14ac:dyDescent="0.3">
      <c r="S124" s="170" t="s">
        <v>5</v>
      </c>
      <c r="T124" s="44"/>
      <c r="U124" s="44"/>
      <c r="V124" s="44"/>
      <c r="W124" s="44"/>
      <c r="X124" s="44"/>
      <c r="Y124" s="41">
        <f>($X$87)-((($U125/$U$87)*($X125)+($U126/$U$87)*($X126)))</f>
        <v>0.2183875773279117</v>
      </c>
    </row>
    <row r="125" spans="19:27" x14ac:dyDescent="0.3">
      <c r="S125" s="170"/>
      <c r="T125" s="40" t="s">
        <v>110</v>
      </c>
      <c r="U125" s="40">
        <f>COUNTIF($P$81:$P$91,$T125)</f>
        <v>4</v>
      </c>
      <c r="V125" s="40">
        <f>COUNTIFS($P$81:$P$91,$T125,$Q$81:$Q$91,$V$99)</f>
        <v>0</v>
      </c>
      <c r="W125" s="40">
        <f>COUNTIFS($P$81:$P$91,$T125,$Q$81:$Q$91,$W$99)</f>
        <v>4</v>
      </c>
      <c r="X125" s="40">
        <v>0</v>
      </c>
      <c r="Y125" s="39"/>
    </row>
    <row r="126" spans="19:27" x14ac:dyDescent="0.3">
      <c r="S126" s="170"/>
      <c r="T126" s="40" t="s">
        <v>111</v>
      </c>
      <c r="U126" s="40">
        <f>COUNTIF($P$81:$P$91,$T126)</f>
        <v>7</v>
      </c>
      <c r="V126" s="40">
        <f>COUNTIFS($P$81:$P$91,$T126,$Q$81:$Q$91,$V$99)</f>
        <v>3</v>
      </c>
      <c r="W126" s="40">
        <f>COUNTIFS($P$81:$P$91,$T126,$Q$81:$Q$91,$W$99)</f>
        <v>4</v>
      </c>
      <c r="X126" s="40">
        <f>((-V126/U126)*IMLOG2(V126/U126)+(-W126/U126)*IMLOG2(W126/U126))</f>
        <v>0.9852281360342523</v>
      </c>
      <c r="Y126" s="39"/>
    </row>
    <row r="127" spans="19:27" x14ac:dyDescent="0.3">
      <c r="S127" s="170"/>
      <c r="T127" s="39"/>
      <c r="U127" s="39"/>
      <c r="V127" s="39"/>
      <c r="W127" s="39"/>
      <c r="X127" s="39"/>
      <c r="Y127" s="41">
        <f>($X$87)-((($U128/$U$87)*($X128)+($U129/$U$87)*($X129)))</f>
        <v>0.40400975732485978</v>
      </c>
    </row>
    <row r="128" spans="19:27" x14ac:dyDescent="0.3">
      <c r="S128" s="170"/>
      <c r="T128" s="39" t="s">
        <v>112</v>
      </c>
      <c r="U128" s="39">
        <f>COUNTIF($P$81:$P$91,$T128)</f>
        <v>6</v>
      </c>
      <c r="V128" s="39">
        <f>COUNTIFS($P$81:$P$91,$T128,$Q$81:$Q$91,$V$99)</f>
        <v>0</v>
      </c>
      <c r="W128" s="39">
        <f>COUNTIFS($P$81:$P$91,$T128,$Q$81:$Q$91,$W$99)</f>
        <v>6</v>
      </c>
      <c r="X128" s="39">
        <v>0</v>
      </c>
      <c r="Y128" s="39"/>
    </row>
    <row r="129" spans="19:25" x14ac:dyDescent="0.3">
      <c r="S129" s="170"/>
      <c r="T129" s="39" t="s">
        <v>113</v>
      </c>
      <c r="U129" s="39">
        <f>COUNTIF($P$81:$P$91,$T129)</f>
        <v>5</v>
      </c>
      <c r="V129" s="39">
        <f>COUNTIFS($P$81:$P$91,$T129,$Q$81:$Q$91,$V$99)</f>
        <v>3</v>
      </c>
      <c r="W129" s="39">
        <f>COUNTIFS($P$81:$P$91,$T129,$Q$81:$Q$91,$W$99)</f>
        <v>2</v>
      </c>
      <c r="X129" s="39">
        <f>((-V129/U129)*IMLOG2(V129/U129)+(-W129/U129)*IMLOG2(W129/U129))</f>
        <v>0.97095059445466747</v>
      </c>
      <c r="Y129" s="39"/>
    </row>
    <row r="130" spans="19:25" x14ac:dyDescent="0.3">
      <c r="S130" s="170"/>
      <c r="T130" s="39"/>
      <c r="U130" s="39"/>
      <c r="V130" s="39"/>
      <c r="W130" s="39"/>
      <c r="X130" s="39"/>
      <c r="Y130" s="39"/>
    </row>
  </sheetData>
  <mergeCells count="32">
    <mergeCell ref="J3:K3"/>
    <mergeCell ref="J4:K4"/>
    <mergeCell ref="J8:K8"/>
    <mergeCell ref="J10:J13"/>
    <mergeCell ref="J47:J53"/>
    <mergeCell ref="J28:K28"/>
    <mergeCell ref="J29:J35"/>
    <mergeCell ref="J37:K37"/>
    <mergeCell ref="J38:J44"/>
    <mergeCell ref="J46:K46"/>
    <mergeCell ref="S91:S94"/>
    <mergeCell ref="Y91:Y94"/>
    <mergeCell ref="P10:P13"/>
    <mergeCell ref="J19:K19"/>
    <mergeCell ref="J20:J26"/>
    <mergeCell ref="J14:J16"/>
    <mergeCell ref="S115:T115"/>
    <mergeCell ref="S116:S122"/>
    <mergeCell ref="S123:T123"/>
    <mergeCell ref="S124:S130"/>
    <mergeCell ref="A29:G29"/>
    <mergeCell ref="A40:C40"/>
    <mergeCell ref="B41:C41"/>
    <mergeCell ref="E41:G41"/>
    <mergeCell ref="S95:S97"/>
    <mergeCell ref="S99:T99"/>
    <mergeCell ref="S100:S106"/>
    <mergeCell ref="S107:T107"/>
    <mergeCell ref="S108:S114"/>
    <mergeCell ref="S86:T86"/>
    <mergeCell ref="S87:T87"/>
    <mergeCell ref="S89:T89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9759-06A8-4CA6-BCD9-E1429184EBE9}">
  <dimension ref="A1:I44"/>
  <sheetViews>
    <sheetView workbookViewId="0">
      <selection activeCell="E7" sqref="E7"/>
    </sheetView>
  </sheetViews>
  <sheetFormatPr defaultRowHeight="14.4" x14ac:dyDescent="0.3"/>
  <cols>
    <col min="1" max="1" width="20.33203125" customWidth="1"/>
    <col min="2" max="2" width="18.44140625" customWidth="1"/>
    <col min="3" max="3" width="25.109375" customWidth="1"/>
    <col min="6" max="6" width="14.5546875" customWidth="1"/>
  </cols>
  <sheetData>
    <row r="1" spans="1:9" x14ac:dyDescent="0.3">
      <c r="A1" t="s">
        <v>287</v>
      </c>
    </row>
    <row r="2" spans="1:9" ht="15" thickBot="1" x14ac:dyDescent="0.35"/>
    <row r="3" spans="1:9" x14ac:dyDescent="0.3">
      <c r="A3" s="155" t="s">
        <v>288</v>
      </c>
      <c r="B3" s="155"/>
    </row>
    <row r="4" spans="1:9" x14ac:dyDescent="0.3">
      <c r="A4" t="s">
        <v>289</v>
      </c>
      <c r="B4">
        <v>0.8579571065513677</v>
      </c>
    </row>
    <row r="5" spans="1:9" x14ac:dyDescent="0.3">
      <c r="A5" t="s">
        <v>290</v>
      </c>
      <c r="B5">
        <v>0.73609039668199494</v>
      </c>
    </row>
    <row r="6" spans="1:9" x14ac:dyDescent="0.3">
      <c r="A6" t="s">
        <v>291</v>
      </c>
      <c r="B6">
        <v>0.70310169626724428</v>
      </c>
    </row>
    <row r="7" spans="1:9" x14ac:dyDescent="0.3">
      <c r="A7" t="s">
        <v>292</v>
      </c>
      <c r="B7">
        <v>0.3235250508817672</v>
      </c>
    </row>
    <row r="8" spans="1:9" ht="15" thickBot="1" x14ac:dyDescent="0.35">
      <c r="A8" s="153" t="s">
        <v>293</v>
      </c>
      <c r="B8" s="153">
        <v>19</v>
      </c>
    </row>
    <row r="10" spans="1:9" ht="15" thickBot="1" x14ac:dyDescent="0.35">
      <c r="A10" t="s">
        <v>294</v>
      </c>
    </row>
    <row r="11" spans="1:9" x14ac:dyDescent="0.3">
      <c r="A11" s="154"/>
      <c r="B11" s="154" t="s">
        <v>298</v>
      </c>
      <c r="C11" s="154" t="s">
        <v>299</v>
      </c>
      <c r="D11" s="154" t="s">
        <v>300</v>
      </c>
      <c r="E11" s="154" t="s">
        <v>301</v>
      </c>
      <c r="F11" s="154" t="s">
        <v>302</v>
      </c>
    </row>
    <row r="12" spans="1:9" x14ac:dyDescent="0.3">
      <c r="A12" t="s">
        <v>295</v>
      </c>
      <c r="B12">
        <v>2</v>
      </c>
      <c r="C12">
        <v>4.671020452704882</v>
      </c>
      <c r="D12">
        <v>2.335510226352441</v>
      </c>
      <c r="E12">
        <v>22.313409968489029</v>
      </c>
      <c r="F12">
        <v>2.3531063251885387E-5</v>
      </c>
    </row>
    <row r="13" spans="1:9" x14ac:dyDescent="0.3">
      <c r="A13" t="s">
        <v>296</v>
      </c>
      <c r="B13">
        <v>16</v>
      </c>
      <c r="C13">
        <v>1.6746953367688009</v>
      </c>
      <c r="D13">
        <v>0.10466845854805006</v>
      </c>
    </row>
    <row r="14" spans="1:9" ht="15" thickBot="1" x14ac:dyDescent="0.35">
      <c r="A14" s="153" t="s">
        <v>25</v>
      </c>
      <c r="B14" s="153">
        <v>18</v>
      </c>
      <c r="C14" s="153">
        <v>6.3457157894736831</v>
      </c>
      <c r="D14" s="153"/>
      <c r="E14" s="153"/>
      <c r="F14" s="153"/>
    </row>
    <row r="15" spans="1:9" ht="15" thickBot="1" x14ac:dyDescent="0.35"/>
    <row r="16" spans="1:9" x14ac:dyDescent="0.3">
      <c r="A16" s="154"/>
      <c r="B16" s="154" t="s">
        <v>303</v>
      </c>
      <c r="C16" s="154" t="s">
        <v>292</v>
      </c>
      <c r="D16" s="154" t="s">
        <v>304</v>
      </c>
      <c r="E16" s="154" t="s">
        <v>305</v>
      </c>
      <c r="F16" s="154" t="s">
        <v>306</v>
      </c>
      <c r="G16" s="154" t="s">
        <v>307</v>
      </c>
      <c r="H16" s="154" t="s">
        <v>308</v>
      </c>
      <c r="I16" s="154" t="s">
        <v>309</v>
      </c>
    </row>
    <row r="17" spans="1:9" x14ac:dyDescent="0.3">
      <c r="A17" t="s">
        <v>297</v>
      </c>
      <c r="B17">
        <v>1.195943200316592</v>
      </c>
      <c r="C17">
        <v>0.26726056640646451</v>
      </c>
      <c r="D17">
        <v>4.4748210197898635</v>
      </c>
      <c r="E17">
        <v>3.829799977841122E-4</v>
      </c>
      <c r="F17">
        <v>0.62937610931865373</v>
      </c>
      <c r="G17">
        <v>1.7625102913145301</v>
      </c>
      <c r="H17">
        <v>0.62937610931865373</v>
      </c>
      <c r="I17">
        <v>1.7625102913145301</v>
      </c>
    </row>
    <row r="18" spans="1:9" x14ac:dyDescent="0.3">
      <c r="A18">
        <v>3.05</v>
      </c>
      <c r="B18">
        <v>-2.1229622216103413E-2</v>
      </c>
      <c r="C18">
        <v>0.14016025646974442</v>
      </c>
      <c r="D18">
        <v>-0.15146677632318781</v>
      </c>
      <c r="E18">
        <v>0.88150085654180543</v>
      </c>
      <c r="F18">
        <v>-0.31835609264652481</v>
      </c>
      <c r="G18">
        <v>0.27589684821431798</v>
      </c>
      <c r="H18">
        <v>-0.31835609264652481</v>
      </c>
      <c r="I18">
        <v>0.27589684821431798</v>
      </c>
    </row>
    <row r="19" spans="1:9" ht="15" thickBot="1" x14ac:dyDescent="0.35">
      <c r="A19" s="153">
        <v>3.7</v>
      </c>
      <c r="B19" s="153">
        <v>0.61776848315576527</v>
      </c>
      <c r="C19" s="153">
        <v>0.16484403098267</v>
      </c>
      <c r="D19" s="153">
        <v>3.7475938890423706</v>
      </c>
      <c r="E19" s="153">
        <v>1.7566608000569542E-3</v>
      </c>
      <c r="F19" s="153">
        <v>0.26831474833061036</v>
      </c>
      <c r="G19" s="153">
        <v>0.96722221798092023</v>
      </c>
      <c r="H19" s="153">
        <v>0.26831474833061036</v>
      </c>
      <c r="I19" s="153">
        <v>0.96722221798092023</v>
      </c>
    </row>
    <row r="23" spans="1:9" x14ac:dyDescent="0.3">
      <c r="A23" t="s">
        <v>310</v>
      </c>
    </row>
    <row r="24" spans="1:9" ht="15" thickBot="1" x14ac:dyDescent="0.35"/>
    <row r="25" spans="1:9" x14ac:dyDescent="0.3">
      <c r="A25" s="154" t="s">
        <v>311</v>
      </c>
      <c r="B25" s="154" t="s">
        <v>312</v>
      </c>
      <c r="C25" s="154" t="s">
        <v>313</v>
      </c>
    </row>
    <row r="26" spans="1:9" x14ac:dyDescent="0.3">
      <c r="A26">
        <v>1</v>
      </c>
      <c r="B26">
        <v>3.5042941071531475</v>
      </c>
      <c r="C26">
        <v>9.5705892846852603E-2</v>
      </c>
    </row>
    <row r="27" spans="1:9" x14ac:dyDescent="0.3">
      <c r="A27">
        <v>2</v>
      </c>
      <c r="B27">
        <v>3.2262982897330525</v>
      </c>
      <c r="C27">
        <v>-0.17629828973305273</v>
      </c>
    </row>
    <row r="28" spans="1:9" x14ac:dyDescent="0.3">
      <c r="A28">
        <v>3</v>
      </c>
      <c r="B28">
        <v>3.4063214291257564</v>
      </c>
      <c r="C28">
        <v>-0.10632142912575659</v>
      </c>
    </row>
    <row r="29" spans="1:9" x14ac:dyDescent="0.3">
      <c r="A29">
        <v>4</v>
      </c>
      <c r="B29">
        <v>3.2284212519546633</v>
      </c>
      <c r="C29">
        <v>-0.17842125195466352</v>
      </c>
    </row>
    <row r="30" spans="1:9" x14ac:dyDescent="0.3">
      <c r="A30">
        <v>5</v>
      </c>
      <c r="B30">
        <v>3.0505210747835694</v>
      </c>
      <c r="C30">
        <v>0.29947892521643071</v>
      </c>
    </row>
    <row r="31" spans="1:9" x14ac:dyDescent="0.3">
      <c r="A31">
        <v>6</v>
      </c>
      <c r="B31">
        <v>1.6821962023435233</v>
      </c>
      <c r="C31">
        <v>0.33780379765647672</v>
      </c>
    </row>
    <row r="32" spans="1:9" x14ac:dyDescent="0.3">
      <c r="A32">
        <v>7</v>
      </c>
      <c r="B32">
        <v>3.3157791188740018</v>
      </c>
      <c r="C32">
        <v>-1.5779118874001963E-2</v>
      </c>
    </row>
    <row r="33" spans="1:3" x14ac:dyDescent="0.3">
      <c r="A33">
        <v>8</v>
      </c>
      <c r="B33">
        <v>2.892894510662213</v>
      </c>
      <c r="C33">
        <v>0.15710548933778679</v>
      </c>
    </row>
    <row r="34" spans="1:3" x14ac:dyDescent="0.3">
      <c r="A34">
        <v>9</v>
      </c>
      <c r="B34">
        <v>3.1304485739272723</v>
      </c>
      <c r="C34">
        <v>-8.0448573927272449E-2</v>
      </c>
    </row>
    <row r="35" spans="1:3" x14ac:dyDescent="0.3">
      <c r="A35">
        <v>10</v>
      </c>
      <c r="B35">
        <v>2.0793521312293364</v>
      </c>
      <c r="C35">
        <v>0.30064786877066352</v>
      </c>
    </row>
    <row r="36" spans="1:3" x14ac:dyDescent="0.3">
      <c r="A36">
        <v>11</v>
      </c>
      <c r="B36">
        <v>2.2833633913929523</v>
      </c>
      <c r="C36">
        <v>-0.13336339139295239</v>
      </c>
    </row>
    <row r="37" spans="1:3" x14ac:dyDescent="0.3">
      <c r="A37">
        <v>12</v>
      </c>
      <c r="B37">
        <v>3.1903147562433993</v>
      </c>
      <c r="C37">
        <v>8.9685243756600475E-2</v>
      </c>
    </row>
    <row r="38" spans="1:3" x14ac:dyDescent="0.3">
      <c r="A38">
        <v>13</v>
      </c>
      <c r="B38">
        <v>3.076526685831654</v>
      </c>
      <c r="C38">
        <v>-0.30652668583165399</v>
      </c>
    </row>
    <row r="39" spans="1:3" x14ac:dyDescent="0.3">
      <c r="A39">
        <v>14</v>
      </c>
      <c r="B39">
        <v>2.9332729816505845</v>
      </c>
      <c r="C39">
        <v>0.34672701834941533</v>
      </c>
    </row>
    <row r="40" spans="1:3" x14ac:dyDescent="0.3">
      <c r="A40">
        <v>15</v>
      </c>
      <c r="B40">
        <v>3.1903147562433993</v>
      </c>
      <c r="C40">
        <v>8.9685243756600475E-2</v>
      </c>
    </row>
    <row r="41" spans="1:3" x14ac:dyDescent="0.3">
      <c r="A41">
        <v>16</v>
      </c>
      <c r="B41">
        <v>2.7509989613696604</v>
      </c>
      <c r="C41">
        <v>0.27900103863033943</v>
      </c>
    </row>
    <row r="42" spans="1:3" x14ac:dyDescent="0.3">
      <c r="A42">
        <v>17</v>
      </c>
      <c r="B42">
        <v>2.0855930992275571</v>
      </c>
      <c r="C42">
        <v>-0.94559309922755719</v>
      </c>
    </row>
    <row r="43" spans="1:3" x14ac:dyDescent="0.3">
      <c r="A43">
        <v>18</v>
      </c>
      <c r="B43">
        <v>2.9177542630439413</v>
      </c>
      <c r="C43">
        <v>0.12224573695605878</v>
      </c>
    </row>
    <row r="44" spans="1:3" ht="15" thickBot="1" x14ac:dyDescent="0.35">
      <c r="A44" s="153">
        <v>19</v>
      </c>
      <c r="B44" s="153">
        <v>3.3053344152103357</v>
      </c>
      <c r="C44" s="153">
        <v>-0.17533441521033577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53934-1422-42C3-AA3B-9C9D3BDE2AD3}">
  <dimension ref="A1:E21"/>
  <sheetViews>
    <sheetView zoomScaleNormal="100" workbookViewId="0">
      <selection activeCell="H3" sqref="H3"/>
    </sheetView>
  </sheetViews>
  <sheetFormatPr defaultRowHeight="14.4" x14ac:dyDescent="0.3"/>
  <sheetData>
    <row r="1" spans="1:5" x14ac:dyDescent="0.3">
      <c r="A1" s="68" t="s">
        <v>159</v>
      </c>
      <c r="B1" s="68" t="s">
        <v>160</v>
      </c>
      <c r="C1" s="68" t="s">
        <v>165</v>
      </c>
      <c r="D1" s="68" t="s">
        <v>166</v>
      </c>
      <c r="E1" s="68" t="s">
        <v>146</v>
      </c>
    </row>
    <row r="2" spans="1:5" x14ac:dyDescent="0.3">
      <c r="A2" s="71">
        <v>3.6</v>
      </c>
      <c r="B2" s="70">
        <v>3.58</v>
      </c>
      <c r="C2" s="70">
        <v>3.05</v>
      </c>
      <c r="D2" s="70">
        <v>3.7</v>
      </c>
      <c r="E2" s="70" t="s">
        <v>153</v>
      </c>
    </row>
    <row r="3" spans="1:5" x14ac:dyDescent="0.3">
      <c r="A3" s="73">
        <v>3.6</v>
      </c>
      <c r="B3" s="73">
        <v>3.68</v>
      </c>
      <c r="C3" s="73">
        <v>3.3</v>
      </c>
      <c r="D3" s="73">
        <v>3.85</v>
      </c>
      <c r="E3" s="73" t="s">
        <v>153</v>
      </c>
    </row>
    <row r="4" spans="1:5" x14ac:dyDescent="0.3">
      <c r="A4" s="70">
        <v>3.05</v>
      </c>
      <c r="B4" s="70">
        <v>3.05</v>
      </c>
      <c r="C4" s="70">
        <v>3.3</v>
      </c>
      <c r="D4" s="70">
        <v>3.4</v>
      </c>
      <c r="E4" s="70" t="s">
        <v>153</v>
      </c>
    </row>
    <row r="5" spans="1:5" x14ac:dyDescent="0.3">
      <c r="A5" s="73">
        <v>3.3</v>
      </c>
      <c r="B5" s="73">
        <v>3.42</v>
      </c>
      <c r="C5" s="73">
        <v>3.55</v>
      </c>
      <c r="D5" s="73">
        <v>3.7</v>
      </c>
      <c r="E5" s="73" t="s">
        <v>153</v>
      </c>
    </row>
    <row r="6" spans="1:5" x14ac:dyDescent="0.3">
      <c r="A6" s="71">
        <v>3.05</v>
      </c>
      <c r="B6" s="70">
        <v>3.2</v>
      </c>
      <c r="C6" s="70">
        <v>3.2</v>
      </c>
      <c r="D6" s="70">
        <v>3.4</v>
      </c>
      <c r="E6" s="70" t="s">
        <v>153</v>
      </c>
    </row>
    <row r="7" spans="1:5" x14ac:dyDescent="0.3">
      <c r="A7" s="73">
        <v>3.35</v>
      </c>
      <c r="B7" s="73">
        <v>3</v>
      </c>
      <c r="C7" s="73">
        <v>2.85</v>
      </c>
      <c r="D7" s="73">
        <v>3.1</v>
      </c>
      <c r="E7" s="73" t="s">
        <v>153</v>
      </c>
    </row>
    <row r="8" spans="1:5" x14ac:dyDescent="0.3">
      <c r="A8" s="70">
        <v>2.02</v>
      </c>
      <c r="B8" s="70">
        <v>2.0299999999999998</v>
      </c>
      <c r="C8" s="70">
        <v>1.83</v>
      </c>
      <c r="D8" s="70">
        <v>0.85</v>
      </c>
      <c r="E8" s="70" t="s">
        <v>154</v>
      </c>
    </row>
    <row r="9" spans="1:5" x14ac:dyDescent="0.3">
      <c r="A9" s="73">
        <v>3.3</v>
      </c>
      <c r="B9" s="73">
        <v>2.79</v>
      </c>
      <c r="C9" s="73">
        <v>3.45</v>
      </c>
      <c r="D9" s="73">
        <v>3.55</v>
      </c>
      <c r="E9" s="73" t="s">
        <v>153</v>
      </c>
    </row>
    <row r="10" spans="1:5" x14ac:dyDescent="0.3">
      <c r="A10" s="71">
        <v>3.05</v>
      </c>
      <c r="B10" s="70">
        <v>2.79</v>
      </c>
      <c r="C10" s="70">
        <v>3</v>
      </c>
      <c r="D10" s="70">
        <v>2.85</v>
      </c>
      <c r="E10" s="70" t="s">
        <v>154</v>
      </c>
    </row>
    <row r="11" spans="1:5" x14ac:dyDescent="0.3">
      <c r="A11" s="73">
        <v>3.05</v>
      </c>
      <c r="B11" s="73">
        <v>2.95</v>
      </c>
      <c r="C11" s="73">
        <v>3.45</v>
      </c>
      <c r="D11" s="73">
        <v>3.25</v>
      </c>
      <c r="E11" s="73" t="s">
        <v>154</v>
      </c>
    </row>
    <row r="12" spans="1:5" x14ac:dyDescent="0.3">
      <c r="A12" s="71">
        <v>2.38</v>
      </c>
      <c r="B12" s="70">
        <v>1.58</v>
      </c>
      <c r="C12" s="70">
        <v>0</v>
      </c>
      <c r="D12" s="70">
        <v>1.43</v>
      </c>
      <c r="E12" s="70" t="s">
        <v>154</v>
      </c>
    </row>
    <row r="13" spans="1:5" x14ac:dyDescent="0.3">
      <c r="A13" s="73">
        <v>2.15</v>
      </c>
      <c r="B13" s="73">
        <v>2.02</v>
      </c>
      <c r="C13" s="73">
        <v>2.0299999999999998</v>
      </c>
      <c r="D13" s="73">
        <v>1.83</v>
      </c>
      <c r="E13" s="73" t="s">
        <v>154</v>
      </c>
    </row>
    <row r="14" spans="1:5" x14ac:dyDescent="0.3">
      <c r="A14" s="70">
        <v>3.28</v>
      </c>
      <c r="B14" s="70">
        <v>3.37</v>
      </c>
      <c r="C14" s="70">
        <v>3.54</v>
      </c>
      <c r="D14" s="70">
        <v>3.35</v>
      </c>
      <c r="E14" s="70" t="s">
        <v>153</v>
      </c>
    </row>
    <row r="15" spans="1:5" x14ac:dyDescent="0.3">
      <c r="A15" s="73">
        <v>2.77</v>
      </c>
      <c r="B15" s="73">
        <v>3.05</v>
      </c>
      <c r="C15" s="73">
        <v>3.08</v>
      </c>
      <c r="D15" s="73">
        <v>3.15</v>
      </c>
      <c r="E15" s="73" t="s">
        <v>153</v>
      </c>
    </row>
    <row r="16" spans="1:5" x14ac:dyDescent="0.3">
      <c r="A16" s="71">
        <v>3.28</v>
      </c>
      <c r="B16" s="70">
        <v>2.13</v>
      </c>
      <c r="C16" s="70">
        <v>1.68</v>
      </c>
      <c r="D16" s="74">
        <v>2.87</v>
      </c>
      <c r="E16" s="70" t="s">
        <v>154</v>
      </c>
    </row>
    <row r="17" spans="1:5" x14ac:dyDescent="0.3">
      <c r="A17" s="73">
        <v>3.28</v>
      </c>
      <c r="B17" s="73">
        <v>3.37</v>
      </c>
      <c r="C17" s="73">
        <v>3.54</v>
      </c>
      <c r="D17" s="73">
        <v>3.35</v>
      </c>
      <c r="E17" s="73" t="s">
        <v>153</v>
      </c>
    </row>
    <row r="18" spans="1:5" x14ac:dyDescent="0.3">
      <c r="A18" s="70">
        <v>3.03</v>
      </c>
      <c r="B18" s="70">
        <v>2.71</v>
      </c>
      <c r="C18" s="70">
        <v>2.7</v>
      </c>
      <c r="D18" s="70">
        <v>2.61</v>
      </c>
      <c r="E18" s="70" t="s">
        <v>154</v>
      </c>
    </row>
    <row r="19" spans="1:5" x14ac:dyDescent="0.3">
      <c r="A19" s="73">
        <v>1.1399999999999999</v>
      </c>
      <c r="B19" s="73">
        <v>1.49</v>
      </c>
      <c r="C19" s="73">
        <v>0.87</v>
      </c>
      <c r="D19" s="73">
        <v>1.47</v>
      </c>
      <c r="E19" s="73" t="s">
        <v>154</v>
      </c>
    </row>
    <row r="20" spans="1:5" x14ac:dyDescent="0.3">
      <c r="A20" s="71">
        <v>3.04</v>
      </c>
      <c r="B20" s="70">
        <v>2.21</v>
      </c>
      <c r="C20" s="70">
        <v>2.12</v>
      </c>
      <c r="D20" s="70">
        <v>2.86</v>
      </c>
      <c r="E20" s="70" t="s">
        <v>153</v>
      </c>
    </row>
    <row r="21" spans="1:5" x14ac:dyDescent="0.3">
      <c r="A21" s="73">
        <v>3.13</v>
      </c>
      <c r="B21" s="73">
        <v>3.26</v>
      </c>
      <c r="C21" s="73">
        <v>3.36</v>
      </c>
      <c r="D21" s="73">
        <v>3.53</v>
      </c>
      <c r="E21" s="73" t="s">
        <v>153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27B1D-F03B-4874-BCA7-CA45CB839072}">
  <dimension ref="A1:AG130"/>
  <sheetViews>
    <sheetView topLeftCell="A4" zoomScale="70" zoomScaleNormal="70" workbookViewId="0">
      <selection activeCell="C46" sqref="C46"/>
    </sheetView>
  </sheetViews>
  <sheetFormatPr defaultRowHeight="14.4" x14ac:dyDescent="0.3"/>
  <cols>
    <col min="1" max="1" width="18.5546875" customWidth="1"/>
    <col min="3" max="3" width="14" customWidth="1"/>
    <col min="6" max="6" width="19" customWidth="1"/>
    <col min="7" max="7" width="16.5546875" customWidth="1"/>
    <col min="8" max="8" width="15.5546875" customWidth="1"/>
    <col min="9" max="9" width="17.88671875" customWidth="1"/>
    <col min="11" max="11" width="16.44140625" customWidth="1"/>
    <col min="14" max="14" width="13" customWidth="1"/>
    <col min="18" max="18" width="17.6640625" customWidth="1"/>
    <col min="22" max="22" width="10.6640625" customWidth="1"/>
    <col min="23" max="23" width="13.44140625" customWidth="1"/>
    <col min="25" max="25" width="13.44140625" customWidth="1"/>
    <col min="26" max="26" width="9.109375" customWidth="1"/>
    <col min="27" max="27" width="15.88671875" customWidth="1"/>
    <col min="28" max="28" width="13.5546875" customWidth="1"/>
    <col min="29" max="29" width="12.44140625" customWidth="1"/>
    <col min="31" max="31" width="13.88671875" customWidth="1"/>
  </cols>
  <sheetData>
    <row r="1" spans="1:16" x14ac:dyDescent="0.3">
      <c r="A1" s="67" t="s">
        <v>148</v>
      </c>
      <c r="B1" s="67" t="s">
        <v>1</v>
      </c>
      <c r="C1" s="68" t="s">
        <v>159</v>
      </c>
      <c r="D1" s="68" t="s">
        <v>160</v>
      </c>
      <c r="E1" s="68" t="s">
        <v>165</v>
      </c>
      <c r="F1" s="68" t="s">
        <v>166</v>
      </c>
      <c r="G1" s="68" t="s">
        <v>146</v>
      </c>
      <c r="J1" s="9" t="s">
        <v>269</v>
      </c>
    </row>
    <row r="2" spans="1:16" x14ac:dyDescent="0.3">
      <c r="A2" s="69" t="s">
        <v>150</v>
      </c>
      <c r="B2" s="70" t="s">
        <v>6</v>
      </c>
      <c r="C2" s="71">
        <v>3.6</v>
      </c>
      <c r="D2" s="70">
        <v>3.58</v>
      </c>
      <c r="E2" s="70">
        <v>3.05</v>
      </c>
      <c r="F2" s="70">
        <v>3.7</v>
      </c>
      <c r="G2" s="70" t="s">
        <v>153</v>
      </c>
    </row>
    <row r="3" spans="1:16" x14ac:dyDescent="0.3">
      <c r="A3" s="72" t="s">
        <v>150</v>
      </c>
      <c r="B3" s="73" t="s">
        <v>8</v>
      </c>
      <c r="C3" s="73">
        <v>3.6</v>
      </c>
      <c r="D3" s="73">
        <v>3.68</v>
      </c>
      <c r="E3" s="73">
        <v>3.3</v>
      </c>
      <c r="F3" s="73">
        <v>3.85</v>
      </c>
      <c r="G3" s="73" t="s">
        <v>153</v>
      </c>
      <c r="J3" s="159" t="s">
        <v>57</v>
      </c>
      <c r="K3" s="159"/>
      <c r="L3" s="34" t="s">
        <v>58</v>
      </c>
      <c r="M3" s="35" t="s">
        <v>153</v>
      </c>
      <c r="N3" s="35" t="s">
        <v>154</v>
      </c>
      <c r="O3" s="36"/>
    </row>
    <row r="4" spans="1:16" x14ac:dyDescent="0.3">
      <c r="A4" s="69" t="s">
        <v>151</v>
      </c>
      <c r="B4" s="70" t="s">
        <v>8</v>
      </c>
      <c r="C4" s="70">
        <v>3.05</v>
      </c>
      <c r="D4" s="70">
        <v>3.05</v>
      </c>
      <c r="E4" s="70">
        <v>3.3</v>
      </c>
      <c r="F4" s="70">
        <v>3.4</v>
      </c>
      <c r="G4" s="70" t="s">
        <v>153</v>
      </c>
      <c r="J4" s="171" t="s">
        <v>25</v>
      </c>
      <c r="K4" s="172"/>
      <c r="L4" s="8">
        <f>COUNTA(A2:A21)</f>
        <v>20</v>
      </c>
      <c r="M4" s="8">
        <f>COUNTIF($G$2:$G$21,M3)</f>
        <v>12</v>
      </c>
      <c r="N4" s="8">
        <f>COUNTIF($G$2:$G$21,N3)</f>
        <v>8</v>
      </c>
    </row>
    <row r="5" spans="1:16" x14ac:dyDescent="0.3">
      <c r="A5" s="72" t="s">
        <v>21</v>
      </c>
      <c r="B5" s="73" t="s">
        <v>8</v>
      </c>
      <c r="C5" s="73">
        <v>3.3</v>
      </c>
      <c r="D5" s="73">
        <v>3.42</v>
      </c>
      <c r="E5" s="73">
        <v>3.55</v>
      </c>
      <c r="F5" s="73">
        <v>3.7</v>
      </c>
      <c r="G5" s="73" t="s">
        <v>153</v>
      </c>
    </row>
    <row r="6" spans="1:16" x14ac:dyDescent="0.3">
      <c r="A6" s="69" t="s">
        <v>150</v>
      </c>
      <c r="B6" s="70" t="s">
        <v>8</v>
      </c>
      <c r="C6" s="71">
        <v>3.05</v>
      </c>
      <c r="D6" s="70">
        <v>3.2</v>
      </c>
      <c r="E6" s="70">
        <v>3.2</v>
      </c>
      <c r="F6" s="70">
        <v>3.4</v>
      </c>
      <c r="G6" s="70" t="s">
        <v>153</v>
      </c>
      <c r="J6" s="9" t="s">
        <v>267</v>
      </c>
    </row>
    <row r="7" spans="1:16" x14ac:dyDescent="0.3">
      <c r="A7" s="72" t="s">
        <v>150</v>
      </c>
      <c r="B7" s="73" t="s">
        <v>6</v>
      </c>
      <c r="C7" s="73">
        <v>3.35</v>
      </c>
      <c r="D7" s="73">
        <v>3</v>
      </c>
      <c r="E7" s="73">
        <v>2.85</v>
      </c>
      <c r="F7" s="73">
        <v>3.1</v>
      </c>
      <c r="G7" s="73" t="s">
        <v>153</v>
      </c>
      <c r="J7" s="9"/>
    </row>
    <row r="8" spans="1:16" x14ac:dyDescent="0.3">
      <c r="A8" s="72" t="s">
        <v>152</v>
      </c>
      <c r="B8" s="70" t="s">
        <v>8</v>
      </c>
      <c r="C8" s="70">
        <v>2.02</v>
      </c>
      <c r="D8" s="70">
        <v>2.0299999999999998</v>
      </c>
      <c r="E8" s="70">
        <v>1.83</v>
      </c>
      <c r="F8" s="70">
        <v>0.85</v>
      </c>
      <c r="G8" s="70" t="s">
        <v>154</v>
      </c>
      <c r="J8" s="169" t="s">
        <v>57</v>
      </c>
      <c r="K8" s="169"/>
      <c r="L8" s="38" t="s">
        <v>58</v>
      </c>
      <c r="M8" s="35" t="s">
        <v>153</v>
      </c>
      <c r="N8" s="35" t="s">
        <v>154</v>
      </c>
      <c r="O8" s="174" t="s">
        <v>268</v>
      </c>
      <c r="P8" s="175"/>
    </row>
    <row r="9" spans="1:16" x14ac:dyDescent="0.3">
      <c r="A9" s="72" t="s">
        <v>150</v>
      </c>
      <c r="B9" s="73" t="s">
        <v>8</v>
      </c>
      <c r="C9" s="73">
        <v>3.3</v>
      </c>
      <c r="D9" s="73">
        <v>2.79</v>
      </c>
      <c r="E9" s="73">
        <v>3.45</v>
      </c>
      <c r="F9" s="73">
        <v>3.55</v>
      </c>
      <c r="G9" s="73" t="s">
        <v>153</v>
      </c>
      <c r="J9" s="42"/>
      <c r="K9" s="42"/>
      <c r="L9" s="42"/>
      <c r="M9" s="42"/>
      <c r="N9" s="42"/>
      <c r="O9" s="42"/>
      <c r="P9" s="147"/>
    </row>
    <row r="10" spans="1:16" x14ac:dyDescent="0.3">
      <c r="A10" s="72" t="s">
        <v>152</v>
      </c>
      <c r="B10" s="70" t="s">
        <v>6</v>
      </c>
      <c r="C10" s="71">
        <v>3.05</v>
      </c>
      <c r="D10" s="70">
        <v>2.79</v>
      </c>
      <c r="E10" s="70">
        <v>3</v>
      </c>
      <c r="F10" s="70">
        <v>2.85</v>
      </c>
      <c r="G10" s="70" t="s">
        <v>154</v>
      </c>
      <c r="J10" s="170" t="s">
        <v>148</v>
      </c>
      <c r="K10" s="16" t="s">
        <v>150</v>
      </c>
      <c r="L10" s="40">
        <f>COUNTIF($A$2:$A$21,K10)</f>
        <v>8</v>
      </c>
      <c r="M10" s="40">
        <f>COUNTIFS($A$2:$A$21,$K10,$G$2:$G$21,$M$8)</f>
        <v>7</v>
      </c>
      <c r="N10" s="40">
        <f>COUNTIFS($A$2:$A$21,$K10,$G$2:$G$21,$N$8)</f>
        <v>1</v>
      </c>
      <c r="O10" s="40">
        <f>1-(($M10/$L10)^2+($N10/$L10)^2)</f>
        <v>0.21875</v>
      </c>
      <c r="P10" s="170">
        <f>($L10/$L$4*$O10)+($L11/$L$4*$O11)+($L12/$L$4*$O12)+($L13/$L$4*$O13)</f>
        <v>0.31250000000000006</v>
      </c>
    </row>
    <row r="11" spans="1:16" x14ac:dyDescent="0.3">
      <c r="A11" s="72" t="s">
        <v>152</v>
      </c>
      <c r="B11" s="73" t="s">
        <v>6</v>
      </c>
      <c r="C11" s="73">
        <v>3.05</v>
      </c>
      <c r="D11" s="73">
        <v>2.95</v>
      </c>
      <c r="E11" s="73">
        <v>3.45</v>
      </c>
      <c r="F11" s="73">
        <v>3.25</v>
      </c>
      <c r="G11" s="73" t="s">
        <v>154</v>
      </c>
      <c r="J11" s="170"/>
      <c r="K11" s="16" t="s">
        <v>151</v>
      </c>
      <c r="L11" s="40">
        <f t="shared" ref="L11:L13" si="0">COUNTIF($A$2:$A$21,K11)</f>
        <v>4</v>
      </c>
      <c r="M11" s="40">
        <f t="shared" ref="M11:M13" si="1">COUNTIFS($A$2:$A$21,$K11,$G$2:$G$21,$M$8)</f>
        <v>1</v>
      </c>
      <c r="N11" s="40">
        <f t="shared" ref="N11:N13" si="2">COUNTIFS($A$2:$A$21,$K11,$G$2:$G$21,$N$8)</f>
        <v>3</v>
      </c>
      <c r="O11" s="40">
        <f t="shared" ref="O11:O13" si="3">1-(($M11/$L11)^2+($N11/$L11)^2)</f>
        <v>0.375</v>
      </c>
      <c r="P11" s="170"/>
    </row>
    <row r="12" spans="1:16" x14ac:dyDescent="0.3">
      <c r="A12" s="69" t="s">
        <v>151</v>
      </c>
      <c r="B12" s="70" t="s">
        <v>8</v>
      </c>
      <c r="C12" s="71">
        <v>2.38</v>
      </c>
      <c r="D12" s="70">
        <v>1.58</v>
      </c>
      <c r="E12" s="70">
        <v>0</v>
      </c>
      <c r="F12" s="70">
        <v>1.43</v>
      </c>
      <c r="G12" s="70" t="s">
        <v>154</v>
      </c>
      <c r="J12" s="170"/>
      <c r="K12" s="16" t="s">
        <v>21</v>
      </c>
      <c r="L12" s="40">
        <f t="shared" si="0"/>
        <v>4</v>
      </c>
      <c r="M12" s="40">
        <f t="shared" si="1"/>
        <v>3</v>
      </c>
      <c r="N12" s="40">
        <f t="shared" si="2"/>
        <v>1</v>
      </c>
      <c r="O12" s="40">
        <f t="shared" si="3"/>
        <v>0.375</v>
      </c>
      <c r="P12" s="170"/>
    </row>
    <row r="13" spans="1:16" x14ac:dyDescent="0.3">
      <c r="A13" s="72" t="s">
        <v>151</v>
      </c>
      <c r="B13" s="73" t="s">
        <v>8</v>
      </c>
      <c r="C13" s="73">
        <v>2.15</v>
      </c>
      <c r="D13" s="73">
        <v>2.02</v>
      </c>
      <c r="E13" s="73">
        <v>2.0299999999999998</v>
      </c>
      <c r="F13" s="73">
        <v>1.83</v>
      </c>
      <c r="G13" s="73" t="s">
        <v>154</v>
      </c>
      <c r="J13" s="170"/>
      <c r="K13" s="16" t="s">
        <v>152</v>
      </c>
      <c r="L13" s="40">
        <f t="shared" si="0"/>
        <v>4</v>
      </c>
      <c r="M13" s="40">
        <f t="shared" si="1"/>
        <v>1</v>
      </c>
      <c r="N13" s="40">
        <f t="shared" si="2"/>
        <v>3</v>
      </c>
      <c r="O13" s="40">
        <f t="shared" si="3"/>
        <v>0.375</v>
      </c>
      <c r="P13" s="170"/>
    </row>
    <row r="14" spans="1:16" x14ac:dyDescent="0.3">
      <c r="A14" s="69" t="s">
        <v>21</v>
      </c>
      <c r="B14" s="70" t="s">
        <v>6</v>
      </c>
      <c r="C14" s="70">
        <v>3.28</v>
      </c>
      <c r="D14" s="70">
        <v>3.37</v>
      </c>
      <c r="E14" s="70">
        <v>3.54</v>
      </c>
      <c r="F14" s="70">
        <v>3.35</v>
      </c>
      <c r="G14" s="70" t="s">
        <v>153</v>
      </c>
      <c r="J14" s="170" t="s">
        <v>1</v>
      </c>
      <c r="K14" s="44"/>
      <c r="L14" s="44"/>
      <c r="M14" s="44"/>
      <c r="N14" s="44"/>
      <c r="O14" s="44"/>
      <c r="P14" s="39"/>
    </row>
    <row r="15" spans="1:16" x14ac:dyDescent="0.3">
      <c r="A15" s="72" t="s">
        <v>150</v>
      </c>
      <c r="B15" s="73" t="s">
        <v>6</v>
      </c>
      <c r="C15" s="73">
        <v>2.77</v>
      </c>
      <c r="D15" s="73">
        <v>3.05</v>
      </c>
      <c r="E15" s="73">
        <v>3.08</v>
      </c>
      <c r="F15" s="73">
        <v>3.15</v>
      </c>
      <c r="G15" s="73" t="s">
        <v>153</v>
      </c>
      <c r="J15" s="170"/>
      <c r="K15" s="40" t="s">
        <v>8</v>
      </c>
      <c r="L15" s="40">
        <f>COUNTIF($B$2:$B$21,K15)</f>
        <v>10</v>
      </c>
      <c r="M15" s="40">
        <f>COUNTIFS($B$2:$B$21,$K15,$G$2:$G$21,$M$8)</f>
        <v>6</v>
      </c>
      <c r="N15" s="40">
        <f>COUNTIFS($B$2:$B$21,$K15,$G$2:$G$21,$N$8)</f>
        <v>4</v>
      </c>
      <c r="O15" s="40">
        <f>1-(($M15/$L15)^2+($N15/$L15)^2)</f>
        <v>0.48</v>
      </c>
      <c r="P15" s="176">
        <f>($L15/$L$4*$O15)+($L16/$L$4*$O16)</f>
        <v>0.48</v>
      </c>
    </row>
    <row r="16" spans="1:16" x14ac:dyDescent="0.3">
      <c r="A16" s="69" t="s">
        <v>151</v>
      </c>
      <c r="B16" s="70" t="s">
        <v>6</v>
      </c>
      <c r="C16" s="71">
        <v>3.28</v>
      </c>
      <c r="D16" s="70">
        <v>2.13</v>
      </c>
      <c r="E16" s="70">
        <v>1.68</v>
      </c>
      <c r="F16" s="74">
        <v>2.87</v>
      </c>
      <c r="G16" s="70" t="s">
        <v>154</v>
      </c>
      <c r="J16" s="170"/>
      <c r="K16" s="40" t="s">
        <v>6</v>
      </c>
      <c r="L16" s="40">
        <f>COUNTIF($B$2:$B$21,K16)</f>
        <v>10</v>
      </c>
      <c r="M16" s="40">
        <f>COUNTIFS($B$2:$B$21,$K16,$G$2:$G$21,$M$8)</f>
        <v>6</v>
      </c>
      <c r="N16" s="40">
        <f>COUNTIFS($B$2:$B$21,$K16,$G$2:$G$21,$N$8)</f>
        <v>4</v>
      </c>
      <c r="O16" s="40">
        <f>1-(($M16/$L16)^2+($N16/$L16)^2)</f>
        <v>0.48</v>
      </c>
      <c r="P16" s="177"/>
    </row>
    <row r="17" spans="1:22" x14ac:dyDescent="0.3">
      <c r="A17" s="72" t="s">
        <v>152</v>
      </c>
      <c r="B17" s="73" t="s">
        <v>8</v>
      </c>
      <c r="C17" s="73">
        <v>3.28</v>
      </c>
      <c r="D17" s="73">
        <v>3.37</v>
      </c>
      <c r="E17" s="73">
        <v>3.54</v>
      </c>
      <c r="F17" s="73">
        <v>3.35</v>
      </c>
      <c r="G17" s="73" t="s">
        <v>153</v>
      </c>
      <c r="J17" s="9" t="s">
        <v>270</v>
      </c>
    </row>
    <row r="18" spans="1:22" x14ac:dyDescent="0.3">
      <c r="A18" s="72" t="s">
        <v>150</v>
      </c>
      <c r="B18" s="70" t="s">
        <v>6</v>
      </c>
      <c r="C18" s="70">
        <v>3.03</v>
      </c>
      <c r="D18" s="70">
        <v>2.71</v>
      </c>
      <c r="E18" s="70">
        <v>2.7</v>
      </c>
      <c r="F18" s="70">
        <v>2.61</v>
      </c>
      <c r="G18" s="70" t="s">
        <v>154</v>
      </c>
      <c r="J18" s="9" t="s">
        <v>71</v>
      </c>
    </row>
    <row r="19" spans="1:22" x14ac:dyDescent="0.3">
      <c r="A19" s="72" t="s">
        <v>21</v>
      </c>
      <c r="B19" s="73" t="s">
        <v>8</v>
      </c>
      <c r="C19" s="73">
        <v>1.1399999999999999</v>
      </c>
      <c r="D19" s="73">
        <v>1.49</v>
      </c>
      <c r="E19" s="73">
        <v>0.87</v>
      </c>
      <c r="F19" s="73">
        <v>1.47</v>
      </c>
      <c r="G19" s="73" t="s">
        <v>154</v>
      </c>
      <c r="J19" s="169" t="s">
        <v>57</v>
      </c>
      <c r="K19" s="169"/>
      <c r="L19" s="38" t="s">
        <v>58</v>
      </c>
      <c r="M19" s="35" t="s">
        <v>153</v>
      </c>
      <c r="N19" s="35" t="s">
        <v>154</v>
      </c>
      <c r="O19" s="174" t="s">
        <v>268</v>
      </c>
      <c r="P19" s="175"/>
    </row>
    <row r="20" spans="1:22" x14ac:dyDescent="0.3">
      <c r="A20" s="72" t="s">
        <v>21</v>
      </c>
      <c r="B20" s="70" t="s">
        <v>6</v>
      </c>
      <c r="C20" s="71">
        <v>3.04</v>
      </c>
      <c r="D20" s="70">
        <v>2.21</v>
      </c>
      <c r="E20" s="70">
        <v>2.12</v>
      </c>
      <c r="F20" s="70">
        <v>2.86</v>
      </c>
      <c r="G20" s="70" t="s">
        <v>153</v>
      </c>
      <c r="J20" s="170" t="s">
        <v>159</v>
      </c>
      <c r="K20" s="44"/>
      <c r="L20" s="44"/>
      <c r="M20" s="44"/>
      <c r="N20" s="44"/>
      <c r="O20" s="44"/>
      <c r="P20" s="39"/>
    </row>
    <row r="21" spans="1:22" x14ac:dyDescent="0.3">
      <c r="A21" s="72" t="s">
        <v>150</v>
      </c>
      <c r="B21" s="73" t="s">
        <v>6</v>
      </c>
      <c r="C21" s="73">
        <v>3.13</v>
      </c>
      <c r="D21" s="73">
        <v>3.26</v>
      </c>
      <c r="E21" s="73">
        <v>3.36</v>
      </c>
      <c r="F21" s="73">
        <v>3.53</v>
      </c>
      <c r="G21" s="73" t="s">
        <v>153</v>
      </c>
      <c r="J21" s="170"/>
      <c r="K21" s="39" t="s">
        <v>65</v>
      </c>
      <c r="L21" s="39">
        <f>COUNTIF($C$2:$C$21,$K21)</f>
        <v>5</v>
      </c>
      <c r="M21" s="39">
        <f>COUNTIFS($C$2:$C$21,$K21,$G$2:$G$21,$M$19)</f>
        <v>1</v>
      </c>
      <c r="N21" s="39">
        <f>COUNTIFS($C$2:$C$21,$K21,$G$2:$G$21,$N$19)</f>
        <v>4</v>
      </c>
      <c r="O21" s="39">
        <f>1-(($M21/$L21)^2+($N21/$L21)^2)</f>
        <v>0.31999999999999984</v>
      </c>
      <c r="P21" s="176">
        <f>($L21/$L$4*$O21)+($L22/$L$4*$O22)</f>
        <v>0.37333333333333335</v>
      </c>
      <c r="R21" s="9" t="s">
        <v>84</v>
      </c>
    </row>
    <row r="22" spans="1:22" x14ac:dyDescent="0.3">
      <c r="B22" s="8"/>
      <c r="C22" s="47" t="s">
        <v>159</v>
      </c>
      <c r="D22" s="47" t="s">
        <v>160</v>
      </c>
      <c r="E22" s="47" t="s">
        <v>165</v>
      </c>
      <c r="F22" s="47" t="s">
        <v>166</v>
      </c>
      <c r="J22" s="170"/>
      <c r="K22" s="39" t="s">
        <v>66</v>
      </c>
      <c r="L22" s="39">
        <f t="shared" ref="L22" si="4">COUNTIF($C$2:$C$21,$K22)</f>
        <v>15</v>
      </c>
      <c r="M22" s="39">
        <f t="shared" ref="M22" si="5">COUNTIFS($C$2:$C$21,$K22,$G$2:$G$21,$M$19)</f>
        <v>11</v>
      </c>
      <c r="N22" s="39">
        <f t="shared" ref="N22" si="6">COUNTIFS($C$2:$C$21,$K22,$G$2:$G$21,$N$19)</f>
        <v>4</v>
      </c>
      <c r="O22" s="39">
        <f>1-(($M22/$L22)^2+($N22/$L22)^2)</f>
        <v>0.39111111111111119</v>
      </c>
      <c r="P22" s="177"/>
    </row>
    <row r="23" spans="1:22" x14ac:dyDescent="0.3">
      <c r="B23" s="76" t="s">
        <v>64</v>
      </c>
      <c r="C23" s="77">
        <f>AVERAGE(C2:C21)</f>
        <v>2.9425000000000008</v>
      </c>
      <c r="D23" s="77">
        <f t="shared" ref="D23:E23" si="7">AVERAGE(D2:D21)</f>
        <v>2.7839999999999998</v>
      </c>
      <c r="E23" s="77">
        <f t="shared" si="7"/>
        <v>2.6949999999999994</v>
      </c>
      <c r="F23" s="77">
        <f>AVERAGE(F2:F21)</f>
        <v>2.9050000000000002</v>
      </c>
      <c r="J23" s="170"/>
      <c r="K23" s="39"/>
      <c r="L23" s="39"/>
      <c r="M23" s="39"/>
      <c r="N23" s="39"/>
      <c r="O23" s="39"/>
      <c r="P23" s="39"/>
      <c r="R23" s="50" t="s">
        <v>271</v>
      </c>
      <c r="S23" s="50">
        <f>MIN(P10,P15,P24,P33,P39,P48)</f>
        <v>0.15999999999999992</v>
      </c>
      <c r="T23" s="48" t="s">
        <v>160</v>
      </c>
      <c r="U23" s="51" t="s">
        <v>153</v>
      </c>
      <c r="V23" s="51" t="s">
        <v>154</v>
      </c>
    </row>
    <row r="24" spans="1:22" x14ac:dyDescent="0.3">
      <c r="B24" s="62" t="s">
        <v>67</v>
      </c>
      <c r="C24" s="78">
        <f>MEDIAN(C2:C21)</f>
        <v>3.05</v>
      </c>
      <c r="D24" s="78">
        <f t="shared" ref="D24:F24" si="8">MEDIAN(D2:D21)</f>
        <v>2.9750000000000001</v>
      </c>
      <c r="E24" s="78">
        <f t="shared" si="8"/>
        <v>3.0649999999999999</v>
      </c>
      <c r="F24" s="78">
        <f t="shared" si="8"/>
        <v>3.2</v>
      </c>
      <c r="J24" s="170"/>
      <c r="K24" s="40" t="s">
        <v>68</v>
      </c>
      <c r="L24" s="40">
        <f>COUNTIF($C$2:$C$21,$K24)</f>
        <v>11</v>
      </c>
      <c r="M24" s="40">
        <f>COUNTIFS($C$2:$C$21,$K24,$G$2:$G$21,$M$19)</f>
        <v>4</v>
      </c>
      <c r="N24" s="40">
        <f>COUNTIFS($C$2:$C$21,$K24,$G$2:$G$21,$N$19)</f>
        <v>7</v>
      </c>
      <c r="O24" s="40">
        <f>1-(($M24/$L24)^2+($N24/$L24)^2)</f>
        <v>0.46280991735537191</v>
      </c>
      <c r="P24" s="178">
        <f>($L24/$L$4*$O24)+($L25/$L$4*$O25)</f>
        <v>0.34343434343434348</v>
      </c>
      <c r="T24" s="40" t="s">
        <v>74</v>
      </c>
      <c r="U24">
        <v>2</v>
      </c>
      <c r="V24">
        <v>8</v>
      </c>
    </row>
    <row r="25" spans="1:22" x14ac:dyDescent="0.3">
      <c r="J25" s="170"/>
      <c r="K25" s="40" t="s">
        <v>69</v>
      </c>
      <c r="L25" s="40">
        <f>COUNTIF($C$2:$C$21,$K25)</f>
        <v>9</v>
      </c>
      <c r="M25" s="40">
        <f>COUNTIFS($C$2:$C$21,$K25,$G$2:$G$21,$M$19)</f>
        <v>8</v>
      </c>
      <c r="N25" s="40">
        <f>COUNTIFS($C$2:$C$21,$K25,$G$2:$G$21,$N$19)</f>
        <v>1</v>
      </c>
      <c r="O25" s="40">
        <f>1-(($M25/$L25)^2+($N25/$L25)^2)</f>
        <v>0.19753086419753085</v>
      </c>
      <c r="P25" s="179"/>
      <c r="T25" s="40" t="s">
        <v>75</v>
      </c>
      <c r="U25">
        <v>10</v>
      </c>
      <c r="V25">
        <v>0</v>
      </c>
    </row>
    <row r="26" spans="1:22" x14ac:dyDescent="0.3">
      <c r="J26" s="170"/>
      <c r="K26" s="39"/>
      <c r="L26" s="39"/>
      <c r="M26" s="39"/>
      <c r="N26" s="39"/>
      <c r="O26" s="39"/>
      <c r="P26" s="39"/>
    </row>
    <row r="27" spans="1:22" x14ac:dyDescent="0.3">
      <c r="R27" s="9" t="s">
        <v>86</v>
      </c>
    </row>
    <row r="28" spans="1:22" x14ac:dyDescent="0.3">
      <c r="J28" s="169" t="s">
        <v>57</v>
      </c>
      <c r="K28" s="169"/>
      <c r="L28" s="38" t="s">
        <v>58</v>
      </c>
      <c r="M28" s="35" t="s">
        <v>153</v>
      </c>
      <c r="N28" s="35" t="s">
        <v>154</v>
      </c>
      <c r="O28" s="174" t="s">
        <v>268</v>
      </c>
      <c r="P28" s="175"/>
    </row>
    <row r="29" spans="1:22" x14ac:dyDescent="0.3">
      <c r="A29" s="165" t="s">
        <v>117</v>
      </c>
      <c r="B29" s="165"/>
      <c r="C29" s="165"/>
      <c r="D29" s="165"/>
      <c r="E29" s="165"/>
      <c r="F29" s="165"/>
      <c r="G29" s="165"/>
      <c r="J29" s="170" t="s">
        <v>160</v>
      </c>
      <c r="K29" s="44"/>
      <c r="L29" s="44"/>
      <c r="M29" s="44"/>
      <c r="N29" s="44"/>
      <c r="O29" s="44"/>
      <c r="P29" s="39"/>
    </row>
    <row r="30" spans="1:22" x14ac:dyDescent="0.3">
      <c r="A30" s="4" t="s">
        <v>148</v>
      </c>
      <c r="B30" s="4" t="s">
        <v>1</v>
      </c>
      <c r="C30" s="5" t="s">
        <v>159</v>
      </c>
      <c r="D30" s="5" t="s">
        <v>160</v>
      </c>
      <c r="E30" s="5" t="s">
        <v>165</v>
      </c>
      <c r="F30" s="5" t="s">
        <v>166</v>
      </c>
      <c r="G30" s="5" t="s">
        <v>146</v>
      </c>
      <c r="H30" s="54" t="s">
        <v>118</v>
      </c>
      <c r="J30" s="170"/>
      <c r="K30" s="39" t="s">
        <v>72</v>
      </c>
      <c r="L30" s="39">
        <f>COUNTIF($D$2:$D$21,$K30)</f>
        <v>7</v>
      </c>
      <c r="M30" s="39">
        <f>COUNTIFS($D$2:$D$21,$K30,$G$2:$G$21,$M$19)</f>
        <v>1</v>
      </c>
      <c r="N30" s="39">
        <f>COUNTIFS($D$2:$D$21,$K30,$G$2:$G$21,$N$19)</f>
        <v>6</v>
      </c>
      <c r="O30" s="39">
        <f>1-(($M30/$L30)^2+($N30/$L30)^2)</f>
        <v>0.24489795918367352</v>
      </c>
      <c r="P30" s="176">
        <f>($L30/$L$4*$O30)+($L31/$L$4*$O31)</f>
        <v>0.25494505494505498</v>
      </c>
    </row>
    <row r="31" spans="1:22" x14ac:dyDescent="0.3">
      <c r="A31" s="72" t="s">
        <v>21</v>
      </c>
      <c r="B31" s="73" t="s">
        <v>8</v>
      </c>
      <c r="C31" s="73">
        <v>3.05</v>
      </c>
      <c r="D31" s="73">
        <v>1.99</v>
      </c>
      <c r="E31" s="73">
        <v>2.46</v>
      </c>
      <c r="F31" s="73">
        <v>0.94</v>
      </c>
      <c r="G31" s="73" t="s">
        <v>154</v>
      </c>
      <c r="H31" s="57" t="str">
        <f>IF(D31&gt;2.98,"Lulus","Tidak Lulus")</f>
        <v>Tidak Lulus</v>
      </c>
      <c r="J31" s="170"/>
      <c r="K31" s="39" t="s">
        <v>73</v>
      </c>
      <c r="L31" s="39">
        <f>COUNTIF($D$2:$D$21,$K31)</f>
        <v>13</v>
      </c>
      <c r="M31" s="39">
        <f>COUNTIFS($D$2:$D$21,$K31,$G$2:$G$21,$M$19)</f>
        <v>11</v>
      </c>
      <c r="N31" s="39">
        <f>COUNTIFS($D$2:$D$21,$K31,$G$2:$G$21,$N$19)</f>
        <v>2</v>
      </c>
      <c r="O31" s="39">
        <f>1-(($M31/$L31)^2+($N31/$L31)^2)</f>
        <v>0.26035502958579881</v>
      </c>
      <c r="P31" s="177"/>
    </row>
    <row r="32" spans="1:22" x14ac:dyDescent="0.3">
      <c r="A32" s="72" t="s">
        <v>21</v>
      </c>
      <c r="B32" s="70" t="s">
        <v>6</v>
      </c>
      <c r="C32" s="71">
        <v>3.04</v>
      </c>
      <c r="D32" s="70">
        <v>2.21</v>
      </c>
      <c r="E32" s="70">
        <v>2.12</v>
      </c>
      <c r="F32" s="70">
        <v>2.86</v>
      </c>
      <c r="G32" s="70" t="s">
        <v>153</v>
      </c>
      <c r="H32" s="57" t="str">
        <f>IF(D32&gt;2.98,"Lulus","Tidak Lulus")</f>
        <v>Tidak Lulus</v>
      </c>
      <c r="J32" s="170"/>
      <c r="K32" s="39"/>
      <c r="L32" s="39"/>
      <c r="M32" s="39"/>
      <c r="N32" s="39"/>
      <c r="O32" s="39"/>
      <c r="P32" s="39"/>
    </row>
    <row r="33" spans="1:18" x14ac:dyDescent="0.3">
      <c r="A33" s="69" t="s">
        <v>151</v>
      </c>
      <c r="B33" s="70" t="s">
        <v>8</v>
      </c>
      <c r="C33" s="71">
        <v>2.14</v>
      </c>
      <c r="D33" s="70">
        <v>2.15</v>
      </c>
      <c r="E33" s="70">
        <v>2.59</v>
      </c>
      <c r="F33" s="70">
        <v>2.57</v>
      </c>
      <c r="G33" s="70" t="s">
        <v>154</v>
      </c>
      <c r="H33" s="57" t="str">
        <f>IF(D33&gt;2.98,"Lulus","Tidak Lulus")</f>
        <v>Tidak Lulus</v>
      </c>
      <c r="J33" s="170"/>
      <c r="K33" s="40" t="s">
        <v>74</v>
      </c>
      <c r="L33" s="40">
        <f>COUNTIF($D$2:$D$21,$K33)</f>
        <v>10</v>
      </c>
      <c r="M33" s="40">
        <f>COUNTIFS($D$2:$D$21,$K33,$G$2:$G$21,$M$19)</f>
        <v>2</v>
      </c>
      <c r="N33" s="40">
        <f>COUNTIFS($D$2:$D$21,$K33,$G$2:$G$21,$N$19)</f>
        <v>8</v>
      </c>
      <c r="O33" s="40">
        <f>1-(($M33/$L33)^2+($N33/$L33)^2)</f>
        <v>0.31999999999999984</v>
      </c>
      <c r="P33" s="178">
        <f>($L33/$L$4*$O33)+($L34/$L$4*$O34)</f>
        <v>0.15999999999999992</v>
      </c>
    </row>
    <row r="34" spans="1:18" x14ac:dyDescent="0.3">
      <c r="A34" s="72" t="s">
        <v>150</v>
      </c>
      <c r="B34" s="73" t="s">
        <v>6</v>
      </c>
      <c r="C34" s="73">
        <v>3.35</v>
      </c>
      <c r="D34" s="73">
        <v>3</v>
      </c>
      <c r="E34" s="73">
        <v>2.85</v>
      </c>
      <c r="F34" s="73">
        <v>3.1</v>
      </c>
      <c r="G34" s="73" t="s">
        <v>153</v>
      </c>
      <c r="H34" s="57" t="str">
        <f>IF(D34&gt;2.98,"Lulus","Tidak Lulus")</f>
        <v>Lulus</v>
      </c>
      <c r="J34" s="170"/>
      <c r="K34" s="40" t="s">
        <v>75</v>
      </c>
      <c r="L34" s="40">
        <f>COUNTIF($D$2:$D$21,$K34)</f>
        <v>10</v>
      </c>
      <c r="M34" s="40">
        <f>COUNTIFS($D$2:$D$21,$K34,$G$2:$G$21,$M$19)</f>
        <v>10</v>
      </c>
      <c r="N34" s="40">
        <f>COUNTIFS($D$2:$D$21,$K34,$G$2:$G$21,$N$19)</f>
        <v>0</v>
      </c>
      <c r="O34" s="40">
        <f>1-(($M34/$L34)^2+($N34/$L34)^2)</f>
        <v>0</v>
      </c>
      <c r="P34" s="179"/>
    </row>
    <row r="35" spans="1:18" x14ac:dyDescent="0.3">
      <c r="A35" s="72" t="s">
        <v>152</v>
      </c>
      <c r="B35" s="70" t="s">
        <v>8</v>
      </c>
      <c r="C35" s="70">
        <v>1.4</v>
      </c>
      <c r="D35" s="70">
        <v>2.39</v>
      </c>
      <c r="E35" s="70">
        <v>2.5099999999999998</v>
      </c>
      <c r="F35" s="70">
        <v>3.56</v>
      </c>
      <c r="G35" s="70" t="s">
        <v>154</v>
      </c>
      <c r="H35" s="57" t="str">
        <f>IF(D35&gt;2.98,"Lulus","Tidak Lulus")</f>
        <v>Tidak Lulus</v>
      </c>
      <c r="J35" s="170"/>
      <c r="K35" s="39"/>
      <c r="L35" s="39"/>
      <c r="M35" s="39"/>
      <c r="N35" s="39"/>
      <c r="O35" s="39"/>
      <c r="P35" s="39"/>
    </row>
    <row r="36" spans="1:18" x14ac:dyDescent="0.3">
      <c r="A36" s="72" t="s">
        <v>150</v>
      </c>
      <c r="B36" s="73" t="s">
        <v>8</v>
      </c>
      <c r="C36" s="73">
        <v>2.56</v>
      </c>
      <c r="D36" s="73">
        <v>2.5</v>
      </c>
      <c r="E36" s="73">
        <v>0.64</v>
      </c>
      <c r="F36" s="73">
        <v>1.66</v>
      </c>
      <c r="G36" s="73" t="s">
        <v>153</v>
      </c>
      <c r="H36" s="57" t="str">
        <f t="shared" ref="H36" si="9">IF(D36&gt;2.98,"Lulus","Tidak Lulus")</f>
        <v>Tidak Lulus</v>
      </c>
    </row>
    <row r="37" spans="1:18" x14ac:dyDescent="0.3">
      <c r="J37" s="169" t="s">
        <v>57</v>
      </c>
      <c r="K37" s="169"/>
      <c r="L37" s="38" t="s">
        <v>58</v>
      </c>
      <c r="M37" s="35" t="s">
        <v>153</v>
      </c>
      <c r="N37" s="35" t="s">
        <v>154</v>
      </c>
      <c r="O37" s="174" t="s">
        <v>268</v>
      </c>
      <c r="P37" s="175"/>
    </row>
    <row r="38" spans="1:18" x14ac:dyDescent="0.3">
      <c r="J38" s="170" t="s">
        <v>165</v>
      </c>
      <c r="K38" s="44"/>
      <c r="L38" s="44"/>
      <c r="M38" s="44"/>
      <c r="N38" s="44"/>
      <c r="O38" s="44"/>
      <c r="P38" s="39"/>
      <c r="R38" t="s">
        <v>87</v>
      </c>
    </row>
    <row r="39" spans="1:18" x14ac:dyDescent="0.3">
      <c r="J39" s="170"/>
      <c r="K39" s="40" t="s">
        <v>76</v>
      </c>
      <c r="L39" s="40">
        <f>COUNTIF($E$2:$E$21,$K39)</f>
        <v>7</v>
      </c>
      <c r="M39" s="40">
        <f>COUNTIFS($E$2:$E$21,$K39,$G$2:$G$21,$M$19)</f>
        <v>1</v>
      </c>
      <c r="N39" s="40">
        <f>COUNTIFS($E$2:$E$21,$K39,$G$2:$G$21,$N$19)</f>
        <v>6</v>
      </c>
      <c r="O39" s="40">
        <f>1-(($M39/$L39)^2+($N39/$L39)^2)</f>
        <v>0.24489795918367352</v>
      </c>
      <c r="P39" s="178">
        <f>($L39/$L$4*$O39)+($L40/$L$4*$O40)</f>
        <v>0.25494505494505498</v>
      </c>
    </row>
    <row r="40" spans="1:18" x14ac:dyDescent="0.3">
      <c r="A40" s="166" t="s">
        <v>42</v>
      </c>
      <c r="B40" s="166"/>
      <c r="C40" s="166"/>
      <c r="J40" s="170"/>
      <c r="K40" s="40" t="s">
        <v>77</v>
      </c>
      <c r="L40" s="40">
        <f>COUNTIF($E$2:$E$21,$K40)</f>
        <v>13</v>
      </c>
      <c r="M40" s="40">
        <f>COUNTIFS($E$2:$E$21,$K40,$G$2:$G$21,$M$19)</f>
        <v>11</v>
      </c>
      <c r="N40" s="40">
        <f>COUNTIFS($E$2:$E$21,$K40,$G$2:$G$21,$N$19)</f>
        <v>2</v>
      </c>
      <c r="O40" s="40">
        <f>1-(($M40/$L40)^2+($N40/$L40)^2)</f>
        <v>0.26035502958579881</v>
      </c>
      <c r="P40" s="179"/>
      <c r="R40" s="9" t="s">
        <v>88</v>
      </c>
    </row>
    <row r="41" spans="1:18" x14ac:dyDescent="0.3">
      <c r="A41" s="8"/>
      <c r="B41" s="167" t="s">
        <v>43</v>
      </c>
      <c r="C41" s="167"/>
      <c r="E41" s="166" t="s">
        <v>55</v>
      </c>
      <c r="F41" s="166"/>
      <c r="G41" s="166"/>
      <c r="J41" s="170"/>
      <c r="K41" s="39"/>
      <c r="L41" s="39"/>
      <c r="M41" s="39"/>
      <c r="N41" s="39"/>
      <c r="O41" s="39"/>
      <c r="P41" s="39"/>
      <c r="R41" t="s">
        <v>172</v>
      </c>
    </row>
    <row r="42" spans="1:18" x14ac:dyDescent="0.3">
      <c r="A42" s="27" t="s">
        <v>44</v>
      </c>
      <c r="B42" s="28" t="s">
        <v>153</v>
      </c>
      <c r="C42" s="28" t="s">
        <v>154</v>
      </c>
      <c r="E42" s="33" t="s">
        <v>54</v>
      </c>
      <c r="F42" s="33" t="s">
        <v>46</v>
      </c>
      <c r="G42" s="33" t="s">
        <v>53</v>
      </c>
      <c r="J42" s="170"/>
      <c r="K42" s="39" t="s">
        <v>78</v>
      </c>
      <c r="L42" s="39">
        <f>COUNTIF($E$2:$E$21,$K42)</f>
        <v>10</v>
      </c>
      <c r="M42" s="39">
        <f>COUNTIFS($E$2:$E$21,$K42,$G$2:$G$21,$M$19)</f>
        <v>3</v>
      </c>
      <c r="N42" s="39">
        <f>COUNTIFS($E$2:$E$21,$K42,$G$2:$G$21,$N$19)</f>
        <v>7</v>
      </c>
      <c r="O42" s="39">
        <f>1-(($M42/$L42)^2+($N42/$L42)^2)</f>
        <v>0.42000000000000004</v>
      </c>
      <c r="P42" s="176">
        <f>($L42/$L$4*$O42)+($L43/$L$4*$O43)</f>
        <v>0.3</v>
      </c>
      <c r="R42" t="s">
        <v>173</v>
      </c>
    </row>
    <row r="43" spans="1:18" x14ac:dyDescent="0.3">
      <c r="A43" s="28" t="s">
        <v>153</v>
      </c>
      <c r="B43" s="29">
        <f>COUNTIFS($G$31:$G$36,$A43,$H$31:$H$36,$B$42)</f>
        <v>1</v>
      </c>
      <c r="C43" s="29">
        <f>COUNTIFS($G$31:$G$36,$A43,$H$31:$H$36,$C$42)</f>
        <v>2</v>
      </c>
      <c r="E43" s="16" t="s">
        <v>45</v>
      </c>
      <c r="F43" s="8" t="s">
        <v>56</v>
      </c>
      <c r="G43" s="8">
        <f>(B43+C44)/SUM(B43:C44)</f>
        <v>0.66666666666666663</v>
      </c>
      <c r="J43" s="170"/>
      <c r="K43" s="39" t="s">
        <v>79</v>
      </c>
      <c r="L43" s="39">
        <f>COUNTIF($E$2:$E$21,$K43)</f>
        <v>10</v>
      </c>
      <c r="M43" s="39">
        <f>COUNTIFS($E$2:$E$21,$K43,$G$2:$G$21,$M$19)</f>
        <v>9</v>
      </c>
      <c r="N43" s="39">
        <f>COUNTIFS($E$2:$E$21,$K43,$G$2:$G$21,$N$19)</f>
        <v>1</v>
      </c>
      <c r="O43" s="39">
        <f>1-(($M43/$L43)^2+($N43/$L43)^2)</f>
        <v>0.17999999999999994</v>
      </c>
      <c r="P43" s="177"/>
    </row>
    <row r="44" spans="1:18" x14ac:dyDescent="0.3">
      <c r="A44" s="28" t="s">
        <v>154</v>
      </c>
      <c r="B44" s="29">
        <f>COUNTIFS($G$31:$G$36,$A44,$H$31:$H$36,$B$42)</f>
        <v>0</v>
      </c>
      <c r="C44" s="29">
        <f>COUNTIFS($G$31:$G$36,$A44,$H$31:$H$36,$C$42)</f>
        <v>3</v>
      </c>
      <c r="E44" s="16" t="s">
        <v>47</v>
      </c>
      <c r="F44" s="8" t="s">
        <v>49</v>
      </c>
      <c r="G44" s="8">
        <f>B43/(B43+C43)</f>
        <v>0.33333333333333331</v>
      </c>
      <c r="J44" s="170"/>
      <c r="K44" s="39"/>
      <c r="L44" s="39"/>
      <c r="M44" s="39"/>
      <c r="N44" s="39"/>
      <c r="O44" s="39"/>
      <c r="P44" s="39"/>
      <c r="R44" s="9" t="s">
        <v>89</v>
      </c>
    </row>
    <row r="45" spans="1:18" x14ac:dyDescent="0.3">
      <c r="E45" s="16" t="s">
        <v>48</v>
      </c>
      <c r="F45" s="8" t="s">
        <v>251</v>
      </c>
      <c r="G45" s="8">
        <f>B43/(B43+B44)</f>
        <v>1</v>
      </c>
      <c r="R45" s="79" t="s">
        <v>174</v>
      </c>
    </row>
    <row r="46" spans="1:18" x14ac:dyDescent="0.3">
      <c r="J46" s="169" t="s">
        <v>57</v>
      </c>
      <c r="K46" s="169"/>
      <c r="L46" s="38" t="s">
        <v>58</v>
      </c>
      <c r="M46" s="35" t="s">
        <v>153</v>
      </c>
      <c r="N46" s="35" t="s">
        <v>154</v>
      </c>
      <c r="O46" s="174" t="s">
        <v>268</v>
      </c>
      <c r="P46" s="175"/>
      <c r="R46" t="s">
        <v>175</v>
      </c>
    </row>
    <row r="47" spans="1:18" x14ac:dyDescent="0.3">
      <c r="E47" t="s">
        <v>161</v>
      </c>
      <c r="J47" s="170" t="s">
        <v>166</v>
      </c>
      <c r="K47" s="44"/>
      <c r="L47" s="44"/>
      <c r="M47" s="44"/>
      <c r="N47" s="44"/>
      <c r="O47" s="44"/>
      <c r="P47" s="39"/>
    </row>
    <row r="48" spans="1:18" x14ac:dyDescent="0.3">
      <c r="E48" t="s">
        <v>162</v>
      </c>
      <c r="J48" s="170"/>
      <c r="K48" s="40" t="s">
        <v>80</v>
      </c>
      <c r="L48" s="40">
        <f>COUNTIF($F$2:$F$21,$K48)</f>
        <v>8</v>
      </c>
      <c r="M48" s="40">
        <f>COUNTIFS($F$2:$F$21,$K48,$G$2:$G$21,$M$19)</f>
        <v>1</v>
      </c>
      <c r="N48" s="40">
        <f>COUNTIFS($F$2:$F$21,$K48,$G$2:$G$21,$N$19)</f>
        <v>7</v>
      </c>
      <c r="O48" s="40">
        <f>1-(($M48/$L48)^2+($N48/$L48)^2)</f>
        <v>0.21875</v>
      </c>
      <c r="P48" s="178">
        <f>($L48/$L$4*$O48)+($L49/$L$4*$O49)</f>
        <v>0.17916666666666675</v>
      </c>
      <c r="R48" s="9" t="s">
        <v>90</v>
      </c>
    </row>
    <row r="49" spans="5:18" x14ac:dyDescent="0.3">
      <c r="E49" t="s">
        <v>163</v>
      </c>
      <c r="J49" s="170"/>
      <c r="K49" s="40" t="s">
        <v>81</v>
      </c>
      <c r="L49" s="40">
        <f>COUNTIF($F$2:$F$21,$K49)</f>
        <v>12</v>
      </c>
      <c r="M49" s="40">
        <f>COUNTIFS($F$2:$F$21,$K49,$G$2:$G$21,$M$19)</f>
        <v>11</v>
      </c>
      <c r="N49" s="40">
        <f>COUNTIFS($F$2:$F$21,$K49,$G$2:$G$21,$N$19)</f>
        <v>1</v>
      </c>
      <c r="O49" s="40">
        <f>1-(($M49/$L49)^2+($N49/$L49)^2)</f>
        <v>0.1527777777777779</v>
      </c>
      <c r="P49" s="179"/>
      <c r="R49" t="s">
        <v>91</v>
      </c>
    </row>
    <row r="50" spans="5:18" x14ac:dyDescent="0.3">
      <c r="E50" t="s">
        <v>164</v>
      </c>
      <c r="J50" s="170"/>
      <c r="K50" s="39"/>
      <c r="L50" s="39"/>
      <c r="M50" s="39"/>
      <c r="N50" s="39"/>
      <c r="O50" s="39"/>
      <c r="P50" s="39"/>
      <c r="R50" t="s">
        <v>92</v>
      </c>
    </row>
    <row r="51" spans="5:18" x14ac:dyDescent="0.3">
      <c r="J51" s="170"/>
      <c r="K51" s="39" t="s">
        <v>82</v>
      </c>
      <c r="L51" s="39">
        <f>COUNTIF($F$2:$F$21,$K51)</f>
        <v>10</v>
      </c>
      <c r="M51" s="39">
        <f>COUNTIFS($F$2:$F$21,$K51,$G$2:$G$21,$M$19)</f>
        <v>3</v>
      </c>
      <c r="N51" s="39">
        <f>COUNTIFS($F$2:$F$21,$K51,$G$2:$G$21,$N$19)</f>
        <v>7</v>
      </c>
      <c r="O51" s="39">
        <f>1-(($M51/$L51)^2+($N51/$L51)^2)</f>
        <v>0.42000000000000004</v>
      </c>
      <c r="P51" s="176">
        <f>($L51/$L$4*$O51)+($L52/$L$4*$O52)</f>
        <v>0.3</v>
      </c>
    </row>
    <row r="52" spans="5:18" x14ac:dyDescent="0.3">
      <c r="J52" s="170"/>
      <c r="K52" s="39" t="s">
        <v>83</v>
      </c>
      <c r="L52" s="39">
        <f>COUNTIF($F$2:$F$21,$K52)</f>
        <v>10</v>
      </c>
      <c r="M52" s="39">
        <f>COUNTIFS($F$2:$F$21,$K52,$G$2:$G$21,$M$19)</f>
        <v>9</v>
      </c>
      <c r="N52" s="39">
        <f>COUNTIFS($F$2:$F$21,$K52,$G$2:$G$21,$N$19)</f>
        <v>1</v>
      </c>
      <c r="O52" s="39">
        <f>1-(($M52/$L52)^2+($N52/$L52)^2)</f>
        <v>0.17999999999999994</v>
      </c>
      <c r="P52" s="177"/>
    </row>
    <row r="53" spans="5:18" x14ac:dyDescent="0.3">
      <c r="J53" s="170"/>
      <c r="K53" s="39"/>
      <c r="L53" s="39"/>
      <c r="M53" s="39"/>
      <c r="N53" s="39"/>
      <c r="O53" s="39"/>
      <c r="P53" s="39"/>
    </row>
    <row r="67" spans="11:25" x14ac:dyDescent="0.3">
      <c r="R67" s="9" t="s">
        <v>168</v>
      </c>
    </row>
    <row r="68" spans="11:25" x14ac:dyDescent="0.3">
      <c r="R68" t="s">
        <v>167</v>
      </c>
    </row>
    <row r="69" spans="11:25" x14ac:dyDescent="0.3">
      <c r="R69" t="s">
        <v>93</v>
      </c>
    </row>
    <row r="72" spans="11:25" x14ac:dyDescent="0.3">
      <c r="W72" t="s">
        <v>94</v>
      </c>
    </row>
    <row r="74" spans="11:25" x14ac:dyDescent="0.3">
      <c r="W74" s="76" t="s">
        <v>160</v>
      </c>
      <c r="X74" s="35" t="s">
        <v>153</v>
      </c>
      <c r="Y74" s="35" t="s">
        <v>154</v>
      </c>
    </row>
    <row r="75" spans="11:25" x14ac:dyDescent="0.3">
      <c r="W75" s="16" t="s">
        <v>74</v>
      </c>
      <c r="X75" s="8">
        <v>2</v>
      </c>
      <c r="Y75" s="8">
        <v>8</v>
      </c>
    </row>
    <row r="76" spans="11:25" x14ac:dyDescent="0.3">
      <c r="W76" s="16" t="s">
        <v>75</v>
      </c>
      <c r="X76" s="8">
        <v>10</v>
      </c>
      <c r="Y76" s="8">
        <v>0</v>
      </c>
    </row>
    <row r="80" spans="11:25" x14ac:dyDescent="0.3">
      <c r="K80" s="67" t="s">
        <v>148</v>
      </c>
      <c r="L80" s="67" t="s">
        <v>1</v>
      </c>
      <c r="M80" s="68" t="s">
        <v>159</v>
      </c>
      <c r="N80" s="68" t="s">
        <v>160</v>
      </c>
      <c r="O80" s="68" t="s">
        <v>165</v>
      </c>
      <c r="P80" s="68" t="s">
        <v>166</v>
      </c>
      <c r="Q80" s="68" t="s">
        <v>146</v>
      </c>
      <c r="S80" t="s">
        <v>171</v>
      </c>
    </row>
    <row r="81" spans="11:31" x14ac:dyDescent="0.3">
      <c r="K81" s="7" t="s">
        <v>152</v>
      </c>
      <c r="L81" s="1" t="s">
        <v>8</v>
      </c>
      <c r="M81" s="1">
        <v>2.02</v>
      </c>
      <c r="N81" s="1">
        <v>2.0299999999999998</v>
      </c>
      <c r="O81" s="1">
        <v>1.83</v>
      </c>
      <c r="P81" s="1">
        <v>0.85</v>
      </c>
      <c r="Q81" s="1" t="s">
        <v>154</v>
      </c>
      <c r="S81" t="s">
        <v>95</v>
      </c>
    </row>
    <row r="82" spans="11:31" x14ac:dyDescent="0.3">
      <c r="K82" s="7" t="s">
        <v>150</v>
      </c>
      <c r="L82" s="2" t="s">
        <v>8</v>
      </c>
      <c r="M82" s="2">
        <v>3.3</v>
      </c>
      <c r="N82" s="2">
        <v>2.79</v>
      </c>
      <c r="O82" s="2">
        <v>3.45</v>
      </c>
      <c r="P82" s="2">
        <v>3.55</v>
      </c>
      <c r="Q82" s="2" t="s">
        <v>153</v>
      </c>
    </row>
    <row r="83" spans="11:31" x14ac:dyDescent="0.3">
      <c r="K83" s="7" t="s">
        <v>152</v>
      </c>
      <c r="L83" s="3" t="s">
        <v>6</v>
      </c>
      <c r="M83" s="1">
        <v>3.05</v>
      </c>
      <c r="N83" s="1">
        <v>2.79</v>
      </c>
      <c r="O83" s="1">
        <v>3</v>
      </c>
      <c r="P83" s="1">
        <v>2.85</v>
      </c>
      <c r="Q83" s="1" t="s">
        <v>154</v>
      </c>
      <c r="S83" t="s">
        <v>96</v>
      </c>
    </row>
    <row r="84" spans="11:31" x14ac:dyDescent="0.3">
      <c r="K84" s="7" t="s">
        <v>152</v>
      </c>
      <c r="L84" s="2" t="s">
        <v>6</v>
      </c>
      <c r="M84" s="2">
        <v>3.05</v>
      </c>
      <c r="N84" s="2">
        <v>2.95</v>
      </c>
      <c r="O84" s="2">
        <v>3.45</v>
      </c>
      <c r="P84" s="2">
        <v>3.25</v>
      </c>
      <c r="Q84" s="2" t="s">
        <v>154</v>
      </c>
      <c r="S84" t="s">
        <v>97</v>
      </c>
    </row>
    <row r="85" spans="11:31" x14ac:dyDescent="0.3">
      <c r="K85" s="6" t="s">
        <v>151</v>
      </c>
      <c r="L85" s="1" t="s">
        <v>8</v>
      </c>
      <c r="M85" s="1">
        <v>2.38</v>
      </c>
      <c r="N85" s="1">
        <v>1.58</v>
      </c>
      <c r="O85" s="1">
        <v>0</v>
      </c>
      <c r="P85" s="1">
        <v>1.43</v>
      </c>
      <c r="Q85" s="1" t="s">
        <v>154</v>
      </c>
    </row>
    <row r="86" spans="11:31" x14ac:dyDescent="0.3">
      <c r="K86" s="7" t="s">
        <v>151</v>
      </c>
      <c r="L86" s="2" t="s">
        <v>8</v>
      </c>
      <c r="M86" s="2">
        <v>2.15</v>
      </c>
      <c r="N86" s="2">
        <v>2.02</v>
      </c>
      <c r="O86" s="2">
        <v>2.0299999999999998</v>
      </c>
      <c r="P86" s="2">
        <v>1.83</v>
      </c>
      <c r="Q86" s="2" t="s">
        <v>154</v>
      </c>
      <c r="S86" s="159" t="s">
        <v>57</v>
      </c>
      <c r="T86" s="159"/>
      <c r="U86" s="34" t="s">
        <v>58</v>
      </c>
      <c r="V86" s="35" t="s">
        <v>153</v>
      </c>
      <c r="W86" s="35" t="s">
        <v>154</v>
      </c>
    </row>
    <row r="87" spans="11:31" x14ac:dyDescent="0.3">
      <c r="K87" s="6" t="s">
        <v>151</v>
      </c>
      <c r="L87" s="1" t="s">
        <v>6</v>
      </c>
      <c r="M87" s="1">
        <v>3.28</v>
      </c>
      <c r="N87" s="1">
        <v>2.13</v>
      </c>
      <c r="O87" s="1">
        <v>1.68</v>
      </c>
      <c r="P87" s="45">
        <v>2.87</v>
      </c>
      <c r="Q87" s="1" t="s">
        <v>154</v>
      </c>
      <c r="S87" s="171" t="s">
        <v>25</v>
      </c>
      <c r="T87" s="172"/>
      <c r="U87" s="8">
        <f>COUNTA(K81:K91)</f>
        <v>11</v>
      </c>
      <c r="V87" s="8">
        <f>COUNTIF($Q$81:$Q$91,V86)</f>
        <v>3</v>
      </c>
      <c r="W87" s="8">
        <f>COUNTIF($Q$81:$Q$91,W86)</f>
        <v>8</v>
      </c>
    </row>
    <row r="88" spans="11:31" x14ac:dyDescent="0.3">
      <c r="K88" s="7" t="s">
        <v>150</v>
      </c>
      <c r="L88" s="1" t="s">
        <v>6</v>
      </c>
      <c r="M88" s="1">
        <v>3.03</v>
      </c>
      <c r="N88" s="1">
        <v>2.71</v>
      </c>
      <c r="O88" s="1">
        <v>2.7</v>
      </c>
      <c r="P88" s="1">
        <v>2.61</v>
      </c>
      <c r="Q88" s="1" t="s">
        <v>154</v>
      </c>
    </row>
    <row r="89" spans="11:31" x14ac:dyDescent="0.3">
      <c r="K89" s="7" t="s">
        <v>21</v>
      </c>
      <c r="L89" s="2" t="s">
        <v>8</v>
      </c>
      <c r="M89" s="2">
        <v>1.1399999999999999</v>
      </c>
      <c r="N89" s="2">
        <v>1.49</v>
      </c>
      <c r="O89" s="2">
        <v>0.87</v>
      </c>
      <c r="P89" s="2">
        <v>1.47</v>
      </c>
      <c r="Q89" s="2" t="s">
        <v>154</v>
      </c>
      <c r="S89" s="169" t="s">
        <v>57</v>
      </c>
      <c r="T89" s="169"/>
      <c r="U89" s="38" t="s">
        <v>58</v>
      </c>
      <c r="V89" s="35" t="s">
        <v>153</v>
      </c>
      <c r="W89" s="35" t="s">
        <v>154</v>
      </c>
      <c r="X89" s="174" t="s">
        <v>268</v>
      </c>
      <c r="Y89" s="175"/>
    </row>
    <row r="90" spans="11:31" x14ac:dyDescent="0.3">
      <c r="K90" s="7" t="s">
        <v>21</v>
      </c>
      <c r="L90" s="3" t="s">
        <v>6</v>
      </c>
      <c r="M90" s="1">
        <v>3.04</v>
      </c>
      <c r="N90" s="1">
        <v>2.21</v>
      </c>
      <c r="O90" s="1">
        <v>2.12</v>
      </c>
      <c r="P90" s="1">
        <v>2.86</v>
      </c>
      <c r="Q90" s="1" t="s">
        <v>153</v>
      </c>
      <c r="S90" s="42"/>
      <c r="T90" s="42"/>
      <c r="U90" s="42"/>
      <c r="V90" s="42"/>
      <c r="W90" s="42"/>
      <c r="X90" s="42"/>
      <c r="Y90" s="147"/>
      <c r="AA90" s="50" t="s">
        <v>272</v>
      </c>
      <c r="AB90" s="50">
        <f>MIN(Y125,Y117,Y109,Y101,Y96,Y91)</f>
        <v>0.31168831168831174</v>
      </c>
      <c r="AC90" s="48" t="s">
        <v>159</v>
      </c>
      <c r="AD90" s="35" t="s">
        <v>153</v>
      </c>
      <c r="AE90" s="35" t="s">
        <v>154</v>
      </c>
    </row>
    <row r="91" spans="11:31" x14ac:dyDescent="0.3">
      <c r="K91" s="7" t="s">
        <v>150</v>
      </c>
      <c r="L91" s="2" t="s">
        <v>6</v>
      </c>
      <c r="M91" s="2">
        <v>3.13</v>
      </c>
      <c r="N91" s="2">
        <v>3.26</v>
      </c>
      <c r="O91" s="2">
        <v>3.36</v>
      </c>
      <c r="P91" s="2">
        <v>3.53</v>
      </c>
      <c r="Q91" s="2" t="s">
        <v>153</v>
      </c>
      <c r="S91" s="170" t="s">
        <v>148</v>
      </c>
      <c r="T91" s="40" t="s">
        <v>150</v>
      </c>
      <c r="U91" s="40">
        <f>COUNTIF($K$81:$K$91,T91)</f>
        <v>3</v>
      </c>
      <c r="V91" s="40">
        <f>COUNTIFS($K$81:$K$91,$T91,$Q$81:$Q$91,$V$89)</f>
        <v>2</v>
      </c>
      <c r="W91" s="40">
        <f>COUNTIFS($K$81:$K$91,$T91,$Q$81:$Q$91,$W$89)</f>
        <v>1</v>
      </c>
      <c r="X91" s="40">
        <f>1-(($V91/$U91)^2+($W91/$U91)^2)</f>
        <v>0.44444444444444442</v>
      </c>
      <c r="Y91" s="170">
        <f>($U91/$U$87*$X91)+($U92/$U$87*$X92)+($U93/$U$87*$X93)+($U94+$U$87*$X94)</f>
        <v>3.2121212121212119</v>
      </c>
      <c r="AC91" s="39" t="s">
        <v>98</v>
      </c>
      <c r="AD91" s="39">
        <v>0</v>
      </c>
      <c r="AE91" s="39">
        <v>4</v>
      </c>
    </row>
    <row r="92" spans="11:31" x14ac:dyDescent="0.3">
      <c r="S92" s="170"/>
      <c r="T92" s="40" t="s">
        <v>151</v>
      </c>
      <c r="U92" s="40">
        <f t="shared" ref="U92:U94" si="10">COUNTIF($K$81:$K$91,T92)</f>
        <v>3</v>
      </c>
      <c r="V92" s="40">
        <f t="shared" ref="V92:V94" si="11">COUNTIFS($K$81:$K$91,$T92,$Q$81:$Q$91,$V$89)</f>
        <v>0</v>
      </c>
      <c r="W92" s="40">
        <f t="shared" ref="W92:W94" si="12">COUNTIFS($K$81:$K$91,$T92,$Q$81:$Q$91,$W$89)</f>
        <v>3</v>
      </c>
      <c r="X92" s="40">
        <f>1-(($V92/$U92)^2+($W92/$U92)^2)</f>
        <v>0</v>
      </c>
      <c r="Y92" s="170"/>
      <c r="AC92" s="39" t="s">
        <v>99</v>
      </c>
      <c r="AD92" s="39">
        <v>3</v>
      </c>
      <c r="AE92" s="39">
        <v>4</v>
      </c>
    </row>
    <row r="93" spans="11:31" x14ac:dyDescent="0.3">
      <c r="M93" s="47" t="s">
        <v>2</v>
      </c>
      <c r="N93" s="47" t="s">
        <v>3</v>
      </c>
      <c r="O93" s="47" t="s">
        <v>4</v>
      </c>
      <c r="P93" s="47" t="s">
        <v>5</v>
      </c>
      <c r="S93" s="170"/>
      <c r="T93" s="40" t="s">
        <v>21</v>
      </c>
      <c r="U93" s="40">
        <f t="shared" si="10"/>
        <v>2</v>
      </c>
      <c r="V93" s="40">
        <f>COUNTIFS($K$81:$K$91,$T93,$Q$81:$Q$91,$V$89)</f>
        <v>1</v>
      </c>
      <c r="W93" s="40">
        <f t="shared" si="12"/>
        <v>1</v>
      </c>
      <c r="X93" s="40">
        <f t="shared" ref="X93:X94" si="13">1-(($V93/$U93)^2+($W93/$U93)^2)</f>
        <v>0.5</v>
      </c>
      <c r="Y93" s="170"/>
      <c r="AD93" s="39"/>
      <c r="AE93" s="39"/>
    </row>
    <row r="94" spans="11:31" x14ac:dyDescent="0.3">
      <c r="L94" s="48" t="s">
        <v>64</v>
      </c>
      <c r="M94" s="46">
        <f>AVERAGE(M81:M91)</f>
        <v>2.688181818181818</v>
      </c>
      <c r="N94" s="46">
        <f>AVERAGE(N81:N91)</f>
        <v>2.36</v>
      </c>
      <c r="O94" s="46">
        <f t="shared" ref="O94:P94" si="14">AVERAGE(O81:O91)</f>
        <v>2.2263636363636365</v>
      </c>
      <c r="P94" s="46">
        <f t="shared" si="14"/>
        <v>2.4636363636363634</v>
      </c>
      <c r="S94" s="170"/>
      <c r="T94" s="40" t="s">
        <v>152</v>
      </c>
      <c r="U94" s="40">
        <f t="shared" si="10"/>
        <v>3</v>
      </c>
      <c r="V94" s="40">
        <f t="shared" si="11"/>
        <v>0</v>
      </c>
      <c r="W94" s="40">
        <f t="shared" si="12"/>
        <v>3</v>
      </c>
      <c r="X94" s="40">
        <f t="shared" si="13"/>
        <v>0</v>
      </c>
      <c r="Y94" s="170"/>
      <c r="AD94" s="39"/>
      <c r="AE94" s="39"/>
    </row>
    <row r="95" spans="11:31" x14ac:dyDescent="0.3">
      <c r="L95" s="9" t="s">
        <v>67</v>
      </c>
      <c r="M95" s="49">
        <f>MEDIAN(M81:M91)</f>
        <v>3.04</v>
      </c>
      <c r="N95" s="49">
        <f>MEDIAN(N81:N91)</f>
        <v>2.21</v>
      </c>
      <c r="O95" s="49">
        <f>MEDIAN(O81:O91)</f>
        <v>2.12</v>
      </c>
      <c r="P95" s="49">
        <f t="shared" ref="P95" si="15">MEDIAN(P81:P91)</f>
        <v>2.85</v>
      </c>
      <c r="S95" s="170" t="s">
        <v>1</v>
      </c>
      <c r="T95" s="44"/>
      <c r="U95" s="44"/>
      <c r="V95" s="44"/>
      <c r="W95" s="44"/>
      <c r="X95" s="44"/>
      <c r="Y95" s="39"/>
    </row>
    <row r="96" spans="11:31" x14ac:dyDescent="0.3">
      <c r="S96" s="170"/>
      <c r="T96" s="40" t="s">
        <v>8</v>
      </c>
      <c r="U96" s="40">
        <f>COUNTIF($L$81:$L$91,T96)</f>
        <v>5</v>
      </c>
      <c r="V96" s="40">
        <f>COUNTIFS($L$81:$L$91,$T96,$Q$81:$Q$91,$V$89)</f>
        <v>1</v>
      </c>
      <c r="W96" s="40">
        <f>COUNTIFS($L$81:$L$91,$T96,$Q$81:$Q$91,$W$89)</f>
        <v>4</v>
      </c>
      <c r="X96" s="40">
        <f>1-(($V96/$U96)^2+($W96/$U96)^2)</f>
        <v>0.31999999999999984</v>
      </c>
      <c r="Y96" s="176">
        <f>($U96/$U$87*$X96)+($U97/$U$87*$X97)</f>
        <v>0.38787878787878777</v>
      </c>
    </row>
    <row r="97" spans="19:27" x14ac:dyDescent="0.3">
      <c r="S97" s="170"/>
      <c r="T97" s="40" t="s">
        <v>6</v>
      </c>
      <c r="U97" s="40">
        <f>COUNTIF($L$81:$L$91,T97)</f>
        <v>6</v>
      </c>
      <c r="V97" s="40">
        <f>COUNTIFS($L$81:$L$91,$T97,$Q$81:$Q$91,$V$89)</f>
        <v>2</v>
      </c>
      <c r="W97" s="40">
        <f>COUNTIFS($L$81:$L$91,$T97,$Q$81:$Q$91,$W$89)</f>
        <v>4</v>
      </c>
      <c r="X97" s="40">
        <f>1-(($V97/$U97)^2+($W97/$U97)^2)</f>
        <v>0.44444444444444442</v>
      </c>
      <c r="Y97" s="177"/>
    </row>
    <row r="99" spans="19:27" x14ac:dyDescent="0.3">
      <c r="S99" s="169" t="s">
        <v>57</v>
      </c>
      <c r="T99" s="169"/>
      <c r="U99" s="38" t="s">
        <v>58</v>
      </c>
      <c r="V99" s="35" t="s">
        <v>153</v>
      </c>
      <c r="W99" s="35" t="s">
        <v>154</v>
      </c>
      <c r="X99" s="174" t="s">
        <v>268</v>
      </c>
      <c r="Y99" s="175"/>
    </row>
    <row r="100" spans="19:27" x14ac:dyDescent="0.3">
      <c r="S100" s="170" t="s">
        <v>2</v>
      </c>
      <c r="T100" s="44"/>
      <c r="U100" s="44"/>
      <c r="V100" s="44"/>
      <c r="W100" s="44"/>
      <c r="X100" s="44"/>
      <c r="Y100" s="39"/>
    </row>
    <row r="101" spans="19:27" x14ac:dyDescent="0.3">
      <c r="S101" s="170"/>
      <c r="T101" s="40" t="s">
        <v>98</v>
      </c>
      <c r="U101" s="40">
        <f>COUNTIF($M$81:$M$91,$T101)</f>
        <v>4</v>
      </c>
      <c r="V101" s="40">
        <f>COUNTIFS($M$81:$M$91,$T101,$Q$81:$Q$91,$V$99)</f>
        <v>0</v>
      </c>
      <c r="W101" s="40">
        <f>COUNTIFS($M$81:$M$91,$T101,$Q$81:$Q$91,$W$99)</f>
        <v>4</v>
      </c>
      <c r="X101" s="40">
        <f>1-(($V101/$U101)^2+($W101/$U101)^2)</f>
        <v>0</v>
      </c>
      <c r="Y101" s="176">
        <f>($U101/$U$87*$X101)+($U102/$U$87*$X102)</f>
        <v>0.31168831168831174</v>
      </c>
    </row>
    <row r="102" spans="19:27" x14ac:dyDescent="0.3">
      <c r="S102" s="170"/>
      <c r="T102" s="40" t="s">
        <v>99</v>
      </c>
      <c r="U102" s="40">
        <f>COUNTIF($M$81:$M$91,$T102)</f>
        <v>7</v>
      </c>
      <c r="V102" s="40">
        <f>COUNTIFS($M$81:$M$91,$T102,$Q$81:$Q$91,$V$99)</f>
        <v>3</v>
      </c>
      <c r="W102" s="40">
        <f>COUNTIFS($M$81:$M$91,$T102,$Q$81:$Q$91,$W$99)</f>
        <v>4</v>
      </c>
      <c r="X102" s="40">
        <f>1-(($V102/$U102)^2+($W102/$U102)^2)</f>
        <v>0.48979591836734704</v>
      </c>
      <c r="Y102" s="177"/>
    </row>
    <row r="103" spans="19:27" x14ac:dyDescent="0.3">
      <c r="S103" s="170"/>
      <c r="T103" s="39"/>
      <c r="U103" s="39"/>
      <c r="V103" s="39"/>
      <c r="W103" s="39"/>
      <c r="X103" s="39"/>
      <c r="Y103" s="39"/>
    </row>
    <row r="104" spans="19:27" x14ac:dyDescent="0.3">
      <c r="S104" s="170"/>
      <c r="T104" s="39" t="s">
        <v>100</v>
      </c>
      <c r="U104" s="39">
        <f>COUNTIF($M$81:$M$91,$T104)</f>
        <v>6</v>
      </c>
      <c r="V104" s="39">
        <f>COUNTIFS($M$81:$M$91,$T104,$Q$81:$Q$91,$V$99)</f>
        <v>1</v>
      </c>
      <c r="W104" s="39">
        <f>COUNTIFS($M$81:$M$91,$T104,$Q$81:$Q$91,$W$99)</f>
        <v>5</v>
      </c>
      <c r="X104" s="39">
        <f>1-(($V104/$U104)^2+($W104/$U104)^2)</f>
        <v>0.27777777777777768</v>
      </c>
      <c r="Y104" s="176">
        <f>($U104/$U$87*$X104)+($U105/$U$87*$X105)</f>
        <v>0.36969696969696964</v>
      </c>
    </row>
    <row r="105" spans="19:27" x14ac:dyDescent="0.3">
      <c r="S105" s="170"/>
      <c r="T105" s="39" t="s">
        <v>101</v>
      </c>
      <c r="U105" s="39">
        <f>COUNTIF($M$81:$M$91,$T105)</f>
        <v>5</v>
      </c>
      <c r="V105" s="39">
        <f>COUNTIFS($M$81:$M$91,$T105,$Q$81:$Q$91,$V$99)</f>
        <v>2</v>
      </c>
      <c r="W105" s="39">
        <f>COUNTIFS($M$81:$M$91,$T105,$Q$81:$Q$91,$W$99)</f>
        <v>3</v>
      </c>
      <c r="X105" s="39">
        <f>1-(($V105/$U105)^2+($W105/$U105)^2)</f>
        <v>0.48</v>
      </c>
      <c r="Y105" s="177"/>
    </row>
    <row r="106" spans="19:27" x14ac:dyDescent="0.3">
      <c r="S106" s="170"/>
      <c r="T106" s="39"/>
      <c r="U106" s="39"/>
      <c r="V106" s="39"/>
      <c r="W106" s="39"/>
      <c r="X106" s="39"/>
      <c r="Y106" s="39"/>
    </row>
    <row r="107" spans="19:27" x14ac:dyDescent="0.3">
      <c r="S107" s="169" t="s">
        <v>57</v>
      </c>
      <c r="T107" s="169"/>
      <c r="U107" s="38" t="s">
        <v>58</v>
      </c>
      <c r="V107" s="35" t="s">
        <v>153</v>
      </c>
      <c r="W107" s="35" t="s">
        <v>154</v>
      </c>
      <c r="X107" s="174" t="s">
        <v>268</v>
      </c>
      <c r="Y107" s="175"/>
    </row>
    <row r="108" spans="19:27" x14ac:dyDescent="0.3">
      <c r="S108" s="170" t="s">
        <v>3</v>
      </c>
      <c r="T108" s="44"/>
      <c r="U108" s="44"/>
      <c r="V108" s="44"/>
      <c r="W108" s="44"/>
      <c r="X108" s="44"/>
      <c r="Y108" s="39"/>
    </row>
    <row r="109" spans="19:27" x14ac:dyDescent="0.3">
      <c r="S109" s="170"/>
      <c r="T109" s="40" t="s">
        <v>102</v>
      </c>
      <c r="U109" s="40">
        <f>COUNTIF($N$81:$N$91,$T109)</f>
        <v>6</v>
      </c>
      <c r="V109" s="40">
        <f>COUNTIFS($N$81:$N$91,$T109,$Q$81:$Q$91,$V$99)</f>
        <v>1</v>
      </c>
      <c r="W109" s="40">
        <f>COUNTIFS($N$81:$N$91,$T109,$Q$81:$Q$91,$W$99)</f>
        <v>5</v>
      </c>
      <c r="X109" s="40">
        <f>1-(($V109/$U109)^2+($W109/$U109)^2)</f>
        <v>0.27777777777777768</v>
      </c>
      <c r="Y109" s="176">
        <f>($U109/$U$87*$X109)+($U110/$U$87*$X110)</f>
        <v>0.36969696969696964</v>
      </c>
    </row>
    <row r="110" spans="19:27" x14ac:dyDescent="0.3">
      <c r="S110" s="170"/>
      <c r="T110" s="40" t="s">
        <v>103</v>
      </c>
      <c r="U110" s="40">
        <f>COUNTIF($N$81:$N$91,$T110)</f>
        <v>5</v>
      </c>
      <c r="V110" s="40">
        <f>COUNTIFS($N$81:$N$91,$T110,$Q$81:$Q$91,$V$99)</f>
        <v>2</v>
      </c>
      <c r="W110" s="40">
        <f>COUNTIFS($N$81:$N$91,$T110,$Q$81:$Q$91,$W$99)</f>
        <v>3</v>
      </c>
      <c r="X110" s="40">
        <f>1-(($V110/$U110)^2+($W110/$U110)^2)</f>
        <v>0.48</v>
      </c>
      <c r="Y110" s="177"/>
      <c r="AA110" s="9" t="s">
        <v>114</v>
      </c>
    </row>
    <row r="111" spans="19:27" x14ac:dyDescent="0.3">
      <c r="S111" s="170"/>
      <c r="T111" s="39"/>
      <c r="U111" s="39"/>
      <c r="V111" s="39"/>
      <c r="W111" s="39"/>
      <c r="X111" s="39"/>
      <c r="Y111" s="39"/>
      <c r="AA111" t="s">
        <v>273</v>
      </c>
    </row>
    <row r="112" spans="19:27" x14ac:dyDescent="0.3">
      <c r="S112" s="170"/>
      <c r="T112" s="39" t="s">
        <v>104</v>
      </c>
      <c r="U112" s="39">
        <f>COUNTIF($N$81:$N$91,$T112)</f>
        <v>6</v>
      </c>
      <c r="V112" s="39">
        <f>COUNTIFS($N$81:$N$91,$T112,$Q$81:$Q$91,$V$99)</f>
        <v>1</v>
      </c>
      <c r="W112" s="39">
        <f>COUNTIFS($N$81:$N$91,$T112,$Q$81:$Q$91,$W$99)</f>
        <v>5</v>
      </c>
      <c r="X112" s="39">
        <f>1-(($V112/$U112)^2+($W112/$U112)^2)</f>
        <v>0.27777777777777768</v>
      </c>
      <c r="Y112" s="176">
        <f>($U112/$U$87*$X112)+($U113/$U$87*$X113)</f>
        <v>0.36969696969696964</v>
      </c>
    </row>
    <row r="113" spans="19:33" x14ac:dyDescent="0.3">
      <c r="S113" s="170"/>
      <c r="T113" s="39" t="s">
        <v>105</v>
      </c>
      <c r="U113" s="39">
        <f>COUNTIF($N$81:$N$91,$T113)</f>
        <v>5</v>
      </c>
      <c r="V113" s="39">
        <f>COUNTIFS($N$81:$N$91,$T113,$Q$81:$Q$91,$V$99)</f>
        <v>2</v>
      </c>
      <c r="W113" s="39">
        <f>COUNTIFS($N$81:$N$91,$T113,$Q$81:$Q$91,$W$99)</f>
        <v>3</v>
      </c>
      <c r="X113" s="39">
        <f>1-(($V113/$U113)^2+($W113/$U113)^2)</f>
        <v>0.48</v>
      </c>
      <c r="Y113" s="177"/>
      <c r="AA113" t="s">
        <v>115</v>
      </c>
    </row>
    <row r="114" spans="19:33" x14ac:dyDescent="0.3">
      <c r="S114" s="170"/>
      <c r="T114" s="39"/>
      <c r="U114" s="39"/>
      <c r="V114" s="39"/>
      <c r="W114" s="39"/>
      <c r="X114" s="39"/>
      <c r="Y114" s="39"/>
      <c r="AA114" t="s">
        <v>274</v>
      </c>
    </row>
    <row r="115" spans="19:33" x14ac:dyDescent="0.3">
      <c r="S115" s="169" t="s">
        <v>57</v>
      </c>
      <c r="T115" s="169"/>
      <c r="U115" s="38" t="s">
        <v>58</v>
      </c>
      <c r="V115" s="35" t="s">
        <v>153</v>
      </c>
      <c r="W115" s="35" t="s">
        <v>154</v>
      </c>
      <c r="X115" s="174" t="s">
        <v>268</v>
      </c>
      <c r="Y115" s="175"/>
      <c r="AA115" s="9"/>
    </row>
    <row r="116" spans="19:33" x14ac:dyDescent="0.3">
      <c r="S116" s="170" t="s">
        <v>4</v>
      </c>
      <c r="T116" s="44"/>
      <c r="U116" s="44"/>
      <c r="V116" s="44"/>
      <c r="W116" s="44"/>
      <c r="X116" s="44"/>
      <c r="Y116" s="39"/>
      <c r="AA116" s="67" t="s">
        <v>148</v>
      </c>
      <c r="AB116" s="67" t="s">
        <v>1</v>
      </c>
      <c r="AC116" s="68" t="s">
        <v>159</v>
      </c>
      <c r="AD116" s="68" t="s">
        <v>160</v>
      </c>
      <c r="AE116" s="68" t="s">
        <v>165</v>
      </c>
      <c r="AF116" s="68" t="s">
        <v>166</v>
      </c>
      <c r="AG116" s="68" t="s">
        <v>146</v>
      </c>
    </row>
    <row r="117" spans="19:33" x14ac:dyDescent="0.3">
      <c r="S117" s="170"/>
      <c r="T117" s="40" t="s">
        <v>106</v>
      </c>
      <c r="U117" s="40">
        <f>COUNTIF($O$81:$O$91,$T117)</f>
        <v>6</v>
      </c>
      <c r="V117" s="40">
        <f>COUNTIFS($O$81:$O$91,$T117,$Q$81:$Q$91,$V$99)</f>
        <v>1</v>
      </c>
      <c r="W117" s="40">
        <f>COUNTIFS($O$81:$O$91,$T117,$Q$81:$Q$91,$W$99)</f>
        <v>5</v>
      </c>
      <c r="X117" s="40">
        <f>1-(($V117/$U117)^2+($W117/$U117)^2)</f>
        <v>0.27777777777777768</v>
      </c>
      <c r="Y117" s="176">
        <f>($U117/$U$87*$X117)+($U118/$U$87*$X118)</f>
        <v>0.36969696969696964</v>
      </c>
      <c r="AA117" s="7" t="s">
        <v>150</v>
      </c>
      <c r="AB117" s="2" t="s">
        <v>8</v>
      </c>
      <c r="AC117" s="2">
        <v>3.3</v>
      </c>
      <c r="AD117" s="2">
        <v>2.79</v>
      </c>
      <c r="AE117" s="2">
        <v>3.45</v>
      </c>
      <c r="AF117" s="2">
        <v>3.55</v>
      </c>
      <c r="AG117" s="2" t="s">
        <v>153</v>
      </c>
    </row>
    <row r="118" spans="19:33" x14ac:dyDescent="0.3">
      <c r="S118" s="170"/>
      <c r="T118" s="40" t="s">
        <v>107</v>
      </c>
      <c r="U118" s="40">
        <f>COUNTIF($O$81:$O$91,$T118)</f>
        <v>5</v>
      </c>
      <c r="V118" s="40">
        <f>COUNTIFS($O$81:$O$91,$T118,$Q$81:$Q$91,$V$99)</f>
        <v>2</v>
      </c>
      <c r="W118" s="40">
        <f>COUNTIFS($O$81:$O$91,$T118,$Q$81:$Q$91,$W$99)</f>
        <v>3</v>
      </c>
      <c r="X118" s="40">
        <f>1-(($V118/$U118)^2+($W118/$U118)^2)</f>
        <v>0.48</v>
      </c>
      <c r="Y118" s="177"/>
      <c r="AA118" s="7" t="s">
        <v>152</v>
      </c>
      <c r="AB118" s="3" t="s">
        <v>6</v>
      </c>
      <c r="AC118" s="1">
        <v>3.05</v>
      </c>
      <c r="AD118" s="1">
        <v>2.79</v>
      </c>
      <c r="AE118" s="1">
        <v>3</v>
      </c>
      <c r="AF118" s="1">
        <v>2.85</v>
      </c>
      <c r="AG118" s="1" t="s">
        <v>154</v>
      </c>
    </row>
    <row r="119" spans="19:33" x14ac:dyDescent="0.3">
      <c r="S119" s="170"/>
      <c r="T119" s="39"/>
      <c r="U119" s="39"/>
      <c r="V119" s="39"/>
      <c r="W119" s="39"/>
      <c r="X119" s="39"/>
      <c r="Y119" s="39"/>
      <c r="AA119" s="7" t="s">
        <v>152</v>
      </c>
      <c r="AB119" s="2" t="s">
        <v>6</v>
      </c>
      <c r="AC119" s="2">
        <v>3.05</v>
      </c>
      <c r="AD119" s="2">
        <v>2.95</v>
      </c>
      <c r="AE119" s="2">
        <v>3.45</v>
      </c>
      <c r="AF119" s="2">
        <v>3.25</v>
      </c>
      <c r="AG119" s="2" t="s">
        <v>154</v>
      </c>
    </row>
    <row r="120" spans="19:33" x14ac:dyDescent="0.3">
      <c r="S120" s="170"/>
      <c r="T120" s="39" t="s">
        <v>108</v>
      </c>
      <c r="U120" s="39">
        <f>COUNTIF($O$81:$O$91,$T120)</f>
        <v>6</v>
      </c>
      <c r="V120" s="39">
        <f>COUNTIFS($O$81:$O$91,$T120,$Q$81:$Q$91,$V$99)</f>
        <v>1</v>
      </c>
      <c r="W120" s="39">
        <f>COUNTIFS($O$81:$O$91,$T120,$Q$81:$Q$91,$W$99)</f>
        <v>5</v>
      </c>
      <c r="X120" s="39">
        <f>1-(($V120/$U120)^2+($W120/$U120)^2)</f>
        <v>0.27777777777777768</v>
      </c>
      <c r="Y120" s="176">
        <f>($U120/$U$87*$X120)+($U121/$U$87*$X121)</f>
        <v>0.36969696969696964</v>
      </c>
      <c r="AA120" s="7" t="s">
        <v>152</v>
      </c>
      <c r="AB120" s="2" t="s">
        <v>6</v>
      </c>
      <c r="AC120" s="2">
        <v>3.05</v>
      </c>
      <c r="AD120" s="2">
        <v>2.95</v>
      </c>
      <c r="AE120" s="2">
        <v>3.45</v>
      </c>
      <c r="AF120" s="2">
        <v>3.25</v>
      </c>
      <c r="AG120" s="2" t="s">
        <v>154</v>
      </c>
    </row>
    <row r="121" spans="19:33" x14ac:dyDescent="0.3">
      <c r="S121" s="170"/>
      <c r="T121" s="39" t="s">
        <v>109</v>
      </c>
      <c r="U121" s="39">
        <f>COUNTIF($O$81:$O$91,$T121)</f>
        <v>5</v>
      </c>
      <c r="V121" s="39">
        <f>COUNTIFS($O$81:$O$91,$T121,$Q$81:$Q$91,$V$99)</f>
        <v>2</v>
      </c>
      <c r="W121" s="39">
        <f>COUNTIFS($O$81:$O$91,$T121,$Q$81:$Q$91,$W$99)</f>
        <v>3</v>
      </c>
      <c r="X121" s="39">
        <f>1-(($V121/$U121)^2+($W121/$U121)^2)</f>
        <v>0.48</v>
      </c>
      <c r="Y121" s="177"/>
      <c r="AA121" s="6" t="s">
        <v>151</v>
      </c>
      <c r="AB121" s="1" t="s">
        <v>6</v>
      </c>
      <c r="AC121" s="1">
        <v>3.28</v>
      </c>
      <c r="AD121" s="1">
        <v>2.13</v>
      </c>
      <c r="AE121" s="1">
        <v>1.68</v>
      </c>
      <c r="AF121" s="45">
        <v>2.87</v>
      </c>
      <c r="AG121" s="1" t="s">
        <v>154</v>
      </c>
    </row>
    <row r="122" spans="19:33" x14ac:dyDescent="0.3">
      <c r="S122" s="170"/>
      <c r="T122" s="39"/>
      <c r="U122" s="39"/>
      <c r="V122" s="39"/>
      <c r="W122" s="39"/>
      <c r="X122" s="39"/>
      <c r="Y122" s="39"/>
      <c r="AA122" s="7" t="s">
        <v>150</v>
      </c>
      <c r="AB122" s="1" t="s">
        <v>6</v>
      </c>
      <c r="AC122" s="1">
        <v>3.03</v>
      </c>
      <c r="AD122" s="1">
        <v>2.71</v>
      </c>
      <c r="AE122" s="1">
        <v>2.7</v>
      </c>
      <c r="AF122" s="1">
        <v>2.61</v>
      </c>
      <c r="AG122" s="1" t="s">
        <v>154</v>
      </c>
    </row>
    <row r="123" spans="19:33" x14ac:dyDescent="0.3">
      <c r="S123" s="169" t="s">
        <v>57</v>
      </c>
      <c r="T123" s="169"/>
      <c r="U123" s="38" t="s">
        <v>58</v>
      </c>
      <c r="V123" s="35" t="s">
        <v>153</v>
      </c>
      <c r="W123" s="35" t="s">
        <v>154</v>
      </c>
      <c r="X123" s="174" t="s">
        <v>268</v>
      </c>
      <c r="Y123" s="175"/>
      <c r="AA123" s="7" t="s">
        <v>21</v>
      </c>
      <c r="AB123" s="3" t="s">
        <v>6</v>
      </c>
      <c r="AC123" s="1">
        <v>3.04</v>
      </c>
      <c r="AD123" s="1">
        <v>2.21</v>
      </c>
      <c r="AE123" s="1">
        <v>2.12</v>
      </c>
      <c r="AF123" s="1">
        <v>2.86</v>
      </c>
      <c r="AG123" s="1" t="s">
        <v>153</v>
      </c>
    </row>
    <row r="124" spans="19:33" x14ac:dyDescent="0.3">
      <c r="S124" s="170" t="s">
        <v>5</v>
      </c>
      <c r="T124" s="44"/>
      <c r="U124" s="44"/>
      <c r="V124" s="44"/>
      <c r="W124" s="44"/>
      <c r="X124" s="44"/>
      <c r="Y124" s="39"/>
      <c r="AA124" s="7" t="s">
        <v>150</v>
      </c>
      <c r="AB124" s="2" t="s">
        <v>6</v>
      </c>
      <c r="AC124" s="2">
        <v>3.13</v>
      </c>
      <c r="AD124" s="2">
        <v>3.26</v>
      </c>
      <c r="AE124" s="2">
        <v>3.36</v>
      </c>
      <c r="AF124" s="2">
        <v>3.53</v>
      </c>
      <c r="AG124" s="2" t="s">
        <v>153</v>
      </c>
    </row>
    <row r="125" spans="19:33" x14ac:dyDescent="0.3">
      <c r="S125" s="170"/>
      <c r="T125" s="40" t="s">
        <v>110</v>
      </c>
      <c r="U125" s="40">
        <f>COUNTIF($P$81:$P$91,$T125)</f>
        <v>4</v>
      </c>
      <c r="V125" s="40">
        <f>COUNTIFS($P$81:$P$91,$T125,$Q$81:$Q$91,$V$99)</f>
        <v>0</v>
      </c>
      <c r="W125" s="40">
        <f>COUNTIFS($P$81:$P$91,$T125,$Q$81:$Q$91,$W$99)</f>
        <v>4</v>
      </c>
      <c r="X125" s="40">
        <v>0</v>
      </c>
      <c r="Y125" s="176">
        <f>($U125/$U$87*$X125)+($U126/$U$87*$X126)</f>
        <v>0.62696335929452418</v>
      </c>
      <c r="AA125" s="148"/>
      <c r="AB125" s="131"/>
      <c r="AC125" s="131"/>
      <c r="AD125" s="131"/>
      <c r="AE125" s="131"/>
      <c r="AF125" s="131"/>
      <c r="AG125" s="131"/>
    </row>
    <row r="126" spans="19:33" x14ac:dyDescent="0.3">
      <c r="S126" s="170"/>
      <c r="T126" s="40" t="s">
        <v>111</v>
      </c>
      <c r="U126" s="40">
        <f>COUNTIF($P$81:$P$91,$T126)</f>
        <v>7</v>
      </c>
      <c r="V126" s="40">
        <f>COUNTIFS($P$81:$P$91,$T126,$Q$81:$Q$91,$V$99)</f>
        <v>3</v>
      </c>
      <c r="W126" s="40">
        <f>COUNTIFS($P$81:$P$91,$T126,$Q$81:$Q$91,$W$99)</f>
        <v>4</v>
      </c>
      <c r="X126" s="40">
        <f>((-V126/U126)*IMLOG2(V126/U126)+(-W126/U126)*IMLOG2(W126/U126))</f>
        <v>0.9852281360342523</v>
      </c>
      <c r="Y126" s="177"/>
      <c r="AD126" s="131" t="s">
        <v>275</v>
      </c>
    </row>
    <row r="127" spans="19:33" x14ac:dyDescent="0.3">
      <c r="S127" s="170"/>
      <c r="T127" s="39"/>
      <c r="U127" s="39"/>
      <c r="V127" s="39"/>
      <c r="W127" s="39"/>
      <c r="X127" s="39"/>
      <c r="Y127" s="39"/>
    </row>
    <row r="128" spans="19:33" x14ac:dyDescent="0.3">
      <c r="S128" s="170"/>
      <c r="T128" s="39" t="s">
        <v>112</v>
      </c>
      <c r="U128" s="39">
        <f>COUNTIF($P$81:$P$91,$T128)</f>
        <v>6</v>
      </c>
      <c r="V128" s="39">
        <f>COUNTIFS($P$81:$P$91,$T128,$Q$81:$Q$91,$V$99)</f>
        <v>0</v>
      </c>
      <c r="W128" s="39">
        <f>COUNTIFS($P$81:$P$91,$T128,$Q$81:$Q$91,$W$99)</f>
        <v>6</v>
      </c>
      <c r="X128" s="39">
        <v>0</v>
      </c>
      <c r="Y128" s="176">
        <f>($U128/$U$87*$X128)+($U129/$U$87*$X129)</f>
        <v>0.4413411792975761</v>
      </c>
    </row>
    <row r="129" spans="19:25" x14ac:dyDescent="0.3">
      <c r="S129" s="170"/>
      <c r="T129" s="39" t="s">
        <v>113</v>
      </c>
      <c r="U129" s="39">
        <f>COUNTIF($P$81:$P$91,$T129)</f>
        <v>5</v>
      </c>
      <c r="V129" s="39">
        <f>COUNTIFS($P$81:$P$91,$T129,$Q$81:$Q$91,$V$99)</f>
        <v>3</v>
      </c>
      <c r="W129" s="39">
        <f>COUNTIFS($P$81:$P$91,$T129,$Q$81:$Q$91,$W$99)</f>
        <v>2</v>
      </c>
      <c r="X129" s="39">
        <f>((-V129/U129)*IMLOG2(V129/U129)+(-W129/U129)*IMLOG2(W129/U129))</f>
        <v>0.97095059445466747</v>
      </c>
      <c r="Y129" s="177"/>
    </row>
    <row r="130" spans="19:25" x14ac:dyDescent="0.3">
      <c r="S130" s="170"/>
      <c r="T130" s="39"/>
      <c r="U130" s="39"/>
      <c r="V130" s="39"/>
      <c r="W130" s="39"/>
      <c r="X130" s="39"/>
      <c r="Y130" s="39"/>
    </row>
  </sheetData>
  <mergeCells count="60">
    <mergeCell ref="S124:S130"/>
    <mergeCell ref="Y125:Y126"/>
    <mergeCell ref="Y128:Y129"/>
    <mergeCell ref="S107:T107"/>
    <mergeCell ref="X107:Y107"/>
    <mergeCell ref="S108:S114"/>
    <mergeCell ref="Y109:Y110"/>
    <mergeCell ref="Y112:Y113"/>
    <mergeCell ref="S115:T115"/>
    <mergeCell ref="X115:Y115"/>
    <mergeCell ref="S116:S122"/>
    <mergeCell ref="Y117:Y118"/>
    <mergeCell ref="Y120:Y121"/>
    <mergeCell ref="S123:T123"/>
    <mergeCell ref="X123:Y123"/>
    <mergeCell ref="S99:T99"/>
    <mergeCell ref="S100:S106"/>
    <mergeCell ref="X99:Y99"/>
    <mergeCell ref="Y96:Y97"/>
    <mergeCell ref="Y101:Y102"/>
    <mergeCell ref="Y104:Y105"/>
    <mergeCell ref="S95:S97"/>
    <mergeCell ref="S86:T86"/>
    <mergeCell ref="S87:T87"/>
    <mergeCell ref="S89:T89"/>
    <mergeCell ref="S91:S94"/>
    <mergeCell ref="Y91:Y94"/>
    <mergeCell ref="X89:Y89"/>
    <mergeCell ref="J46:K46"/>
    <mergeCell ref="O46:P46"/>
    <mergeCell ref="J47:J53"/>
    <mergeCell ref="P48:P49"/>
    <mergeCell ref="P51:P52"/>
    <mergeCell ref="A29:G29"/>
    <mergeCell ref="A40:C40"/>
    <mergeCell ref="B41:C41"/>
    <mergeCell ref="E41:G41"/>
    <mergeCell ref="J29:J35"/>
    <mergeCell ref="P30:P31"/>
    <mergeCell ref="P33:P34"/>
    <mergeCell ref="J37:K37"/>
    <mergeCell ref="O37:P37"/>
    <mergeCell ref="J38:J44"/>
    <mergeCell ref="P39:P40"/>
    <mergeCell ref="P42:P43"/>
    <mergeCell ref="J28:K28"/>
    <mergeCell ref="O28:P28"/>
    <mergeCell ref="J3:K3"/>
    <mergeCell ref="J4:K4"/>
    <mergeCell ref="J8:K8"/>
    <mergeCell ref="J10:J13"/>
    <mergeCell ref="P10:P13"/>
    <mergeCell ref="J14:J16"/>
    <mergeCell ref="O8:P8"/>
    <mergeCell ref="P15:P16"/>
    <mergeCell ref="J19:K19"/>
    <mergeCell ref="J20:J26"/>
    <mergeCell ref="O19:P19"/>
    <mergeCell ref="P21:P22"/>
    <mergeCell ref="P24:P25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F7F75-0DD5-4569-A0D1-3E600AFDE788}">
  <dimension ref="A8:K25"/>
  <sheetViews>
    <sheetView topLeftCell="A13" zoomScale="115" zoomScaleNormal="115" workbookViewId="0">
      <selection activeCell="E25" sqref="E25"/>
    </sheetView>
  </sheetViews>
  <sheetFormatPr defaultRowHeight="14.4" x14ac:dyDescent="0.3"/>
  <cols>
    <col min="1" max="1" width="9.88671875" customWidth="1"/>
    <col min="2" max="2" width="17.6640625" customWidth="1"/>
    <col min="3" max="3" width="16.88671875" customWidth="1"/>
    <col min="4" max="4" width="17.5546875" customWidth="1"/>
    <col min="7" max="7" width="12" customWidth="1"/>
    <col min="8" max="8" width="12.5546875" customWidth="1"/>
    <col min="9" max="9" width="12.6640625" customWidth="1"/>
  </cols>
  <sheetData>
    <row r="8" spans="1:11" x14ac:dyDescent="0.3">
      <c r="A8" s="164"/>
      <c r="B8" s="181" t="s">
        <v>42</v>
      </c>
      <c r="C8" s="181"/>
      <c r="D8" s="181"/>
      <c r="E8" s="164"/>
      <c r="F8" s="164"/>
      <c r="G8" s="181" t="s">
        <v>259</v>
      </c>
      <c r="H8" s="181"/>
      <c r="I8" s="181"/>
      <c r="J8" s="181"/>
      <c r="K8" s="164"/>
    </row>
    <row r="9" spans="1:11" x14ac:dyDescent="0.3">
      <c r="A9" s="164"/>
      <c r="B9" s="182"/>
      <c r="C9" s="182"/>
      <c r="D9" s="182"/>
      <c r="E9" s="164"/>
      <c r="F9" s="164"/>
      <c r="G9" s="182"/>
      <c r="H9" s="182"/>
      <c r="I9" s="182"/>
      <c r="J9" s="182"/>
      <c r="K9" s="164"/>
    </row>
    <row r="10" spans="1:11" ht="22.5" customHeight="1" x14ac:dyDescent="0.3">
      <c r="A10" s="164"/>
      <c r="B10" s="140"/>
      <c r="C10" s="180" t="s">
        <v>43</v>
      </c>
      <c r="D10" s="180"/>
      <c r="E10" s="164"/>
      <c r="F10" s="164"/>
      <c r="G10" s="140"/>
      <c r="H10" s="180" t="s">
        <v>43</v>
      </c>
      <c r="I10" s="180"/>
      <c r="J10" s="180"/>
      <c r="K10" s="164"/>
    </row>
    <row r="11" spans="1:11" ht="27.75" customHeight="1" x14ac:dyDescent="0.3">
      <c r="A11" s="164"/>
      <c r="B11" s="141" t="s">
        <v>44</v>
      </c>
      <c r="C11" s="138" t="b">
        <v>1</v>
      </c>
      <c r="D11" s="138" t="b">
        <v>0</v>
      </c>
      <c r="E11" s="164"/>
      <c r="F11" s="164"/>
      <c r="G11" s="141" t="s">
        <v>44</v>
      </c>
      <c r="H11" s="138" t="s">
        <v>256</v>
      </c>
      <c r="I11" s="138" t="s">
        <v>258</v>
      </c>
      <c r="J11" s="138" t="s">
        <v>257</v>
      </c>
      <c r="K11" s="164"/>
    </row>
    <row r="12" spans="1:11" ht="27" customHeight="1" x14ac:dyDescent="0.3">
      <c r="A12" s="164"/>
      <c r="B12" s="138" t="b">
        <v>1</v>
      </c>
      <c r="C12" s="142" t="s">
        <v>252</v>
      </c>
      <c r="D12" s="139" t="s">
        <v>253</v>
      </c>
      <c r="E12" s="164"/>
      <c r="F12" s="164"/>
      <c r="G12" s="138" t="s">
        <v>256</v>
      </c>
      <c r="H12" s="144">
        <v>7</v>
      </c>
      <c r="I12" s="143">
        <v>8</v>
      </c>
      <c r="J12" s="143">
        <v>9</v>
      </c>
      <c r="K12" s="164"/>
    </row>
    <row r="13" spans="1:11" ht="24" customHeight="1" x14ac:dyDescent="0.3">
      <c r="A13" s="164"/>
      <c r="B13" s="138" t="b">
        <v>0</v>
      </c>
      <c r="C13" s="139" t="s">
        <v>254</v>
      </c>
      <c r="D13" s="142" t="s">
        <v>255</v>
      </c>
      <c r="E13" s="164"/>
      <c r="F13" s="164"/>
      <c r="G13" s="138" t="s">
        <v>258</v>
      </c>
      <c r="H13" s="143">
        <v>1</v>
      </c>
      <c r="I13" s="144">
        <v>2</v>
      </c>
      <c r="J13" s="143">
        <v>3</v>
      </c>
      <c r="K13" s="164"/>
    </row>
    <row r="14" spans="1:11" ht="22.5" customHeight="1" x14ac:dyDescent="0.3">
      <c r="A14" s="164"/>
      <c r="B14" s="183"/>
      <c r="C14" s="183"/>
      <c r="D14" s="183"/>
      <c r="E14" s="164"/>
      <c r="F14" s="164"/>
      <c r="G14" s="138" t="s">
        <v>257</v>
      </c>
      <c r="H14" s="143">
        <v>3</v>
      </c>
      <c r="I14" s="143">
        <v>2</v>
      </c>
      <c r="J14" s="144">
        <v>1</v>
      </c>
      <c r="K14" s="164"/>
    </row>
    <row r="15" spans="1:11" x14ac:dyDescent="0.3">
      <c r="F15" s="164"/>
      <c r="G15" s="183"/>
      <c r="H15" s="183"/>
      <c r="I15" s="183"/>
      <c r="J15" s="183"/>
      <c r="K15" s="164"/>
    </row>
    <row r="19" spans="1:5" x14ac:dyDescent="0.3">
      <c r="A19" s="8"/>
      <c r="B19" s="138" t="s">
        <v>256</v>
      </c>
      <c r="C19" s="138" t="s">
        <v>258</v>
      </c>
      <c r="D19" s="138" t="s">
        <v>257</v>
      </c>
    </row>
    <row r="20" spans="1:5" x14ac:dyDescent="0.3">
      <c r="A20" s="145" t="s">
        <v>252</v>
      </c>
      <c r="B20" s="2">
        <v>7</v>
      </c>
      <c r="C20" s="2">
        <v>2</v>
      </c>
      <c r="D20" s="2">
        <v>1</v>
      </c>
    </row>
    <row r="21" spans="1:5" x14ac:dyDescent="0.3">
      <c r="A21" s="145" t="s">
        <v>254</v>
      </c>
      <c r="B21" s="2" t="s">
        <v>260</v>
      </c>
      <c r="C21" s="2" t="s">
        <v>261</v>
      </c>
      <c r="D21" s="2" t="s">
        <v>262</v>
      </c>
    </row>
    <row r="22" spans="1:5" x14ac:dyDescent="0.3">
      <c r="A22" s="145" t="s">
        <v>48</v>
      </c>
      <c r="B22" s="2" t="s">
        <v>263</v>
      </c>
      <c r="C22" s="2" t="s">
        <v>264</v>
      </c>
      <c r="D22" s="2" t="s">
        <v>265</v>
      </c>
    </row>
    <row r="24" spans="1:5" x14ac:dyDescent="0.3">
      <c r="B24">
        <f xml:space="preserve"> 7/11</f>
        <v>0.63636363636363635</v>
      </c>
      <c r="C24">
        <f>2/12</f>
        <v>0.16666666666666666</v>
      </c>
      <c r="D24">
        <f>1/12</f>
        <v>8.3333333333333329E-2</v>
      </c>
      <c r="E24">
        <f>SUM(B24:D24)/(3)</f>
        <v>0.29545454545454547</v>
      </c>
    </row>
    <row r="25" spans="1:5" x14ac:dyDescent="0.3">
      <c r="B25" s="146"/>
    </row>
  </sheetData>
  <mergeCells count="10">
    <mergeCell ref="A8:A14"/>
    <mergeCell ref="B14:D14"/>
    <mergeCell ref="B8:D9"/>
    <mergeCell ref="C10:D10"/>
    <mergeCell ref="E8:E14"/>
    <mergeCell ref="K8:K15"/>
    <mergeCell ref="H10:J10"/>
    <mergeCell ref="G8:J9"/>
    <mergeCell ref="F8:F15"/>
    <mergeCell ref="G15:J15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8711-F6DC-4B56-BE77-B2AB724FE1FE}">
  <dimension ref="A2:AE45"/>
  <sheetViews>
    <sheetView topLeftCell="N16" zoomScale="85" zoomScaleNormal="85" workbookViewId="0">
      <selection activeCell="Y33" sqref="Y33:AC39"/>
    </sheetView>
  </sheetViews>
  <sheetFormatPr defaultRowHeight="14.4" x14ac:dyDescent="0.3"/>
  <cols>
    <col min="2" max="2" width="11.33203125" customWidth="1"/>
    <col min="8" max="8" width="11.88671875" customWidth="1"/>
    <col min="9" max="9" width="11.6640625" customWidth="1"/>
    <col min="11" max="11" width="11.88671875" customWidth="1"/>
    <col min="14" max="14" width="9.5546875" bestFit="1" customWidth="1"/>
    <col min="17" max="17" width="11.44140625" customWidth="1"/>
    <col min="19" max="19" width="10.5546875" customWidth="1"/>
    <col min="20" max="20" width="11" customWidth="1"/>
    <col min="21" max="21" width="12.5546875" customWidth="1"/>
    <col min="22" max="22" width="14.33203125" customWidth="1"/>
    <col min="23" max="23" width="12.6640625" customWidth="1"/>
    <col min="24" max="24" width="12.88671875" customWidth="1"/>
    <col min="25" max="25" width="20.5546875" customWidth="1"/>
    <col min="26" max="26" width="13.5546875" customWidth="1"/>
    <col min="27" max="27" width="13.109375" customWidth="1"/>
    <col min="28" max="28" width="11.44140625" customWidth="1"/>
    <col min="29" max="29" width="12.6640625" customWidth="1"/>
    <col min="30" max="31" width="11.6640625" customWidth="1"/>
  </cols>
  <sheetData>
    <row r="2" spans="1:31" x14ac:dyDescent="0.3">
      <c r="A2" s="67" t="s">
        <v>0</v>
      </c>
      <c r="B2" s="67" t="s">
        <v>148</v>
      </c>
      <c r="C2" s="67" t="s">
        <v>1</v>
      </c>
      <c r="D2" s="68" t="s">
        <v>157</v>
      </c>
      <c r="E2" s="68" t="s">
        <v>158</v>
      </c>
      <c r="F2" s="68" t="s">
        <v>159</v>
      </c>
      <c r="G2" s="68" t="s">
        <v>160</v>
      </c>
      <c r="H2" s="68" t="s">
        <v>146</v>
      </c>
      <c r="J2" s="9" t="s">
        <v>122</v>
      </c>
    </row>
    <row r="3" spans="1:31" x14ac:dyDescent="0.3">
      <c r="A3" s="1">
        <v>1</v>
      </c>
      <c r="B3" s="6">
        <v>0</v>
      </c>
      <c r="C3" s="1">
        <v>0</v>
      </c>
      <c r="D3" s="1">
        <v>3.6</v>
      </c>
      <c r="E3" s="1">
        <v>3.58</v>
      </c>
      <c r="F3" s="1">
        <v>3.05</v>
      </c>
      <c r="G3" s="1">
        <v>3.7</v>
      </c>
      <c r="H3" s="1" t="s">
        <v>153</v>
      </c>
      <c r="S3" s="9" t="s">
        <v>128</v>
      </c>
      <c r="Z3" s="9" t="s">
        <v>136</v>
      </c>
    </row>
    <row r="4" spans="1:31" x14ac:dyDescent="0.3">
      <c r="A4" s="2">
        <v>2</v>
      </c>
      <c r="B4" s="7">
        <v>0</v>
      </c>
      <c r="C4" s="2">
        <v>1</v>
      </c>
      <c r="D4" s="2">
        <v>3.6</v>
      </c>
      <c r="E4" s="2">
        <v>3.68</v>
      </c>
      <c r="F4" s="2">
        <v>3.3</v>
      </c>
      <c r="G4" s="2">
        <v>3.85</v>
      </c>
      <c r="H4" s="2" t="s">
        <v>153</v>
      </c>
      <c r="J4" s="16" t="s">
        <v>123</v>
      </c>
      <c r="K4" s="60">
        <f>MAX(B3:B22)</f>
        <v>3</v>
      </c>
      <c r="L4" s="60"/>
      <c r="M4" s="60">
        <f>MAX(D3:D22)</f>
        <v>3.6</v>
      </c>
      <c r="N4" s="60">
        <f t="shared" ref="N4:P4" si="0">MAX(E3:E22)</f>
        <v>3.68</v>
      </c>
      <c r="O4" s="60">
        <f t="shared" si="0"/>
        <v>3.55</v>
      </c>
      <c r="P4" s="60">
        <f t="shared" si="0"/>
        <v>3.85</v>
      </c>
      <c r="Q4" s="63"/>
      <c r="Z4" s="184" t="s">
        <v>137</v>
      </c>
      <c r="AA4" s="184"/>
      <c r="AB4" s="184"/>
      <c r="AC4" s="184"/>
      <c r="AD4" s="184"/>
      <c r="AE4" s="184"/>
    </row>
    <row r="5" spans="1:31" x14ac:dyDescent="0.3">
      <c r="A5" s="1">
        <v>3</v>
      </c>
      <c r="B5" s="6">
        <v>1</v>
      </c>
      <c r="C5" s="1">
        <v>1</v>
      </c>
      <c r="D5" s="1">
        <v>3.05</v>
      </c>
      <c r="E5" s="1">
        <v>3.05</v>
      </c>
      <c r="F5" s="1">
        <v>3.3</v>
      </c>
      <c r="G5" s="1">
        <v>3.4</v>
      </c>
      <c r="H5" s="1" t="s">
        <v>153</v>
      </c>
      <c r="J5" s="16" t="s">
        <v>124</v>
      </c>
      <c r="K5" s="60">
        <f>MIN(B3:B22)</f>
        <v>0</v>
      </c>
      <c r="L5" s="60"/>
      <c r="M5" s="60">
        <f t="shared" ref="M5:P5" si="1">MIN(D3:D22)</f>
        <v>1.1399999999999999</v>
      </c>
      <c r="N5" s="60">
        <f t="shared" si="1"/>
        <v>1.49</v>
      </c>
      <c r="O5" s="60">
        <f t="shared" si="1"/>
        <v>0</v>
      </c>
      <c r="P5" s="60">
        <f t="shared" si="1"/>
        <v>0.85</v>
      </c>
      <c r="Q5" s="63"/>
      <c r="S5" s="185" t="s">
        <v>135</v>
      </c>
      <c r="T5" s="185"/>
      <c r="U5" s="185"/>
      <c r="V5" s="185"/>
      <c r="W5" s="185"/>
      <c r="X5" s="185"/>
      <c r="Z5" s="62" t="s">
        <v>138</v>
      </c>
      <c r="AA5" s="62" t="s">
        <v>139</v>
      </c>
      <c r="AB5" s="62" t="s">
        <v>140</v>
      </c>
      <c r="AC5" s="62" t="s">
        <v>141</v>
      </c>
      <c r="AD5" s="62" t="s">
        <v>142</v>
      </c>
      <c r="AE5" s="62" t="s">
        <v>143</v>
      </c>
    </row>
    <row r="6" spans="1:31" x14ac:dyDescent="0.3">
      <c r="A6" s="2">
        <v>4</v>
      </c>
      <c r="B6" s="7">
        <v>2</v>
      </c>
      <c r="C6" s="2">
        <v>1</v>
      </c>
      <c r="D6" s="2">
        <v>3.3</v>
      </c>
      <c r="E6" s="2">
        <v>3.42</v>
      </c>
      <c r="F6" s="2">
        <v>3.55</v>
      </c>
      <c r="G6" s="2">
        <v>3.7</v>
      </c>
      <c r="H6" s="2" t="s">
        <v>153</v>
      </c>
      <c r="J6" s="67" t="s">
        <v>0</v>
      </c>
      <c r="K6" s="67" t="s">
        <v>148</v>
      </c>
      <c r="L6" s="67" t="s">
        <v>1</v>
      </c>
      <c r="M6" s="68" t="s">
        <v>157</v>
      </c>
      <c r="N6" s="68" t="s">
        <v>158</v>
      </c>
      <c r="O6" s="68" t="s">
        <v>159</v>
      </c>
      <c r="P6" s="68" t="s">
        <v>160</v>
      </c>
      <c r="Q6" s="68" t="s">
        <v>146</v>
      </c>
      <c r="S6" s="61" t="s">
        <v>129</v>
      </c>
      <c r="T6" s="61" t="s">
        <v>130</v>
      </c>
      <c r="U6" s="61" t="s">
        <v>131</v>
      </c>
      <c r="V6" s="61" t="s">
        <v>132</v>
      </c>
      <c r="W6" s="61" t="s">
        <v>133</v>
      </c>
      <c r="X6" s="61" t="s">
        <v>134</v>
      </c>
      <c r="Z6" s="15">
        <v>10</v>
      </c>
      <c r="AA6" s="15">
        <v>10</v>
      </c>
      <c r="AB6" s="15">
        <v>10</v>
      </c>
      <c r="AC6" s="15">
        <v>10</v>
      </c>
      <c r="AD6" s="15">
        <v>10</v>
      </c>
      <c r="AE6" s="15">
        <v>10</v>
      </c>
    </row>
    <row r="7" spans="1:31" x14ac:dyDescent="0.3">
      <c r="A7" s="1">
        <v>5</v>
      </c>
      <c r="B7" s="6">
        <v>0</v>
      </c>
      <c r="C7" s="1">
        <v>1</v>
      </c>
      <c r="D7" s="1">
        <v>3.05</v>
      </c>
      <c r="E7" s="1">
        <v>3.2</v>
      </c>
      <c r="F7" s="1">
        <v>3.2</v>
      </c>
      <c r="G7" s="1">
        <v>3.4</v>
      </c>
      <c r="H7" s="1" t="s">
        <v>153</v>
      </c>
      <c r="J7" s="1">
        <v>1</v>
      </c>
      <c r="K7" s="8">
        <f>($B3-$K$5)/($K$4-$K$5)</f>
        <v>0</v>
      </c>
      <c r="L7" s="8">
        <v>0</v>
      </c>
      <c r="M7" s="8">
        <f>($D3-$M$5)/($M$4-$M$5)</f>
        <v>1</v>
      </c>
      <c r="N7" s="8">
        <f t="shared" ref="N7:N26" si="2">($E3-$N$5)/($N$4-$N$5)</f>
        <v>0.95433789954337878</v>
      </c>
      <c r="O7" s="8">
        <f>($F3-$O$5)/($O$4-$O$5)</f>
        <v>0.85915492957746475</v>
      </c>
      <c r="P7" s="8">
        <f>($G3-$P$5)/($P$4-$P$5)</f>
        <v>0.95000000000000007</v>
      </c>
      <c r="Q7" s="1" t="s">
        <v>153</v>
      </c>
      <c r="S7" s="8">
        <f>SQRT(($K7-$K$31)^2+($L7-$L$31)^2+($M7-$M$31)^2+($N7-$N$31)^2+($O7-$O$31)^2+($P7-$P$31)^2)</f>
        <v>1.811806581156497</v>
      </c>
      <c r="T7" s="8">
        <f>SQRT(($K7-$K$32)^2+($L7-$L$32)^2+($M7-$M$32)^2+($N7-$N$32)^2+($O7-$O$32)^2+($P7-$P$32)^2)</f>
        <v>1.0465362038910164</v>
      </c>
      <c r="U7" s="8">
        <f>SQRT(($K7-$K$33)^2+($L7-$L$33)^2+($M7-$M$33)^2+($N7-$N$33)^2+($O7-$O$33)^2+($P7-$P$33)^2)</f>
        <v>1.4958847626389922</v>
      </c>
      <c r="V7" s="8">
        <f>SQRT(($K7-$K$34)^2+($L7-$L$34)^2+($M7-$M$34)^2+($N7-$N$34)^2+($O7-$O$34)^2+($P7-$P$34)^2)</f>
        <v>0.19414123423305354</v>
      </c>
      <c r="W7" s="8">
        <f>SQRT(($K7-$K$35)^2+($L7-$L$35)^2+($M7-$M$35)^2+($N7-$N$35)^2+($O7-$O$35)^2+($P7-$P$35)^2)</f>
        <v>1.8205400338968245</v>
      </c>
      <c r="X7" s="8">
        <f>SQRT(($K7-$K$36)^2+($L7-$L$36)^2+($M7-$M$36)^2+($N7-$N$36)^2+($O7-$O$36)^2+($P7-$P$36)^2)</f>
        <v>1.6000336761871532</v>
      </c>
      <c r="Z7" s="8" t="str">
        <f>IF($S7&lt;=SMALL($S$7:$S$26,$Z$6),$Q7,"")</f>
        <v/>
      </c>
      <c r="AA7" s="8" t="str">
        <f>IF(T7&lt;=SMALL($T$7:$T$26,$AA$6),$Q7,"")</f>
        <v>Lulus</v>
      </c>
      <c r="AB7" s="8" t="str">
        <f>IF(U7&lt;=SMALL($U$7:$U$26,$AB$6),$Q7,"")</f>
        <v/>
      </c>
      <c r="AC7" s="8" t="str">
        <f>IF(V7&lt;=SMALL($V$7:$V$26,$AC$6),$Q7,"")</f>
        <v>Lulus</v>
      </c>
      <c r="AD7" s="8" t="str">
        <f>IF(W7&lt;=SMALL($W$7:$W$26,$AD$6),$Q7,"")</f>
        <v/>
      </c>
      <c r="AE7" s="8" t="str">
        <f>IF(X7&lt;=SMALL($X$7:$X$26,$AE$6),$Q7,"")</f>
        <v/>
      </c>
    </row>
    <row r="8" spans="1:31" x14ac:dyDescent="0.3">
      <c r="A8" s="2">
        <v>6</v>
      </c>
      <c r="B8" s="7">
        <v>0</v>
      </c>
      <c r="C8" s="2">
        <v>0</v>
      </c>
      <c r="D8" s="2">
        <v>3.35</v>
      </c>
      <c r="E8" s="2">
        <v>3</v>
      </c>
      <c r="F8" s="2">
        <v>2.85</v>
      </c>
      <c r="G8" s="2">
        <v>3.1</v>
      </c>
      <c r="H8" s="2" t="s">
        <v>153</v>
      </c>
      <c r="J8" s="2">
        <v>2</v>
      </c>
      <c r="K8" s="8">
        <f t="shared" ref="K8:K26" si="3">($B4-$K$5)/($K$4-$K$5)</f>
        <v>0</v>
      </c>
      <c r="L8" s="8">
        <v>1</v>
      </c>
      <c r="M8" s="8">
        <f t="shared" ref="M8:M26" si="4">($D4-$M$5)/($M$4-$M$5)</f>
        <v>1</v>
      </c>
      <c r="N8" s="8">
        <f t="shared" si="2"/>
        <v>1</v>
      </c>
      <c r="O8" s="8">
        <f t="shared" ref="O8:O26" si="5">($F4-$O$5)/($O$4-$O$5)</f>
        <v>0.92957746478873238</v>
      </c>
      <c r="P8" s="8">
        <f t="shared" ref="P8:P26" si="6">($G4-$P$5)/($P$4-$P$5)</f>
        <v>1</v>
      </c>
      <c r="Q8" s="2" t="s">
        <v>153</v>
      </c>
      <c r="S8" s="8">
        <f t="shared" ref="S8:S26" si="7">SQRT(($K8-$K$31)^2+($L8-$L$31)^2+($M8-$M$31)^2+($N8-$N$31)^2+($O8-$O$31)^2+($P8-$P$31)^2)</f>
        <v>1.574598130650448</v>
      </c>
      <c r="T8" s="8">
        <f t="shared" ref="T8:T26" si="8">SQRT(($K8-$K$32)^2+($L8-$L$32)^2+($M8-$M$32)^2+($N8-$N$32)^2+($O8-$O$32)^2+($P8-$P$32)^2)</f>
        <v>1.4901167205981525</v>
      </c>
      <c r="U8" s="8">
        <f t="shared" ref="U8:U26" si="9">SQRT(($K8-$K$33)^2+($L8-$L$33)^2+($M8-$M$33)^2+($N8-$N$33)^2+($O8-$O$33)^2+($P8-$P$33)^2)</f>
        <v>1.1616460148755368</v>
      </c>
      <c r="V8" s="8">
        <f t="shared" ref="V8:V26" si="10">SQRT(($K8-$K$34)^2+($L8-$L$34)^2+($M8-$M$34)^2+($N8-$N$34)^2+($O8-$O$34)^2+($P8-$P$34)^2)</f>
        <v>1.0177352518818796</v>
      </c>
      <c r="W8" s="8">
        <f t="shared" ref="W8:W26" si="11">SQRT(($K8-$K$35)^2+($L8-$L$35)^2+($M8-$M$35)^2+($N8-$N$35)^2+($O8-$O$35)^2+($P8-$P$35)^2)</f>
        <v>1.540041447536544</v>
      </c>
      <c r="X8" s="8">
        <f t="shared" ref="X8:X26" si="12">SQRT(($K8-$K$36)^2+($L8-$L$36)^2+($M8-$M$36)^2+($N8-$N$36)^2+($O8-$O$36)^2+($P8-$P$36)^2)</f>
        <v>1.34134965313382</v>
      </c>
      <c r="Z8" s="8" t="str">
        <f t="shared" ref="Z8:Z26" si="13">IF($S8&lt;=SMALL($S$7:$S$26,$Z$6),$Q8,"")</f>
        <v/>
      </c>
      <c r="AA8" s="8" t="str">
        <f t="shared" ref="AA8:AA26" si="14">IF(T8&lt;=SMALL($T$7:$T$26,$AA$6),$Q8,"")</f>
        <v/>
      </c>
      <c r="AB8" s="8" t="str">
        <f t="shared" ref="AB8:AB26" si="15">IF(U8&lt;=SMALL($U$7:$U$26,$AB$6),$Q8,"")</f>
        <v>Lulus</v>
      </c>
      <c r="AC8" s="8" t="str">
        <f t="shared" ref="AC8:AC26" si="16">IF(V8&lt;=SMALL($V$7:$V$26,$AC$6),$Q8,"")</f>
        <v>Lulus</v>
      </c>
      <c r="AD8" s="8" t="str">
        <f t="shared" ref="AD8:AD26" si="17">IF(W8&lt;=SMALL($W$7:$W$26,$AD$6),$Q8,"")</f>
        <v/>
      </c>
      <c r="AE8" s="8" t="str">
        <f t="shared" ref="AE8:AE26" si="18">IF(X8&lt;=SMALL($X$7:$X$26,$AE$6),$Q8,"")</f>
        <v>Lulus</v>
      </c>
    </row>
    <row r="9" spans="1:31" x14ac:dyDescent="0.3">
      <c r="A9" s="1">
        <v>7</v>
      </c>
      <c r="B9" s="7">
        <v>3</v>
      </c>
      <c r="C9" s="1">
        <v>1</v>
      </c>
      <c r="D9" s="1">
        <v>2.02</v>
      </c>
      <c r="E9" s="1">
        <v>2.0299999999999998</v>
      </c>
      <c r="F9" s="1">
        <v>1.83</v>
      </c>
      <c r="G9" s="1">
        <v>0.85</v>
      </c>
      <c r="H9" s="1" t="s">
        <v>154</v>
      </c>
      <c r="J9" s="1">
        <v>3</v>
      </c>
      <c r="K9" s="8">
        <f t="shared" si="3"/>
        <v>0.33333333333333331</v>
      </c>
      <c r="L9" s="8">
        <v>1</v>
      </c>
      <c r="M9" s="8">
        <f t="shared" si="4"/>
        <v>0.77642276422764223</v>
      </c>
      <c r="N9" s="8">
        <f t="shared" si="2"/>
        <v>0.71232876712328752</v>
      </c>
      <c r="O9" s="8">
        <f t="shared" si="5"/>
        <v>0.92957746478873238</v>
      </c>
      <c r="P9" s="8">
        <f t="shared" si="6"/>
        <v>0.85</v>
      </c>
      <c r="Q9" s="1" t="s">
        <v>153</v>
      </c>
      <c r="S9" s="8">
        <f t="shared" si="7"/>
        <v>1.1649600838308922</v>
      </c>
      <c r="T9" s="8">
        <f t="shared" si="8"/>
        <v>1.2004569607116313</v>
      </c>
      <c r="U9" s="8">
        <f t="shared" si="9"/>
        <v>0.72008951216806649</v>
      </c>
      <c r="V9" s="8">
        <f t="shared" si="10"/>
        <v>1.1177951140031923</v>
      </c>
      <c r="W9" s="8">
        <f t="shared" si="11"/>
        <v>1.0847926475302818</v>
      </c>
      <c r="X9" s="8">
        <f t="shared" si="12"/>
        <v>1.1756004331511443</v>
      </c>
      <c r="Z9" s="8" t="str">
        <f t="shared" si="13"/>
        <v>Lulus</v>
      </c>
      <c r="AA9" s="8" t="str">
        <f t="shared" si="14"/>
        <v/>
      </c>
      <c r="AB9" s="8" t="str">
        <f t="shared" si="15"/>
        <v>Lulus</v>
      </c>
      <c r="AC9" s="8" t="str">
        <f t="shared" si="16"/>
        <v/>
      </c>
      <c r="AD9" s="8" t="str">
        <f t="shared" si="17"/>
        <v>Lulus</v>
      </c>
      <c r="AE9" s="8" t="str">
        <f t="shared" si="18"/>
        <v>Lulus</v>
      </c>
    </row>
    <row r="10" spans="1:31" x14ac:dyDescent="0.3">
      <c r="A10" s="2">
        <v>8</v>
      </c>
      <c r="B10" s="7">
        <v>0</v>
      </c>
      <c r="C10" s="2">
        <v>1</v>
      </c>
      <c r="D10" s="2">
        <v>3.3</v>
      </c>
      <c r="E10" s="2">
        <v>2.79</v>
      </c>
      <c r="F10" s="2">
        <v>3.45</v>
      </c>
      <c r="G10" s="2">
        <v>3.55</v>
      </c>
      <c r="H10" s="2" t="s">
        <v>153</v>
      </c>
      <c r="J10" s="2">
        <v>4</v>
      </c>
      <c r="K10" s="8">
        <f t="shared" si="3"/>
        <v>0.66666666666666663</v>
      </c>
      <c r="L10" s="8">
        <v>1</v>
      </c>
      <c r="M10" s="8">
        <f t="shared" si="4"/>
        <v>0.87804878048780499</v>
      </c>
      <c r="N10" s="8">
        <f t="shared" si="2"/>
        <v>0.88127853881278517</v>
      </c>
      <c r="O10" s="8">
        <f t="shared" si="5"/>
        <v>1</v>
      </c>
      <c r="P10" s="8">
        <f t="shared" si="6"/>
        <v>0.95000000000000007</v>
      </c>
      <c r="Q10" s="2" t="s">
        <v>153</v>
      </c>
      <c r="S10" s="8">
        <f t="shared" si="7"/>
        <v>1.3081708674023727</v>
      </c>
      <c r="T10" s="8">
        <f t="shared" si="8"/>
        <v>1.2640490339294548</v>
      </c>
      <c r="U10" s="8">
        <f t="shared" si="9"/>
        <v>1.0017684223778114</v>
      </c>
      <c r="V10" s="8">
        <f t="shared" si="10"/>
        <v>1.2203195431035583</v>
      </c>
      <c r="W10" s="8">
        <f t="shared" si="11"/>
        <v>1.0694420203906185</v>
      </c>
      <c r="X10" s="8">
        <f t="shared" si="12"/>
        <v>1.4567563681540188</v>
      </c>
      <c r="Z10" s="8" t="str">
        <f t="shared" si="13"/>
        <v>Lulus</v>
      </c>
      <c r="AA10" s="8" t="str">
        <f t="shared" si="14"/>
        <v/>
      </c>
      <c r="AB10" s="8" t="str">
        <f t="shared" si="15"/>
        <v>Lulus</v>
      </c>
      <c r="AC10" s="8" t="str">
        <f t="shared" si="16"/>
        <v/>
      </c>
      <c r="AD10" s="8" t="str">
        <f t="shared" si="17"/>
        <v>Lulus</v>
      </c>
      <c r="AE10" s="8" t="str">
        <f t="shared" si="18"/>
        <v/>
      </c>
    </row>
    <row r="11" spans="1:31" x14ac:dyDescent="0.3">
      <c r="A11" s="1">
        <v>9</v>
      </c>
      <c r="B11" s="7">
        <v>3</v>
      </c>
      <c r="C11" s="3">
        <v>0</v>
      </c>
      <c r="D11" s="1">
        <v>3.05</v>
      </c>
      <c r="E11" s="1">
        <v>2.79</v>
      </c>
      <c r="F11" s="1">
        <v>3</v>
      </c>
      <c r="G11" s="1">
        <v>2.85</v>
      </c>
      <c r="H11" s="1" t="s">
        <v>154</v>
      </c>
      <c r="J11" s="1">
        <v>5</v>
      </c>
      <c r="K11" s="8">
        <f t="shared" si="3"/>
        <v>0</v>
      </c>
      <c r="L11" s="8">
        <v>1</v>
      </c>
      <c r="M11" s="8">
        <f t="shared" si="4"/>
        <v>0.77642276422764223</v>
      </c>
      <c r="N11" s="8">
        <f t="shared" si="2"/>
        <v>0.78082191780821908</v>
      </c>
      <c r="O11" s="8">
        <f t="shared" si="5"/>
        <v>0.90140845070422548</v>
      </c>
      <c r="P11" s="8">
        <f t="shared" si="6"/>
        <v>0.85</v>
      </c>
      <c r="Q11" s="1" t="s">
        <v>153</v>
      </c>
      <c r="S11" s="8">
        <f t="shared" si="7"/>
        <v>1.336994719610699</v>
      </c>
      <c r="T11" s="8">
        <f t="shared" si="8"/>
        <v>1.3538884033114229</v>
      </c>
      <c r="U11" s="8">
        <f t="shared" si="9"/>
        <v>0.84163101659802608</v>
      </c>
      <c r="V11" s="8">
        <f t="shared" si="10"/>
        <v>1.0528058032674956</v>
      </c>
      <c r="W11" s="8">
        <f t="shared" si="11"/>
        <v>1.3328326260956385</v>
      </c>
      <c r="X11" s="8">
        <f t="shared" si="12"/>
        <v>1.1191280058324879</v>
      </c>
      <c r="Z11" s="8" t="str">
        <f t="shared" si="13"/>
        <v/>
      </c>
      <c r="AA11" s="8" t="str">
        <f t="shared" si="14"/>
        <v/>
      </c>
      <c r="AB11" s="8" t="str">
        <f t="shared" si="15"/>
        <v>Lulus</v>
      </c>
      <c r="AC11" s="8" t="str">
        <f t="shared" si="16"/>
        <v>Lulus</v>
      </c>
      <c r="AD11" s="8" t="str">
        <f t="shared" si="17"/>
        <v>Lulus</v>
      </c>
      <c r="AE11" s="8" t="str">
        <f t="shared" si="18"/>
        <v>Lulus</v>
      </c>
    </row>
    <row r="12" spans="1:31" x14ac:dyDescent="0.3">
      <c r="A12" s="2">
        <v>10</v>
      </c>
      <c r="B12" s="7">
        <v>3</v>
      </c>
      <c r="C12" s="2">
        <v>0</v>
      </c>
      <c r="D12" s="2">
        <v>3.05</v>
      </c>
      <c r="E12" s="2">
        <v>2.95</v>
      </c>
      <c r="F12" s="2">
        <v>3.45</v>
      </c>
      <c r="G12" s="2">
        <v>3.25</v>
      </c>
      <c r="H12" s="2" t="s">
        <v>154</v>
      </c>
      <c r="J12" s="2">
        <v>6</v>
      </c>
      <c r="K12" s="8">
        <f t="shared" si="3"/>
        <v>0</v>
      </c>
      <c r="L12" s="8">
        <v>0</v>
      </c>
      <c r="M12" s="8">
        <f t="shared" si="4"/>
        <v>0.89837398373983735</v>
      </c>
      <c r="N12" s="8">
        <f t="shared" si="2"/>
        <v>0.68949771689497708</v>
      </c>
      <c r="O12" s="8">
        <f t="shared" si="5"/>
        <v>0.80281690140845074</v>
      </c>
      <c r="P12" s="8">
        <f t="shared" si="6"/>
        <v>0.75</v>
      </c>
      <c r="Q12" s="2" t="s">
        <v>153</v>
      </c>
      <c r="S12" s="8">
        <f t="shared" si="7"/>
        <v>1.5765492370689183</v>
      </c>
      <c r="T12" s="8">
        <f t="shared" si="8"/>
        <v>0.8295969090875952</v>
      </c>
      <c r="U12" s="8">
        <f t="shared" si="9"/>
        <v>1.2981053154316036</v>
      </c>
      <c r="V12" s="8">
        <f t="shared" si="10"/>
        <v>0.38879318317071015</v>
      </c>
      <c r="W12" s="8">
        <f t="shared" si="11"/>
        <v>1.7197591603150646</v>
      </c>
      <c r="X12" s="8">
        <f t="shared" si="12"/>
        <v>1.412972953405462</v>
      </c>
      <c r="Z12" s="8" t="str">
        <f t="shared" si="13"/>
        <v/>
      </c>
      <c r="AA12" s="8" t="str">
        <f t="shared" si="14"/>
        <v>Lulus</v>
      </c>
      <c r="AB12" s="8" t="str">
        <f t="shared" si="15"/>
        <v/>
      </c>
      <c r="AC12" s="8" t="str">
        <f t="shared" si="16"/>
        <v>Lulus</v>
      </c>
      <c r="AD12" s="8" t="str">
        <f t="shared" si="17"/>
        <v/>
      </c>
      <c r="AE12" s="8" t="str">
        <f t="shared" si="18"/>
        <v/>
      </c>
    </row>
    <row r="13" spans="1:31" x14ac:dyDescent="0.3">
      <c r="A13" s="1">
        <v>11</v>
      </c>
      <c r="B13" s="6">
        <v>1</v>
      </c>
      <c r="C13" s="1">
        <v>1</v>
      </c>
      <c r="D13" s="1">
        <v>2.38</v>
      </c>
      <c r="E13" s="1">
        <v>1.58</v>
      </c>
      <c r="F13" s="1">
        <v>0</v>
      </c>
      <c r="G13" s="1">
        <v>1.43</v>
      </c>
      <c r="H13" s="1" t="s">
        <v>154</v>
      </c>
      <c r="J13" s="1">
        <v>7</v>
      </c>
      <c r="K13" s="8">
        <f t="shared" si="3"/>
        <v>1</v>
      </c>
      <c r="L13" s="8">
        <v>1</v>
      </c>
      <c r="M13" s="8">
        <f t="shared" si="4"/>
        <v>0.35772357723577242</v>
      </c>
      <c r="N13" s="8">
        <f t="shared" si="2"/>
        <v>0.2465753424657533</v>
      </c>
      <c r="O13" s="8">
        <f t="shared" si="5"/>
        <v>0.51549295774647896</v>
      </c>
      <c r="P13" s="8">
        <f t="shared" si="6"/>
        <v>0</v>
      </c>
      <c r="Q13" s="1" t="s">
        <v>154</v>
      </c>
      <c r="S13" s="8">
        <f t="shared" si="7"/>
        <v>0.7108875404891547</v>
      </c>
      <c r="T13" s="8">
        <f t="shared" si="8"/>
        <v>1.3806973069372421</v>
      </c>
      <c r="U13" s="8">
        <f t="shared" si="9"/>
        <v>0.98708226305768254</v>
      </c>
      <c r="V13" s="8">
        <f t="shared" si="10"/>
        <v>1.9734729446086199</v>
      </c>
      <c r="W13" s="8">
        <f t="shared" si="11"/>
        <v>1.1223378931038752</v>
      </c>
      <c r="X13" s="8">
        <f t="shared" si="12"/>
        <v>1.2100620069544206</v>
      </c>
      <c r="Z13" s="8" t="str">
        <f t="shared" si="13"/>
        <v>Tidak Lulus</v>
      </c>
      <c r="AA13" s="8" t="str">
        <f t="shared" si="14"/>
        <v/>
      </c>
      <c r="AB13" s="8" t="str">
        <f t="shared" si="15"/>
        <v>Tidak Lulus</v>
      </c>
      <c r="AC13" s="8" t="str">
        <f t="shared" si="16"/>
        <v/>
      </c>
      <c r="AD13" s="8" t="str">
        <f t="shared" si="17"/>
        <v>Tidak Lulus</v>
      </c>
      <c r="AE13" s="8" t="str">
        <f t="shared" si="18"/>
        <v>Tidak Lulus</v>
      </c>
    </row>
    <row r="14" spans="1:31" x14ac:dyDescent="0.3">
      <c r="A14" s="2">
        <v>12</v>
      </c>
      <c r="B14" s="7">
        <v>1</v>
      </c>
      <c r="C14" s="2">
        <v>1</v>
      </c>
      <c r="D14" s="2">
        <v>2.15</v>
      </c>
      <c r="E14" s="2">
        <v>2.02</v>
      </c>
      <c r="F14" s="2">
        <v>2.0299999999999998</v>
      </c>
      <c r="G14" s="2">
        <v>1.83</v>
      </c>
      <c r="H14" s="2" t="s">
        <v>154</v>
      </c>
      <c r="J14" s="2">
        <v>8</v>
      </c>
      <c r="K14" s="8">
        <f t="shared" si="3"/>
        <v>0</v>
      </c>
      <c r="L14" s="8">
        <v>1</v>
      </c>
      <c r="M14" s="8">
        <f t="shared" si="4"/>
        <v>0.87804878048780499</v>
      </c>
      <c r="N14" s="8">
        <f t="shared" si="2"/>
        <v>0.59360730593607303</v>
      </c>
      <c r="O14" s="8">
        <f t="shared" si="5"/>
        <v>0.97183098591549311</v>
      </c>
      <c r="P14" s="8">
        <f t="shared" si="6"/>
        <v>0.89999999999999991</v>
      </c>
      <c r="Q14" s="2" t="s">
        <v>153</v>
      </c>
      <c r="S14" s="8">
        <f t="shared" si="7"/>
        <v>1.276645887408445</v>
      </c>
      <c r="T14" s="8">
        <f t="shared" si="8"/>
        <v>1.3062430243820795</v>
      </c>
      <c r="U14" s="8">
        <f t="shared" si="9"/>
        <v>0.79641718600991662</v>
      </c>
      <c r="V14" s="8">
        <f t="shared" si="10"/>
        <v>1.0892804141837116</v>
      </c>
      <c r="W14" s="8">
        <f t="shared" si="11"/>
        <v>1.3549160126143389</v>
      </c>
      <c r="X14" s="8">
        <f t="shared" si="12"/>
        <v>1.1930499933040257</v>
      </c>
      <c r="Z14" s="8" t="str">
        <f t="shared" si="13"/>
        <v>Lulus</v>
      </c>
      <c r="AA14" s="8" t="str">
        <f t="shared" si="14"/>
        <v/>
      </c>
      <c r="AB14" s="8" t="str">
        <f t="shared" si="15"/>
        <v>Lulus</v>
      </c>
      <c r="AC14" s="8" t="str">
        <f t="shared" si="16"/>
        <v/>
      </c>
      <c r="AD14" s="8" t="str">
        <f t="shared" si="17"/>
        <v>Lulus</v>
      </c>
      <c r="AE14" s="8" t="str">
        <f t="shared" si="18"/>
        <v>Lulus</v>
      </c>
    </row>
    <row r="15" spans="1:31" x14ac:dyDescent="0.3">
      <c r="A15" s="1">
        <v>13</v>
      </c>
      <c r="B15" s="6">
        <v>2</v>
      </c>
      <c r="C15" s="1">
        <v>0</v>
      </c>
      <c r="D15" s="1">
        <v>3.28</v>
      </c>
      <c r="E15" s="1">
        <v>3.37</v>
      </c>
      <c r="F15" s="1">
        <v>3.54</v>
      </c>
      <c r="G15" s="1">
        <v>3.35</v>
      </c>
      <c r="H15" s="1" t="s">
        <v>153</v>
      </c>
      <c r="J15" s="1">
        <v>9</v>
      </c>
      <c r="K15" s="8">
        <f t="shared" si="3"/>
        <v>1</v>
      </c>
      <c r="L15" s="8">
        <v>0</v>
      </c>
      <c r="M15" s="8">
        <f t="shared" si="4"/>
        <v>0.77642276422764223</v>
      </c>
      <c r="N15" s="8">
        <f t="shared" si="2"/>
        <v>0.59360730593607303</v>
      </c>
      <c r="O15" s="8">
        <f t="shared" si="5"/>
        <v>0.84507042253521136</v>
      </c>
      <c r="P15" s="8">
        <f t="shared" si="6"/>
        <v>0.66666666666666663</v>
      </c>
      <c r="Q15" s="1" t="s">
        <v>154</v>
      </c>
      <c r="S15" s="8">
        <f t="shared" si="7"/>
        <v>1.3832033936293866</v>
      </c>
      <c r="T15" s="8">
        <f t="shared" si="8"/>
        <v>0.54003417437777101</v>
      </c>
      <c r="U15" s="8">
        <f t="shared" si="9"/>
        <v>1.3396890515715454</v>
      </c>
      <c r="V15" s="8">
        <f t="shared" si="10"/>
        <v>1.1242924222061559</v>
      </c>
      <c r="W15" s="8">
        <f t="shared" si="11"/>
        <v>1.3240006006768619</v>
      </c>
      <c r="X15" s="8">
        <f t="shared" si="12"/>
        <v>1.7054375124659886</v>
      </c>
      <c r="Z15" s="8" t="str">
        <f t="shared" si="13"/>
        <v/>
      </c>
      <c r="AA15" s="8" t="str">
        <f t="shared" si="14"/>
        <v>Tidak Lulus</v>
      </c>
      <c r="AB15" s="8" t="str">
        <f t="shared" si="15"/>
        <v/>
      </c>
      <c r="AC15" s="8" t="str">
        <f>IF(V15&lt;=SMALL($V$7:$V$26,$AC$6),$Q15,"")</f>
        <v/>
      </c>
      <c r="AD15" s="8" t="str">
        <f t="shared" si="17"/>
        <v>Tidak Lulus</v>
      </c>
      <c r="AE15" s="8" t="str">
        <f t="shared" si="18"/>
        <v/>
      </c>
    </row>
    <row r="16" spans="1:31" x14ac:dyDescent="0.3">
      <c r="A16" s="2">
        <v>14</v>
      </c>
      <c r="B16" s="7">
        <v>0</v>
      </c>
      <c r="C16" s="2">
        <v>0</v>
      </c>
      <c r="D16" s="2">
        <v>2.77</v>
      </c>
      <c r="E16" s="2">
        <v>3.05</v>
      </c>
      <c r="F16" s="2">
        <v>3.08</v>
      </c>
      <c r="G16" s="2">
        <v>3.15</v>
      </c>
      <c r="H16" s="2" t="s">
        <v>153</v>
      </c>
      <c r="J16" s="2">
        <v>10</v>
      </c>
      <c r="K16" s="8">
        <f t="shared" si="3"/>
        <v>1</v>
      </c>
      <c r="L16" s="8">
        <v>0</v>
      </c>
      <c r="M16" s="8">
        <f t="shared" si="4"/>
        <v>0.77642276422764223</v>
      </c>
      <c r="N16" s="8">
        <f t="shared" si="2"/>
        <v>0.66666666666666663</v>
      </c>
      <c r="O16" s="8">
        <f t="shared" si="5"/>
        <v>0.97183098591549311</v>
      </c>
      <c r="P16" s="8">
        <f t="shared" si="6"/>
        <v>0.79999999999999993</v>
      </c>
      <c r="Q16" s="2" t="s">
        <v>154</v>
      </c>
      <c r="S16" s="8">
        <f t="shared" si="7"/>
        <v>1.4907754144195415</v>
      </c>
      <c r="T16" s="8">
        <f t="shared" si="8"/>
        <v>0.64230224988716778</v>
      </c>
      <c r="U16" s="8">
        <f t="shared" si="9"/>
        <v>1.3783913186807841</v>
      </c>
      <c r="V16" s="8">
        <f t="shared" si="10"/>
        <v>1.078187407942198</v>
      </c>
      <c r="W16" s="8">
        <f t="shared" si="11"/>
        <v>1.3160038219316026</v>
      </c>
      <c r="X16" s="8">
        <f t="shared" si="12"/>
        <v>1.8109096492981689</v>
      </c>
      <c r="Z16" s="8" t="str">
        <f t="shared" si="13"/>
        <v/>
      </c>
      <c r="AA16" s="8" t="str">
        <f t="shared" si="14"/>
        <v>Tidak Lulus</v>
      </c>
      <c r="AB16" s="8" t="str">
        <f t="shared" si="15"/>
        <v/>
      </c>
      <c r="AC16" s="8" t="str">
        <f t="shared" si="16"/>
        <v/>
      </c>
      <c r="AD16" s="8" t="str">
        <f t="shared" si="17"/>
        <v>Tidak Lulus</v>
      </c>
      <c r="AE16" s="8" t="str">
        <f t="shared" si="18"/>
        <v/>
      </c>
    </row>
    <row r="17" spans="1:31" x14ac:dyDescent="0.3">
      <c r="A17" s="1">
        <v>15</v>
      </c>
      <c r="B17" s="6">
        <v>1</v>
      </c>
      <c r="C17" s="1">
        <v>0</v>
      </c>
      <c r="D17" s="1">
        <v>3.28</v>
      </c>
      <c r="E17" s="1">
        <v>2.13</v>
      </c>
      <c r="F17" s="1">
        <v>1.68</v>
      </c>
      <c r="G17" s="45">
        <v>2.87</v>
      </c>
      <c r="H17" s="1" t="s">
        <v>154</v>
      </c>
      <c r="J17" s="1">
        <v>11</v>
      </c>
      <c r="K17" s="8">
        <f t="shared" si="3"/>
        <v>0.33333333333333331</v>
      </c>
      <c r="L17" s="8">
        <v>1</v>
      </c>
      <c r="M17" s="8">
        <f t="shared" si="4"/>
        <v>0.50406504065040647</v>
      </c>
      <c r="N17" s="8">
        <f t="shared" si="2"/>
        <v>4.1095890410958937E-2</v>
      </c>
      <c r="O17" s="8">
        <f t="shared" si="5"/>
        <v>0</v>
      </c>
      <c r="P17" s="8">
        <f t="shared" si="6"/>
        <v>0.19333333333333333</v>
      </c>
      <c r="Q17" s="1" t="s">
        <v>154</v>
      </c>
      <c r="S17" s="8">
        <f t="shared" si="7"/>
        <v>0.97231846839903791</v>
      </c>
      <c r="T17" s="8">
        <f t="shared" si="8"/>
        <v>1.412590494353634</v>
      </c>
      <c r="U17" s="8">
        <f t="shared" si="9"/>
        <v>0.99584298900775592</v>
      </c>
      <c r="V17" s="8">
        <f t="shared" si="10"/>
        <v>1.916987091640441</v>
      </c>
      <c r="W17" s="8">
        <f t="shared" si="11"/>
        <v>1.4802697362003532</v>
      </c>
      <c r="X17" s="8">
        <f t="shared" si="12"/>
        <v>0.58408593746852822</v>
      </c>
      <c r="Z17" s="8" t="str">
        <f t="shared" si="13"/>
        <v>Tidak Lulus</v>
      </c>
      <c r="AA17" s="8" t="str">
        <f t="shared" si="14"/>
        <v/>
      </c>
      <c r="AB17" s="8" t="str">
        <f t="shared" si="15"/>
        <v>Tidak Lulus</v>
      </c>
      <c r="AC17" s="8" t="str">
        <f t="shared" si="16"/>
        <v/>
      </c>
      <c r="AD17" s="8" t="str">
        <f t="shared" si="17"/>
        <v/>
      </c>
      <c r="AE17" s="8" t="str">
        <f t="shared" si="18"/>
        <v>Tidak Lulus</v>
      </c>
    </row>
    <row r="18" spans="1:31" x14ac:dyDescent="0.3">
      <c r="A18" s="2">
        <v>16</v>
      </c>
      <c r="B18" s="7">
        <v>3</v>
      </c>
      <c r="C18" s="2">
        <v>1</v>
      </c>
      <c r="D18" s="2">
        <v>3.28</v>
      </c>
      <c r="E18" s="2">
        <v>3.37</v>
      </c>
      <c r="F18" s="2">
        <v>3.54</v>
      </c>
      <c r="G18" s="2">
        <v>3.35</v>
      </c>
      <c r="H18" s="2" t="s">
        <v>153</v>
      </c>
      <c r="J18" s="2">
        <v>12</v>
      </c>
      <c r="K18" s="8">
        <f t="shared" si="3"/>
        <v>0.33333333333333331</v>
      </c>
      <c r="L18" s="8">
        <v>1</v>
      </c>
      <c r="M18" s="8">
        <f t="shared" si="4"/>
        <v>0.41056910569105692</v>
      </c>
      <c r="N18" s="8">
        <f t="shared" si="2"/>
        <v>0.24200913242009128</v>
      </c>
      <c r="O18" s="8">
        <f t="shared" si="5"/>
        <v>0.57183098591549297</v>
      </c>
      <c r="P18" s="8">
        <f t="shared" si="6"/>
        <v>0.32666666666666672</v>
      </c>
      <c r="Q18" s="2" t="s">
        <v>154</v>
      </c>
      <c r="S18" s="8">
        <f t="shared" si="7"/>
        <v>0.72765156915652607</v>
      </c>
      <c r="T18" s="8">
        <f t="shared" si="8"/>
        <v>1.2130656048379633</v>
      </c>
      <c r="U18" s="8">
        <f t="shared" si="9"/>
        <v>0.43781362024446491</v>
      </c>
      <c r="V18" s="8">
        <f t="shared" si="10"/>
        <v>1.5697721422027411</v>
      </c>
      <c r="W18" s="8">
        <f t="shared" si="11"/>
        <v>1.0795219453917815</v>
      </c>
      <c r="X18" s="8">
        <f t="shared" si="12"/>
        <v>0.73749347790395747</v>
      </c>
      <c r="Z18" s="8" t="str">
        <f t="shared" si="13"/>
        <v>Tidak Lulus</v>
      </c>
      <c r="AA18" s="8" t="str">
        <f t="shared" si="14"/>
        <v/>
      </c>
      <c r="AB18" s="8" t="str">
        <f t="shared" si="15"/>
        <v>Tidak Lulus</v>
      </c>
      <c r="AC18" s="8" t="str">
        <f t="shared" si="16"/>
        <v/>
      </c>
      <c r="AD18" s="8" t="str">
        <f t="shared" si="17"/>
        <v>Tidak Lulus</v>
      </c>
      <c r="AE18" s="8" t="str">
        <f t="shared" si="18"/>
        <v>Tidak Lulus</v>
      </c>
    </row>
    <row r="19" spans="1:31" x14ac:dyDescent="0.3">
      <c r="A19" s="1">
        <v>17</v>
      </c>
      <c r="B19" s="7">
        <v>0</v>
      </c>
      <c r="C19" s="1">
        <v>0</v>
      </c>
      <c r="D19" s="1">
        <v>3.03</v>
      </c>
      <c r="E19" s="1">
        <v>2.71</v>
      </c>
      <c r="F19" s="1">
        <v>2.7</v>
      </c>
      <c r="G19" s="1">
        <v>2.61</v>
      </c>
      <c r="H19" s="1" t="s">
        <v>154</v>
      </c>
      <c r="J19" s="1">
        <v>13</v>
      </c>
      <c r="K19" s="8">
        <f t="shared" si="3"/>
        <v>0.66666666666666663</v>
      </c>
      <c r="L19" s="8">
        <v>0</v>
      </c>
      <c r="M19" s="8">
        <f t="shared" si="4"/>
        <v>0.86991869918699172</v>
      </c>
      <c r="N19" s="8">
        <f t="shared" si="2"/>
        <v>0.85844748858447484</v>
      </c>
      <c r="O19" s="8">
        <f t="shared" si="5"/>
        <v>0.99718309859154941</v>
      </c>
      <c r="P19" s="8">
        <f t="shared" si="6"/>
        <v>0.83333333333333337</v>
      </c>
      <c r="Q19" s="1" t="s">
        <v>153</v>
      </c>
      <c r="S19" s="8">
        <f t="shared" si="7"/>
        <v>1.5691070410554149</v>
      </c>
      <c r="T19" s="8">
        <f t="shared" si="8"/>
        <v>0.72704490254379739</v>
      </c>
      <c r="U19" s="8">
        <f t="shared" si="9"/>
        <v>1.3782119498836325</v>
      </c>
      <c r="V19" s="8">
        <f t="shared" si="10"/>
        <v>0.69389477004407152</v>
      </c>
      <c r="W19" s="8">
        <f t="shared" si="11"/>
        <v>1.460232282528531</v>
      </c>
      <c r="X19" s="8">
        <f t="shared" si="12"/>
        <v>1.7179577271950912</v>
      </c>
      <c r="Z19" s="8" t="str">
        <f t="shared" si="13"/>
        <v/>
      </c>
      <c r="AA19" s="8" t="str">
        <f t="shared" si="14"/>
        <v>Lulus</v>
      </c>
      <c r="AB19" s="8" t="str">
        <f t="shared" si="15"/>
        <v/>
      </c>
      <c r="AC19" s="8" t="str">
        <f t="shared" si="16"/>
        <v>Lulus</v>
      </c>
      <c r="AD19" s="8" t="str">
        <f t="shared" si="17"/>
        <v/>
      </c>
      <c r="AE19" s="8" t="str">
        <f t="shared" si="18"/>
        <v/>
      </c>
    </row>
    <row r="20" spans="1:31" x14ac:dyDescent="0.3">
      <c r="A20" s="2">
        <v>18</v>
      </c>
      <c r="B20" s="7">
        <v>2</v>
      </c>
      <c r="C20" s="2">
        <v>1</v>
      </c>
      <c r="D20" s="2">
        <v>1.1399999999999999</v>
      </c>
      <c r="E20" s="2">
        <v>1.49</v>
      </c>
      <c r="F20" s="2">
        <v>0.87</v>
      </c>
      <c r="G20" s="2">
        <v>1.47</v>
      </c>
      <c r="H20" s="2" t="s">
        <v>154</v>
      </c>
      <c r="J20" s="2">
        <v>14</v>
      </c>
      <c r="K20" s="8">
        <f t="shared" si="3"/>
        <v>0</v>
      </c>
      <c r="L20" s="8">
        <v>0</v>
      </c>
      <c r="M20" s="8">
        <f t="shared" si="4"/>
        <v>0.66260162601626027</v>
      </c>
      <c r="N20" s="8">
        <f t="shared" si="2"/>
        <v>0.71232876712328752</v>
      </c>
      <c r="O20" s="8">
        <f t="shared" si="5"/>
        <v>0.86760563380281697</v>
      </c>
      <c r="P20" s="8">
        <f t="shared" si="6"/>
        <v>0.76666666666666661</v>
      </c>
      <c r="Q20" s="2" t="s">
        <v>153</v>
      </c>
      <c r="S20" s="8">
        <f t="shared" si="7"/>
        <v>1.6047643520343398</v>
      </c>
      <c r="T20" s="8">
        <f t="shared" si="8"/>
        <v>0.87243068249847411</v>
      </c>
      <c r="U20" s="8">
        <f t="shared" si="9"/>
        <v>1.2325545102339048</v>
      </c>
      <c r="V20" s="8">
        <f t="shared" si="10"/>
        <v>0.46632282900924182</v>
      </c>
      <c r="W20" s="8">
        <f t="shared" si="11"/>
        <v>1.6105851027410676</v>
      </c>
      <c r="X20" s="8">
        <f t="shared" si="12"/>
        <v>1.4290753724438512</v>
      </c>
      <c r="Z20" s="8" t="str">
        <f t="shared" si="13"/>
        <v/>
      </c>
      <c r="AA20" s="8" t="str">
        <f t="shared" si="14"/>
        <v>Lulus</v>
      </c>
      <c r="AB20" s="8" t="str">
        <f t="shared" si="15"/>
        <v/>
      </c>
      <c r="AC20" s="8" t="str">
        <f>IF(V20&lt;=SMALL($V$7:$V$26,$AC$6),$Q20,"")</f>
        <v>Lulus</v>
      </c>
      <c r="AD20" s="8" t="str">
        <f t="shared" si="17"/>
        <v/>
      </c>
      <c r="AE20" s="8" t="str">
        <f t="shared" si="18"/>
        <v/>
      </c>
    </row>
    <row r="21" spans="1:31" x14ac:dyDescent="0.3">
      <c r="A21" s="1">
        <v>19</v>
      </c>
      <c r="B21" s="7">
        <v>2</v>
      </c>
      <c r="C21" s="3">
        <v>0</v>
      </c>
      <c r="D21" s="1">
        <v>3.04</v>
      </c>
      <c r="E21" s="1">
        <v>2.21</v>
      </c>
      <c r="F21" s="1">
        <v>2.12</v>
      </c>
      <c r="G21" s="1">
        <v>2.86</v>
      </c>
      <c r="H21" s="1" t="s">
        <v>153</v>
      </c>
      <c r="J21" s="1">
        <v>15</v>
      </c>
      <c r="K21" s="8">
        <f t="shared" si="3"/>
        <v>0.33333333333333331</v>
      </c>
      <c r="L21" s="8">
        <v>0</v>
      </c>
      <c r="M21" s="8">
        <f t="shared" si="4"/>
        <v>0.86991869918699172</v>
      </c>
      <c r="N21" s="8">
        <f t="shared" si="2"/>
        <v>0.29223744292237436</v>
      </c>
      <c r="O21" s="8">
        <f t="shared" si="5"/>
        <v>0.47323943661971829</v>
      </c>
      <c r="P21" s="8">
        <f t="shared" si="6"/>
        <v>0.67333333333333334</v>
      </c>
      <c r="Q21" s="1" t="s">
        <v>154</v>
      </c>
      <c r="S21" s="8">
        <f t="shared" si="7"/>
        <v>1.3316003330059136</v>
      </c>
      <c r="T21" s="8">
        <f t="shared" si="8"/>
        <v>0.39951592670928698</v>
      </c>
      <c r="U21" s="8">
        <f t="shared" si="9"/>
        <v>1.1951678456314827</v>
      </c>
      <c r="V21" s="8">
        <f t="shared" si="10"/>
        <v>0.96398455677455142</v>
      </c>
      <c r="W21" s="8">
        <f t="shared" si="11"/>
        <v>1.5677225979825304</v>
      </c>
      <c r="X21" s="8">
        <f t="shared" si="12"/>
        <v>1.2707422374697064</v>
      </c>
      <c r="Z21" s="8" t="str">
        <f t="shared" si="13"/>
        <v>Tidak Lulus</v>
      </c>
      <c r="AA21" s="8" t="str">
        <f t="shared" si="14"/>
        <v>Tidak Lulus</v>
      </c>
      <c r="AB21" s="8" t="str">
        <f t="shared" si="15"/>
        <v/>
      </c>
      <c r="AC21" s="8" t="str">
        <f t="shared" si="16"/>
        <v>Tidak Lulus</v>
      </c>
      <c r="AD21" s="8" t="str">
        <f t="shared" si="17"/>
        <v/>
      </c>
      <c r="AE21" s="8" t="str">
        <f t="shared" si="18"/>
        <v>Tidak Lulus</v>
      </c>
    </row>
    <row r="22" spans="1:31" x14ac:dyDescent="0.3">
      <c r="A22" s="2">
        <v>20</v>
      </c>
      <c r="B22" s="7">
        <v>0</v>
      </c>
      <c r="C22" s="2">
        <v>0</v>
      </c>
      <c r="D22" s="2">
        <v>3.13</v>
      </c>
      <c r="E22" s="2">
        <v>3.26</v>
      </c>
      <c r="F22" s="2">
        <v>3.36</v>
      </c>
      <c r="G22" s="2">
        <v>3.53</v>
      </c>
      <c r="H22" s="2" t="s">
        <v>153</v>
      </c>
      <c r="J22" s="2">
        <v>16</v>
      </c>
      <c r="K22" s="8">
        <f t="shared" si="3"/>
        <v>1</v>
      </c>
      <c r="L22" s="8">
        <v>1</v>
      </c>
      <c r="M22" s="8">
        <f t="shared" si="4"/>
        <v>0.86991869918699172</v>
      </c>
      <c r="N22" s="8">
        <f t="shared" si="2"/>
        <v>0.85844748858447484</v>
      </c>
      <c r="O22" s="8">
        <f t="shared" si="5"/>
        <v>0.99718309859154941</v>
      </c>
      <c r="P22" s="8">
        <f t="shared" si="6"/>
        <v>0.83333333333333337</v>
      </c>
      <c r="Q22" s="2" t="s">
        <v>153</v>
      </c>
      <c r="S22" s="8">
        <f t="shared" si="7"/>
        <v>1.2542758936537011</v>
      </c>
      <c r="T22" s="8">
        <f t="shared" si="8"/>
        <v>1.280509820901828</v>
      </c>
      <c r="U22" s="8">
        <f t="shared" si="9"/>
        <v>1.1103159514910059</v>
      </c>
      <c r="V22" s="8">
        <f t="shared" si="10"/>
        <v>1.4272510316864622</v>
      </c>
      <c r="W22" s="8">
        <f t="shared" si="11"/>
        <v>1.0105281825992642</v>
      </c>
      <c r="X22" s="8">
        <f t="shared" si="12"/>
        <v>1.5833301323428666</v>
      </c>
      <c r="Z22" s="8" t="str">
        <f t="shared" si="13"/>
        <v>Lulus</v>
      </c>
      <c r="AA22" s="8" t="str">
        <f t="shared" si="14"/>
        <v/>
      </c>
      <c r="AB22" s="8" t="str">
        <f t="shared" si="15"/>
        <v>Lulus</v>
      </c>
      <c r="AC22" s="8" t="str">
        <f t="shared" si="16"/>
        <v/>
      </c>
      <c r="AD22" s="8" t="str">
        <f t="shared" si="17"/>
        <v>Lulus</v>
      </c>
      <c r="AE22" s="8" t="str">
        <f t="shared" si="18"/>
        <v/>
      </c>
    </row>
    <row r="23" spans="1:31" x14ac:dyDescent="0.3">
      <c r="B23" s="9" t="s">
        <v>145</v>
      </c>
      <c r="E23" s="9" t="s">
        <v>1</v>
      </c>
      <c r="J23" s="1">
        <v>17</v>
      </c>
      <c r="K23" s="8">
        <f t="shared" si="3"/>
        <v>0</v>
      </c>
      <c r="L23" s="8">
        <v>0</v>
      </c>
      <c r="M23" s="8">
        <f t="shared" si="4"/>
        <v>0.76829268292682928</v>
      </c>
      <c r="N23" s="8">
        <f t="shared" si="2"/>
        <v>0.55707762557077611</v>
      </c>
      <c r="O23" s="8">
        <f t="shared" si="5"/>
        <v>0.76056338028169024</v>
      </c>
      <c r="P23" s="8">
        <f t="shared" si="6"/>
        <v>0.58666666666666656</v>
      </c>
      <c r="Q23" s="1" t="s">
        <v>154</v>
      </c>
      <c r="S23" s="8">
        <f t="shared" si="7"/>
        <v>1.4522344111725147</v>
      </c>
      <c r="T23" s="8">
        <f t="shared" si="8"/>
        <v>0.77100605873184835</v>
      </c>
      <c r="U23" s="8">
        <f t="shared" si="9"/>
        <v>1.198875689560237</v>
      </c>
      <c r="V23" s="8">
        <f t="shared" si="10"/>
        <v>0.60309917112355538</v>
      </c>
      <c r="W23" s="8">
        <f t="shared" si="11"/>
        <v>1.671639035000005</v>
      </c>
      <c r="X23" s="8">
        <f t="shared" si="12"/>
        <v>1.3070974722068711</v>
      </c>
      <c r="Z23" s="8" t="str">
        <f t="shared" si="13"/>
        <v/>
      </c>
      <c r="AA23" s="8" t="str">
        <f t="shared" si="14"/>
        <v>Tidak Lulus</v>
      </c>
      <c r="AB23" s="8" t="str">
        <f t="shared" si="15"/>
        <v/>
      </c>
      <c r="AC23" s="8" t="str">
        <f t="shared" si="16"/>
        <v>Tidak Lulus</v>
      </c>
      <c r="AD23" s="8" t="str">
        <f t="shared" si="17"/>
        <v/>
      </c>
      <c r="AE23" s="8" t="str">
        <f t="shared" si="18"/>
        <v>Tidak Lulus</v>
      </c>
    </row>
    <row r="24" spans="1:31" x14ac:dyDescent="0.3">
      <c r="B24" s="58" t="s">
        <v>176</v>
      </c>
      <c r="E24" t="s">
        <v>119</v>
      </c>
      <c r="J24" s="2">
        <v>18</v>
      </c>
      <c r="K24" s="8">
        <f t="shared" si="3"/>
        <v>0.66666666666666663</v>
      </c>
      <c r="L24" s="8">
        <v>1</v>
      </c>
      <c r="M24" s="8">
        <f t="shared" si="4"/>
        <v>0</v>
      </c>
      <c r="N24" s="8">
        <f t="shared" si="2"/>
        <v>0</v>
      </c>
      <c r="O24" s="8">
        <f t="shared" si="5"/>
        <v>0.24507042253521127</v>
      </c>
      <c r="P24" s="8">
        <f t="shared" si="6"/>
        <v>0.20666666666666667</v>
      </c>
      <c r="Q24" s="2" t="s">
        <v>154</v>
      </c>
      <c r="S24" s="8">
        <f t="shared" si="7"/>
        <v>1.045610943273102</v>
      </c>
      <c r="T24" s="8">
        <f t="shared" si="8"/>
        <v>1.4872486365403836</v>
      </c>
      <c r="U24" s="8">
        <f t="shared" si="9"/>
        <v>0.92680211048485783</v>
      </c>
      <c r="V24" s="8">
        <f t="shared" si="10"/>
        <v>2.0966619982719306</v>
      </c>
      <c r="W24" s="8">
        <f t="shared" si="11"/>
        <v>1.121890163493332</v>
      </c>
      <c r="X24" s="8">
        <f t="shared" si="12"/>
        <v>1.0573527371081324</v>
      </c>
      <c r="Z24" s="8" t="str">
        <f t="shared" si="13"/>
        <v>Tidak Lulus</v>
      </c>
      <c r="AA24" s="8" t="str">
        <f t="shared" si="14"/>
        <v/>
      </c>
      <c r="AB24" s="8" t="str">
        <f t="shared" si="15"/>
        <v>Tidak Lulus</v>
      </c>
      <c r="AC24" s="8" t="str">
        <f t="shared" si="16"/>
        <v/>
      </c>
      <c r="AD24" s="8" t="str">
        <f t="shared" si="17"/>
        <v>Tidak Lulus</v>
      </c>
      <c r="AE24" s="8" t="str">
        <f t="shared" si="18"/>
        <v>Tidak Lulus</v>
      </c>
    </row>
    <row r="25" spans="1:31" x14ac:dyDescent="0.3">
      <c r="B25" s="58" t="s">
        <v>177</v>
      </c>
      <c r="E25" t="s">
        <v>120</v>
      </c>
      <c r="J25" s="1">
        <v>19</v>
      </c>
      <c r="K25" s="8">
        <f t="shared" si="3"/>
        <v>0.66666666666666663</v>
      </c>
      <c r="L25" s="8">
        <v>0</v>
      </c>
      <c r="M25" s="8">
        <f t="shared" si="4"/>
        <v>0.77235772357723587</v>
      </c>
      <c r="N25" s="8">
        <f t="shared" si="2"/>
        <v>0.32876712328767116</v>
      </c>
      <c r="O25" s="8">
        <f t="shared" si="5"/>
        <v>0.59718309859154939</v>
      </c>
      <c r="P25" s="8">
        <f t="shared" si="6"/>
        <v>0.66999999999999993</v>
      </c>
      <c r="Q25" s="1" t="s">
        <v>153</v>
      </c>
      <c r="S25" s="8">
        <f t="shared" si="7"/>
        <v>1.2703016738355002</v>
      </c>
      <c r="T25" s="8">
        <f t="shared" si="8"/>
        <v>0.16194855168027772</v>
      </c>
      <c r="U25" s="8">
        <f t="shared" si="9"/>
        <v>1.1739210373202238</v>
      </c>
      <c r="V25" s="8">
        <f t="shared" si="10"/>
        <v>1.0643910597901822</v>
      </c>
      <c r="W25" s="8">
        <f t="shared" si="11"/>
        <v>1.3722461820235143</v>
      </c>
      <c r="X25" s="8">
        <f t="shared" si="12"/>
        <v>1.4211930667014308</v>
      </c>
      <c r="Z25" s="8" t="str">
        <f t="shared" si="13"/>
        <v>Lulus</v>
      </c>
      <c r="AA25" s="8" t="str">
        <f t="shared" si="14"/>
        <v>Lulus</v>
      </c>
      <c r="AB25" s="8" t="str">
        <f t="shared" si="15"/>
        <v/>
      </c>
      <c r="AC25" s="8" t="str">
        <f t="shared" si="16"/>
        <v>Lulus</v>
      </c>
      <c r="AD25" s="8" t="str">
        <f t="shared" si="17"/>
        <v/>
      </c>
      <c r="AE25" s="8" t="str">
        <f t="shared" si="18"/>
        <v/>
      </c>
    </row>
    <row r="26" spans="1:31" x14ac:dyDescent="0.3">
      <c r="B26" s="59" t="s">
        <v>121</v>
      </c>
      <c r="D26" s="9" t="s">
        <v>179</v>
      </c>
      <c r="J26" s="2">
        <v>20</v>
      </c>
      <c r="K26" s="8">
        <f t="shared" si="3"/>
        <v>0</v>
      </c>
      <c r="L26" s="8">
        <v>0</v>
      </c>
      <c r="M26" s="8">
        <f t="shared" si="4"/>
        <v>0.80894308943089432</v>
      </c>
      <c r="N26" s="8">
        <f t="shared" si="2"/>
        <v>0.80821917808219157</v>
      </c>
      <c r="O26" s="8">
        <f t="shared" si="5"/>
        <v>0.94647887323943658</v>
      </c>
      <c r="P26" s="8">
        <f t="shared" si="6"/>
        <v>0.8933333333333332</v>
      </c>
      <c r="Q26" s="2" t="s">
        <v>153</v>
      </c>
      <c r="S26" s="8">
        <f t="shared" si="7"/>
        <v>1.7065193638519203</v>
      </c>
      <c r="T26" s="8">
        <f t="shared" si="8"/>
        <v>0.94679551180298427</v>
      </c>
      <c r="U26" s="8">
        <f t="shared" si="9"/>
        <v>1.3399429960845035</v>
      </c>
      <c r="V26" s="8">
        <f t="shared" si="10"/>
        <v>0.28442073454436612</v>
      </c>
      <c r="W26" s="8">
        <f t="shared" si="11"/>
        <v>1.6869273286359217</v>
      </c>
      <c r="X26" s="8">
        <f t="shared" si="12"/>
        <v>1.5544107640424847</v>
      </c>
      <c r="Z26" s="8" t="str">
        <f t="shared" si="13"/>
        <v/>
      </c>
      <c r="AA26" s="8" t="str">
        <f t="shared" si="14"/>
        <v>Lulus</v>
      </c>
      <c r="AB26" s="8" t="str">
        <f t="shared" si="15"/>
        <v/>
      </c>
      <c r="AC26" s="8" t="str">
        <f t="shared" si="16"/>
        <v>Lulus</v>
      </c>
      <c r="AD26" s="8" t="str">
        <f t="shared" si="17"/>
        <v/>
      </c>
      <c r="AE26" s="8" t="str">
        <f t="shared" si="18"/>
        <v/>
      </c>
    </row>
    <row r="27" spans="1:31" x14ac:dyDescent="0.3">
      <c r="B27" s="59" t="s">
        <v>178</v>
      </c>
    </row>
    <row r="28" spans="1:31" x14ac:dyDescent="0.3">
      <c r="J28" s="9" t="s">
        <v>125</v>
      </c>
      <c r="Y28" s="18" t="s">
        <v>180</v>
      </c>
      <c r="Z28" s="16">
        <f>COUNTIF(Z7:Z26,"Lulus")</f>
        <v>5</v>
      </c>
      <c r="AA28" s="16">
        <f t="shared" ref="AA28:AE28" si="19">COUNTIF(AA7:AA26,"Lulus")</f>
        <v>6</v>
      </c>
      <c r="AB28" s="16">
        <f t="shared" si="19"/>
        <v>6</v>
      </c>
      <c r="AC28" s="16">
        <f t="shared" si="19"/>
        <v>8</v>
      </c>
      <c r="AD28" s="16">
        <f t="shared" si="19"/>
        <v>5</v>
      </c>
      <c r="AE28" s="16">
        <f t="shared" si="19"/>
        <v>4</v>
      </c>
    </row>
    <row r="29" spans="1:31" x14ac:dyDescent="0.3">
      <c r="B29" s="165" t="s">
        <v>117</v>
      </c>
      <c r="C29" s="165"/>
      <c r="D29" s="165"/>
      <c r="E29" s="165"/>
      <c r="F29" s="165"/>
      <c r="G29" s="165"/>
      <c r="H29" s="165"/>
      <c r="Y29" s="18" t="s">
        <v>181</v>
      </c>
      <c r="Z29" s="16">
        <f>COUNTIF(Z7:Z26,"Tidak Lulus")</f>
        <v>5</v>
      </c>
      <c r="AA29" s="16">
        <f t="shared" ref="AA29:AE29" si="20">COUNTIF(AA7:AA26,"Tidak Lulus")</f>
        <v>4</v>
      </c>
      <c r="AB29" s="16">
        <f t="shared" si="20"/>
        <v>4</v>
      </c>
      <c r="AC29" s="16">
        <f t="shared" si="20"/>
        <v>2</v>
      </c>
      <c r="AD29" s="16">
        <f t="shared" si="20"/>
        <v>5</v>
      </c>
      <c r="AE29" s="16">
        <f t="shared" si="20"/>
        <v>6</v>
      </c>
    </row>
    <row r="30" spans="1:31" x14ac:dyDescent="0.3">
      <c r="A30" s="67" t="s">
        <v>0</v>
      </c>
      <c r="B30" s="67" t="s">
        <v>148</v>
      </c>
      <c r="C30" s="67" t="s">
        <v>1</v>
      </c>
      <c r="D30" s="68" t="s">
        <v>157</v>
      </c>
      <c r="E30" s="68" t="s">
        <v>158</v>
      </c>
      <c r="F30" s="68" t="s">
        <v>159</v>
      </c>
      <c r="G30" s="68" t="s">
        <v>160</v>
      </c>
      <c r="H30" s="68" t="s">
        <v>146</v>
      </c>
      <c r="J30" s="67" t="s">
        <v>0</v>
      </c>
      <c r="K30" s="67" t="s">
        <v>148</v>
      </c>
      <c r="L30" s="67" t="s">
        <v>1</v>
      </c>
      <c r="M30" s="68" t="s">
        <v>157</v>
      </c>
      <c r="N30" s="68" t="s">
        <v>158</v>
      </c>
      <c r="O30" s="68" t="s">
        <v>159</v>
      </c>
      <c r="P30" s="68" t="s">
        <v>160</v>
      </c>
      <c r="Q30" s="68" t="s">
        <v>146</v>
      </c>
      <c r="U30" s="166" t="s">
        <v>42</v>
      </c>
      <c r="V30" s="166"/>
      <c r="W30" s="166"/>
    </row>
    <row r="31" spans="1:31" x14ac:dyDescent="0.3">
      <c r="A31" s="2">
        <v>1</v>
      </c>
      <c r="B31" s="7">
        <v>2</v>
      </c>
      <c r="C31" s="2">
        <v>1</v>
      </c>
      <c r="D31" s="2">
        <v>3.05</v>
      </c>
      <c r="E31" s="2">
        <v>1.99</v>
      </c>
      <c r="F31" s="2">
        <v>2.46</v>
      </c>
      <c r="G31" s="2">
        <v>0.94</v>
      </c>
      <c r="H31" s="55" t="s">
        <v>154</v>
      </c>
      <c r="J31" s="2">
        <v>1</v>
      </c>
      <c r="K31" s="8">
        <f>($B31-$B$39)/($B$38-$B$39)</f>
        <v>0.66666666666666663</v>
      </c>
      <c r="L31" s="8">
        <v>1</v>
      </c>
      <c r="M31" s="8">
        <f>($D31-$D$39)/($D$38-$D$39)</f>
        <v>0.84615384615384603</v>
      </c>
      <c r="N31" s="8">
        <f>($E31-$E$39)/($E$38-$E$39)</f>
        <v>0</v>
      </c>
      <c r="O31" s="8">
        <f>($F31-$F$39)/($F$38-$F$39)</f>
        <v>0.82352941176470584</v>
      </c>
      <c r="P31" s="8">
        <f>($G31-$G$39)/($G$38-$G$39)</f>
        <v>0</v>
      </c>
      <c r="Q31" s="55" t="s">
        <v>154</v>
      </c>
      <c r="U31" s="8"/>
      <c r="V31" s="167" t="s">
        <v>43</v>
      </c>
      <c r="W31" s="167"/>
      <c r="Y31" s="9" t="s">
        <v>144</v>
      </c>
    </row>
    <row r="32" spans="1:31" x14ac:dyDescent="0.3">
      <c r="A32" s="1">
        <v>2</v>
      </c>
      <c r="B32" s="7">
        <v>2</v>
      </c>
      <c r="C32" s="3">
        <v>0</v>
      </c>
      <c r="D32" s="1">
        <v>3.04</v>
      </c>
      <c r="E32" s="1">
        <v>2.21</v>
      </c>
      <c r="F32" s="1">
        <v>2.12</v>
      </c>
      <c r="G32" s="1">
        <v>2.86</v>
      </c>
      <c r="H32" s="56" t="s">
        <v>153</v>
      </c>
      <c r="J32" s="1">
        <v>2</v>
      </c>
      <c r="K32" s="8">
        <f t="shared" ref="K32:K36" si="21">($B32-$B$39)/($B$38-$B$39)</f>
        <v>0.66666666666666663</v>
      </c>
      <c r="L32" s="8">
        <v>0</v>
      </c>
      <c r="M32" s="8">
        <f t="shared" ref="M32:M36" si="22">($D32-$D$39)/($D$38-$D$39)</f>
        <v>0.84102564102564104</v>
      </c>
      <c r="N32" s="8">
        <f t="shared" ref="N32:N36" si="23">($E32-$E$39)/($E$38-$E$39)</f>
        <v>0.21782178217821779</v>
      </c>
      <c r="O32" s="8">
        <f t="shared" ref="O32:O36" si="24">($F32-$F$39)/($F$38-$F$39)</f>
        <v>0.66968325791855199</v>
      </c>
      <c r="P32" s="8">
        <f t="shared" ref="P32:P36" si="25">($G32-$G$39)/($G$38-$G$39)</f>
        <v>0.73282442748091592</v>
      </c>
      <c r="Q32" s="56" t="s">
        <v>153</v>
      </c>
      <c r="U32" s="27" t="s">
        <v>44</v>
      </c>
      <c r="V32" s="28" t="s">
        <v>153</v>
      </c>
      <c r="W32" s="28" t="s">
        <v>154</v>
      </c>
    </row>
    <row r="33" spans="1:29" x14ac:dyDescent="0.3">
      <c r="A33" s="2">
        <v>3</v>
      </c>
      <c r="B33" s="6">
        <v>1</v>
      </c>
      <c r="C33" s="1">
        <v>1</v>
      </c>
      <c r="D33" s="1">
        <v>2.14</v>
      </c>
      <c r="E33" s="1">
        <v>2.15</v>
      </c>
      <c r="F33" s="1">
        <v>2.59</v>
      </c>
      <c r="G33" s="1">
        <v>2.57</v>
      </c>
      <c r="H33" s="56" t="s">
        <v>154</v>
      </c>
      <c r="J33" s="2">
        <v>3</v>
      </c>
      <c r="K33" s="8">
        <f t="shared" si="21"/>
        <v>0.33333333333333331</v>
      </c>
      <c r="L33" s="8">
        <v>1</v>
      </c>
      <c r="M33" s="8">
        <f t="shared" si="22"/>
        <v>0.37948717948717958</v>
      </c>
      <c r="N33" s="8">
        <f t="shared" si="23"/>
        <v>0.15841584158415833</v>
      </c>
      <c r="O33" s="8">
        <f t="shared" si="24"/>
        <v>0.88235294117647045</v>
      </c>
      <c r="P33" s="8">
        <f t="shared" si="25"/>
        <v>0.62213740458015265</v>
      </c>
      <c r="Q33" s="56" t="s">
        <v>154</v>
      </c>
      <c r="U33" s="28" t="s">
        <v>153</v>
      </c>
      <c r="V33" s="29">
        <f>COUNTIFS($Z$34:$Z$39,$U33,$AA$34:$AA$39,$V$32)</f>
        <v>2</v>
      </c>
      <c r="W33" s="29">
        <f>COUNTIFS($Z$34:$Z$39,$U33,$AA$34:$AA$39,$W$32)</f>
        <v>1</v>
      </c>
      <c r="Y33" s="22" t="s">
        <v>41</v>
      </c>
      <c r="Z33" s="22" t="s">
        <v>39</v>
      </c>
      <c r="AA33" s="22" t="s">
        <v>40</v>
      </c>
      <c r="AB33" s="22" t="s">
        <v>153</v>
      </c>
      <c r="AC33" s="22" t="s">
        <v>154</v>
      </c>
    </row>
    <row r="34" spans="1:29" x14ac:dyDescent="0.3">
      <c r="A34" s="1">
        <v>4</v>
      </c>
      <c r="B34" s="7">
        <v>0</v>
      </c>
      <c r="C34" s="2">
        <v>0</v>
      </c>
      <c r="D34" s="2">
        <v>3.35</v>
      </c>
      <c r="E34" s="2">
        <v>3</v>
      </c>
      <c r="F34" s="2">
        <v>2.85</v>
      </c>
      <c r="G34" s="2">
        <v>3.1</v>
      </c>
      <c r="H34" s="55" t="s">
        <v>153</v>
      </c>
      <c r="J34" s="1">
        <v>4</v>
      </c>
      <c r="K34" s="8">
        <f t="shared" si="21"/>
        <v>0</v>
      </c>
      <c r="L34" s="8">
        <v>0</v>
      </c>
      <c r="M34" s="8">
        <f t="shared" si="22"/>
        <v>1</v>
      </c>
      <c r="N34" s="8">
        <f t="shared" si="23"/>
        <v>1</v>
      </c>
      <c r="O34" s="8">
        <f t="shared" si="24"/>
        <v>1</v>
      </c>
      <c r="P34" s="8">
        <f t="shared" si="25"/>
        <v>0.82442748091603058</v>
      </c>
      <c r="Q34" s="55" t="s">
        <v>153</v>
      </c>
      <c r="U34" s="28" t="s">
        <v>154</v>
      </c>
      <c r="V34" s="29">
        <f>COUNTIFS($Z$34:$Z$39,$U34,$AA$34:$AA$39,$V$32)</f>
        <v>1</v>
      </c>
      <c r="W34" s="29">
        <f>COUNTIFS($Z$34:$Z$39,$U34,$AA$34:$AA$39,$W$32)</f>
        <v>2</v>
      </c>
      <c r="Y34" s="32">
        <v>1</v>
      </c>
      <c r="Z34" s="64" t="s">
        <v>154</v>
      </c>
      <c r="AA34" s="52" t="str">
        <f>IF(AB34&gt;AC34,"Lulus","Tidak Lulus")</f>
        <v>Tidak Lulus</v>
      </c>
      <c r="AB34" s="17">
        <f>Z28</f>
        <v>5</v>
      </c>
      <c r="AC34" s="17">
        <f>Z29</f>
        <v>5</v>
      </c>
    </row>
    <row r="35" spans="1:29" x14ac:dyDescent="0.3">
      <c r="A35" s="2">
        <v>5</v>
      </c>
      <c r="B35" s="7">
        <v>3</v>
      </c>
      <c r="C35" s="1">
        <v>1</v>
      </c>
      <c r="D35" s="1">
        <v>1.4</v>
      </c>
      <c r="E35" s="1">
        <v>2.39</v>
      </c>
      <c r="F35" s="1">
        <v>2.5099999999999998</v>
      </c>
      <c r="G35" s="1">
        <v>3.56</v>
      </c>
      <c r="H35" s="56" t="s">
        <v>154</v>
      </c>
      <c r="J35" s="2">
        <v>5</v>
      </c>
      <c r="K35" s="8">
        <f t="shared" si="21"/>
        <v>1</v>
      </c>
      <c r="L35" s="8">
        <v>1</v>
      </c>
      <c r="M35" s="8">
        <f t="shared" si="22"/>
        <v>0</v>
      </c>
      <c r="N35" s="8">
        <f t="shared" si="23"/>
        <v>0.39603960396039617</v>
      </c>
      <c r="O35" s="8">
        <f t="shared" si="24"/>
        <v>0.84615384615384603</v>
      </c>
      <c r="P35" s="8">
        <f t="shared" si="25"/>
        <v>1</v>
      </c>
      <c r="Q35" s="56" t="s">
        <v>154</v>
      </c>
      <c r="Y35" s="32">
        <v>2</v>
      </c>
      <c r="Z35" s="1" t="s">
        <v>153</v>
      </c>
      <c r="AA35" s="52" t="str">
        <f t="shared" ref="AA35:AA39" si="26">IF(AB35&gt;AC35,"Lulus","Tidak Lulus")</f>
        <v>Lulus</v>
      </c>
      <c r="AB35" s="17">
        <f>AA28</f>
        <v>6</v>
      </c>
      <c r="AC35" s="17">
        <f>AA29</f>
        <v>4</v>
      </c>
    </row>
    <row r="36" spans="1:29" x14ac:dyDescent="0.3">
      <c r="A36" s="1">
        <v>6</v>
      </c>
      <c r="B36" s="7">
        <v>0</v>
      </c>
      <c r="C36" s="2">
        <v>1</v>
      </c>
      <c r="D36" s="2">
        <v>2.56</v>
      </c>
      <c r="E36" s="2">
        <v>2.5</v>
      </c>
      <c r="F36" s="2">
        <v>0.64</v>
      </c>
      <c r="G36" s="2">
        <v>1.66</v>
      </c>
      <c r="H36" s="55" t="s">
        <v>153</v>
      </c>
      <c r="J36" s="1">
        <v>6</v>
      </c>
      <c r="K36" s="8">
        <f t="shared" si="21"/>
        <v>0</v>
      </c>
      <c r="L36" s="8">
        <v>1</v>
      </c>
      <c r="M36" s="8">
        <f t="shared" si="22"/>
        <v>0.59487179487179487</v>
      </c>
      <c r="N36" s="8">
        <f t="shared" si="23"/>
        <v>0.50495049504950495</v>
      </c>
      <c r="O36" s="8">
        <f t="shared" si="24"/>
        <v>0</v>
      </c>
      <c r="P36" s="8">
        <f t="shared" si="25"/>
        <v>0.27480916030534347</v>
      </c>
      <c r="Q36" s="55" t="s">
        <v>153</v>
      </c>
      <c r="U36" s="166" t="s">
        <v>55</v>
      </c>
      <c r="V36" s="166"/>
      <c r="W36" s="166"/>
      <c r="Y36" s="32">
        <v>3</v>
      </c>
      <c r="Z36" s="1" t="s">
        <v>154</v>
      </c>
      <c r="AA36" s="52" t="str">
        <f t="shared" si="26"/>
        <v>Lulus</v>
      </c>
      <c r="AB36" s="17">
        <f>AB28</f>
        <v>6</v>
      </c>
      <c r="AC36" s="17">
        <f>AB29</f>
        <v>4</v>
      </c>
    </row>
    <row r="37" spans="1:29" x14ac:dyDescent="0.3">
      <c r="U37" s="33" t="s">
        <v>54</v>
      </c>
      <c r="V37" s="33" t="s">
        <v>46</v>
      </c>
      <c r="W37" s="33" t="s">
        <v>53</v>
      </c>
      <c r="Y37" s="32">
        <v>4</v>
      </c>
      <c r="Z37" s="64" t="s">
        <v>153</v>
      </c>
      <c r="AA37" s="52" t="str">
        <f t="shared" si="26"/>
        <v>Lulus</v>
      </c>
      <c r="AB37" s="17">
        <f>AC28</f>
        <v>8</v>
      </c>
      <c r="AC37" s="17">
        <f>AC29</f>
        <v>2</v>
      </c>
    </row>
    <row r="38" spans="1:29" x14ac:dyDescent="0.3">
      <c r="A38" s="53" t="s">
        <v>126</v>
      </c>
      <c r="B38" s="60">
        <f>MAX(B31:B36)</f>
        <v>3</v>
      </c>
      <c r="C38" s="60"/>
      <c r="D38" s="60">
        <f t="shared" ref="D38:G38" si="27">MAX(D31:D36)</f>
        <v>3.35</v>
      </c>
      <c r="E38" s="60">
        <f t="shared" si="27"/>
        <v>3</v>
      </c>
      <c r="F38" s="60">
        <f t="shared" si="27"/>
        <v>2.85</v>
      </c>
      <c r="G38" s="60">
        <f t="shared" si="27"/>
        <v>3.56</v>
      </c>
      <c r="U38" s="16" t="s">
        <v>45</v>
      </c>
      <c r="V38" s="8" t="s">
        <v>56</v>
      </c>
      <c r="W38" s="8">
        <f>(V33+W34)/SUM(V33:W34)</f>
        <v>0.66666666666666663</v>
      </c>
      <c r="Y38" s="32">
        <v>5</v>
      </c>
      <c r="Z38" s="1" t="s">
        <v>154</v>
      </c>
      <c r="AA38" s="52" t="str">
        <f t="shared" si="26"/>
        <v>Tidak Lulus</v>
      </c>
      <c r="AB38" s="17">
        <f>AD28</f>
        <v>5</v>
      </c>
      <c r="AC38" s="17">
        <f>AD29</f>
        <v>5</v>
      </c>
    </row>
    <row r="39" spans="1:29" x14ac:dyDescent="0.3">
      <c r="A39" s="53" t="s">
        <v>127</v>
      </c>
      <c r="B39" s="60">
        <f>MIN(B31:B36)</f>
        <v>0</v>
      </c>
      <c r="C39" s="60"/>
      <c r="D39" s="60">
        <f t="shared" ref="D39:G39" si="28">MIN(D31:D36)</f>
        <v>1.4</v>
      </c>
      <c r="E39" s="60">
        <f t="shared" si="28"/>
        <v>1.99</v>
      </c>
      <c r="F39" s="60">
        <f t="shared" si="28"/>
        <v>0.64</v>
      </c>
      <c r="G39" s="60">
        <f t="shared" si="28"/>
        <v>0.94</v>
      </c>
      <c r="U39" s="16" t="s">
        <v>47</v>
      </c>
      <c r="V39" s="8" t="s">
        <v>49</v>
      </c>
      <c r="W39" s="8">
        <f>V33/(V33+W33)</f>
        <v>0.66666666666666663</v>
      </c>
      <c r="Y39" s="32">
        <v>6</v>
      </c>
      <c r="Z39" s="64" t="s">
        <v>153</v>
      </c>
      <c r="AA39" s="52" t="str">
        <f t="shared" si="26"/>
        <v>Tidak Lulus</v>
      </c>
      <c r="AB39" s="17">
        <f>AE28</f>
        <v>4</v>
      </c>
      <c r="AC39" s="17">
        <f>AE29</f>
        <v>6</v>
      </c>
    </row>
    <row r="40" spans="1:29" x14ac:dyDescent="0.3">
      <c r="U40" s="16" t="s">
        <v>48</v>
      </c>
      <c r="V40" s="8" t="s">
        <v>251</v>
      </c>
      <c r="W40" s="8">
        <f>V33/(V33+V34)</f>
        <v>0.66666666666666663</v>
      </c>
    </row>
    <row r="42" spans="1:29" x14ac:dyDescent="0.3">
      <c r="U42" t="s">
        <v>161</v>
      </c>
    </row>
    <row r="43" spans="1:29" x14ac:dyDescent="0.3">
      <c r="U43" t="s">
        <v>162</v>
      </c>
    </row>
    <row r="44" spans="1:29" x14ac:dyDescent="0.3">
      <c r="U44" t="s">
        <v>163</v>
      </c>
    </row>
    <row r="45" spans="1:29" x14ac:dyDescent="0.3">
      <c r="U45" t="s">
        <v>164</v>
      </c>
    </row>
  </sheetData>
  <mergeCells count="6">
    <mergeCell ref="Z4:AE4"/>
    <mergeCell ref="U30:W30"/>
    <mergeCell ref="V31:W31"/>
    <mergeCell ref="U36:W36"/>
    <mergeCell ref="B29:H29"/>
    <mergeCell ref="S5:X5"/>
  </mergeCells>
  <phoneticPr fontId="17" type="noConversion"/>
  <conditionalFormatting sqref="Z7:AE26">
    <cfRule type="notContainsBlanks" dxfId="2" priority="2">
      <formula>LEN(TRIM(Z7))&gt;0</formula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08B5-0857-4146-92F5-4F4B0D30BAD9}">
  <dimension ref="A1:U34"/>
  <sheetViews>
    <sheetView workbookViewId="0">
      <selection activeCell="Q33" sqref="Q33"/>
    </sheetView>
  </sheetViews>
  <sheetFormatPr defaultRowHeight="14.4" x14ac:dyDescent="0.3"/>
  <cols>
    <col min="1" max="1" width="11.33203125" customWidth="1"/>
    <col min="2" max="2" width="12.44140625" customWidth="1"/>
    <col min="3" max="3" width="11.5546875" customWidth="1"/>
    <col min="4" max="4" width="12" customWidth="1"/>
    <col min="5" max="5" width="13.5546875" customWidth="1"/>
    <col min="7" max="7" width="12.109375" customWidth="1"/>
    <col min="8" max="8" width="11.109375" customWidth="1"/>
    <col min="9" max="10" width="12.5546875" customWidth="1"/>
    <col min="11" max="11" width="16.44140625" customWidth="1"/>
    <col min="12" max="12" width="10.6640625" customWidth="1"/>
    <col min="13" max="13" width="17.33203125" customWidth="1"/>
    <col min="14" max="14" width="11.44140625" customWidth="1"/>
    <col min="15" max="15" width="14.5546875" customWidth="1"/>
    <col min="16" max="16" width="10.5546875" customWidth="1"/>
    <col min="17" max="17" width="13.44140625" customWidth="1"/>
    <col min="18" max="18" width="11.88671875" customWidth="1"/>
    <col min="19" max="19" width="15.33203125" customWidth="1"/>
  </cols>
  <sheetData>
    <row r="1" spans="1:21" x14ac:dyDescent="0.3">
      <c r="A1" s="189" t="s">
        <v>243</v>
      </c>
      <c r="B1" s="189"/>
      <c r="C1" s="189"/>
      <c r="D1" s="189"/>
      <c r="E1" s="189"/>
      <c r="G1" s="189" t="s">
        <v>249</v>
      </c>
      <c r="H1" s="189"/>
      <c r="I1" s="189"/>
      <c r="J1" s="131"/>
      <c r="K1" s="191" t="s">
        <v>135</v>
      </c>
      <c r="L1" s="192"/>
      <c r="M1" s="192"/>
      <c r="N1" s="192"/>
      <c r="O1" s="193"/>
      <c r="P1" s="135"/>
      <c r="Q1" s="187" t="s">
        <v>266</v>
      </c>
      <c r="R1" s="188"/>
      <c r="S1" s="188"/>
      <c r="T1" s="188"/>
      <c r="U1" s="188"/>
    </row>
    <row r="2" spans="1:21" x14ac:dyDescent="0.3">
      <c r="A2" s="119" t="s">
        <v>244</v>
      </c>
      <c r="B2" s="119" t="s">
        <v>245</v>
      </c>
      <c r="C2" s="119" t="s">
        <v>246</v>
      </c>
      <c r="D2" s="119" t="s">
        <v>247</v>
      </c>
      <c r="E2" s="120" t="s">
        <v>248</v>
      </c>
      <c r="G2" s="119" t="s">
        <v>245</v>
      </c>
      <c r="H2" s="119" t="s">
        <v>246</v>
      </c>
      <c r="I2" s="119" t="s">
        <v>247</v>
      </c>
      <c r="J2" s="131"/>
      <c r="K2" s="119" t="s">
        <v>129</v>
      </c>
      <c r="L2" s="119" t="s">
        <v>130</v>
      </c>
      <c r="M2" s="119" t="s">
        <v>131</v>
      </c>
      <c r="N2" s="119" t="s">
        <v>132</v>
      </c>
      <c r="O2" s="132" t="s">
        <v>133</v>
      </c>
      <c r="P2" s="137"/>
      <c r="Q2" s="134">
        <v>5</v>
      </c>
      <c r="R2" s="18">
        <v>5</v>
      </c>
      <c r="S2" s="18">
        <v>5</v>
      </c>
      <c r="T2" s="18">
        <v>5</v>
      </c>
      <c r="U2" s="18">
        <v>5</v>
      </c>
    </row>
    <row r="3" spans="1:21" x14ac:dyDescent="0.3">
      <c r="A3" s="121">
        <v>44085</v>
      </c>
      <c r="B3" s="122">
        <v>1953.8</v>
      </c>
      <c r="C3" s="122">
        <v>1963.4</v>
      </c>
      <c r="D3" s="122">
        <v>1944</v>
      </c>
      <c r="E3" s="123">
        <v>1947.9</v>
      </c>
      <c r="G3" s="8">
        <f>($B3-MIN($B$3:$B$17))/(MAX($B$3:$B$17)-MIN($B$3:$B$17))</f>
        <v>0.86295928500496544</v>
      </c>
      <c r="H3" s="8">
        <f>($C3-MIN($C$3:$C$17))/(MAX($C$3:$C$17)-MIN($C$3:$C$17))</f>
        <v>0.8047846889952166</v>
      </c>
      <c r="I3" s="8">
        <f>($D3-MIN($D$3:$D$17))/(MAX($D$3:$D$17)-MIN($D$3:$D$17))</f>
        <v>0.87570621468926513</v>
      </c>
      <c r="K3" s="130">
        <f>SQRT((G3-$G$21)^2+(H3-$H$21)^2+(I3-$I$21)^2)</f>
        <v>1.2845651648498615</v>
      </c>
      <c r="L3" s="130">
        <f>SQRT((G3-$G$22)^2+(H3-$H$22)^2+(I3-$I$22)^2)</f>
        <v>1.2845651648498615</v>
      </c>
      <c r="M3" s="8">
        <f t="shared" ref="M3:M17" si="0">SQRT((G3-$G$23)^2+(H3-$H$23)^2+(I3-$I$23)^2)</f>
        <v>1.3260453938088901</v>
      </c>
      <c r="N3" s="8">
        <f>SQRT((G3-$G$24)^2+(H3-$H$24)^2+(I3-$I$24)^2)</f>
        <v>0.28908002742232086</v>
      </c>
      <c r="O3" s="133">
        <f>SQRT((G3-$G$25)^2+(H3-$H$25)^2+(I3-$I$25)^2)</f>
        <v>0.26895746928448677</v>
      </c>
      <c r="P3" s="136"/>
      <c r="Q3" s="66" t="str">
        <f>IF(K3&lt;=SMALL($K$3:$K$17,$Q$2),$E3,"")</f>
        <v/>
      </c>
      <c r="R3" s="66" t="str">
        <f>IF(L3&lt;=SMALL($L$3:$L$17,$R$2),$E3,"")</f>
        <v/>
      </c>
      <c r="S3" s="66" t="str">
        <f t="shared" ref="S3:S17" si="1">IF(M3&lt;=SMALL($M$3:$M$17,$S$2),$E3,"")</f>
        <v/>
      </c>
      <c r="T3" s="66">
        <f t="shared" ref="T3:T17" si="2">IF(N3&lt;=SMALL($N$3:$N$17,$T$2),$E3,"")</f>
        <v>1947.9</v>
      </c>
      <c r="U3" s="66" t="str">
        <f t="shared" ref="U3:U17" si="3">IF(O3&lt;=SMALL($O$3:$O$17,$U$2),$E3,"")</f>
        <v/>
      </c>
    </row>
    <row r="4" spans="1:21" x14ac:dyDescent="0.3">
      <c r="A4" s="121">
        <v>44086</v>
      </c>
      <c r="B4" s="122">
        <v>1953.8</v>
      </c>
      <c r="C4" s="122">
        <v>1963.4</v>
      </c>
      <c r="D4" s="122">
        <v>1944</v>
      </c>
      <c r="E4" s="123">
        <v>1947.9</v>
      </c>
      <c r="G4" s="8">
        <f t="shared" ref="G4:G17" si="4">($B4-MIN($B$3:$B$17))/(MAX($B$3:$B$17)-MIN($B$3:$B$17))</f>
        <v>0.86295928500496544</v>
      </c>
      <c r="H4" s="8">
        <f t="shared" ref="H4:H17" si="5">($C4-MIN($C$3:$C$17))/(MAX($C$3:$C$17)-MIN($C$3:$C$17))</f>
        <v>0.8047846889952166</v>
      </c>
      <c r="I4" s="8">
        <f t="shared" ref="I4:I16" si="6">($D4-MIN($D$3:$D$17))/(MAX($D$3:$D$17)-MIN($D$3:$D$17))</f>
        <v>0.87570621468926513</v>
      </c>
      <c r="K4" s="130">
        <f>SQRT((G4-$G$21)^2+(H4-$H$21)^2+(I4-$I$21)^2)</f>
        <v>1.2845651648498615</v>
      </c>
      <c r="L4" s="130">
        <f t="shared" ref="L4:L17" si="7">SQRT((G4-$G$22)^2+(H4-$H$22)^2+(I4-$I$22)^2)</f>
        <v>1.2845651648498615</v>
      </c>
      <c r="M4" s="8">
        <f t="shared" si="0"/>
        <v>1.3260453938088901</v>
      </c>
      <c r="N4" s="8">
        <f>SQRT((G4-$G$24)^2+(H4-$H$24)^2+(I4-$I$24)^2)</f>
        <v>0.28908002742232086</v>
      </c>
      <c r="O4" s="133">
        <f t="shared" ref="O4:O17" si="8">SQRT((G4-$G$25)^2+(H4-$H$25)^2+(I4-$I$25)^2)</f>
        <v>0.26895746928448677</v>
      </c>
      <c r="P4" s="136"/>
      <c r="Q4" s="66" t="str">
        <f t="shared" ref="Q4:Q17" si="9">IF(K4&lt;=SMALL($K$3:$K$17,$Q$2),$E4,"")</f>
        <v/>
      </c>
      <c r="R4" s="66" t="str">
        <f t="shared" ref="R4:R17" si="10">IF(L4&lt;=SMALL($L$3:$L$17,$R$2),$E4,"")</f>
        <v/>
      </c>
      <c r="S4" s="66" t="str">
        <f t="shared" si="1"/>
        <v/>
      </c>
      <c r="T4" s="66">
        <f t="shared" si="2"/>
        <v>1947.9</v>
      </c>
      <c r="U4" s="66" t="str">
        <f t="shared" si="3"/>
        <v/>
      </c>
    </row>
    <row r="5" spans="1:21" x14ac:dyDescent="0.3">
      <c r="A5" s="121">
        <v>44087</v>
      </c>
      <c r="B5" s="122">
        <v>1953.8</v>
      </c>
      <c r="C5" s="122">
        <v>1963.4</v>
      </c>
      <c r="D5" s="122">
        <v>1944</v>
      </c>
      <c r="E5" s="123">
        <v>1947.9</v>
      </c>
      <c r="G5" s="8">
        <f t="shared" si="4"/>
        <v>0.86295928500496544</v>
      </c>
      <c r="H5" s="8">
        <f t="shared" si="5"/>
        <v>0.8047846889952166</v>
      </c>
      <c r="I5" s="8">
        <f t="shared" si="6"/>
        <v>0.87570621468926513</v>
      </c>
      <c r="K5" s="130">
        <f>SQRT((G5-$G$21)^2+(H5-$H$21)^2+(I5-$I$21)^2)</f>
        <v>1.2845651648498615</v>
      </c>
      <c r="L5" s="130">
        <f t="shared" si="7"/>
        <v>1.2845651648498615</v>
      </c>
      <c r="M5" s="8">
        <f t="shared" si="0"/>
        <v>1.3260453938088901</v>
      </c>
      <c r="N5" s="8">
        <f t="shared" ref="N5:N17" si="11">SQRT((G5-$G$24)^2+(H5-$H$24)^2+(I5-$I$24)^2)</f>
        <v>0.28908002742232086</v>
      </c>
      <c r="O5" s="133">
        <f t="shared" si="8"/>
        <v>0.26895746928448677</v>
      </c>
      <c r="P5" s="136"/>
      <c r="Q5" s="66" t="str">
        <f t="shared" si="9"/>
        <v/>
      </c>
      <c r="R5" s="66" t="str">
        <f t="shared" si="10"/>
        <v/>
      </c>
      <c r="S5" s="66" t="str">
        <f t="shared" si="1"/>
        <v/>
      </c>
      <c r="T5" s="66">
        <f t="shared" si="2"/>
        <v>1947.9</v>
      </c>
      <c r="U5" s="66" t="str">
        <f t="shared" si="3"/>
        <v/>
      </c>
    </row>
    <row r="6" spans="1:21" x14ac:dyDescent="0.3">
      <c r="A6" s="121">
        <v>44088</v>
      </c>
      <c r="B6" s="122">
        <v>1948.9</v>
      </c>
      <c r="C6" s="122">
        <v>1972.5</v>
      </c>
      <c r="D6" s="122">
        <v>1945.2</v>
      </c>
      <c r="E6" s="123">
        <v>1963.7</v>
      </c>
      <c r="G6" s="8">
        <f t="shared" si="4"/>
        <v>0.81429990069513558</v>
      </c>
      <c r="H6" s="8">
        <f t="shared" si="5"/>
        <v>0.89186602870813436</v>
      </c>
      <c r="I6" s="8">
        <f t="shared" si="6"/>
        <v>0.88700564971751417</v>
      </c>
      <c r="K6" s="130">
        <f t="shared" ref="K6:K17" si="12">SQRT((G6-$G$21)^2+(H6-$H$21)^2+(I6-$I$21)^2)</f>
        <v>1.3259838090769756</v>
      </c>
      <c r="L6" s="130">
        <f t="shared" si="7"/>
        <v>1.3259838090769756</v>
      </c>
      <c r="M6" s="8">
        <f t="shared" si="0"/>
        <v>1.3382120083345062</v>
      </c>
      <c r="N6" s="8">
        <f t="shared" si="11"/>
        <v>0.2314111689992869</v>
      </c>
      <c r="O6" s="133">
        <f t="shared" si="8"/>
        <v>0.24278633780537906</v>
      </c>
      <c r="P6" s="136"/>
      <c r="Q6" s="66" t="str">
        <f t="shared" si="9"/>
        <v/>
      </c>
      <c r="R6" s="66" t="str">
        <f t="shared" si="10"/>
        <v/>
      </c>
      <c r="S6" s="66" t="str">
        <f t="shared" si="1"/>
        <v/>
      </c>
      <c r="T6" s="66">
        <f t="shared" si="2"/>
        <v>1963.7</v>
      </c>
      <c r="U6" s="66" t="str">
        <f t="shared" si="3"/>
        <v/>
      </c>
    </row>
    <row r="7" spans="1:21" x14ac:dyDescent="0.3">
      <c r="A7" s="121">
        <v>44089</v>
      </c>
      <c r="B7" s="122">
        <v>1966.2</v>
      </c>
      <c r="C7" s="122">
        <v>1982.4</v>
      </c>
      <c r="D7" s="122">
        <v>1955.6</v>
      </c>
      <c r="E7" s="123">
        <v>1966.2</v>
      </c>
      <c r="G7" s="8">
        <f t="shared" si="4"/>
        <v>0.98609731876862095</v>
      </c>
      <c r="H7" s="8">
        <f t="shared" si="5"/>
        <v>0.98660287081339848</v>
      </c>
      <c r="I7" s="8">
        <f t="shared" si="6"/>
        <v>0.98493408662900062</v>
      </c>
      <c r="K7" s="130">
        <f t="shared" si="12"/>
        <v>1.5254644858430078</v>
      </c>
      <c r="L7" s="130">
        <f t="shared" si="7"/>
        <v>1.5254644858430078</v>
      </c>
      <c r="M7" s="8">
        <f t="shared" si="0"/>
        <v>1.5501745997307315</v>
      </c>
      <c r="N7" s="8">
        <f t="shared" si="11"/>
        <v>0.43387368465165138</v>
      </c>
      <c r="O7" s="133">
        <f t="shared" si="8"/>
        <v>2.4489780757824021E-2</v>
      </c>
      <c r="P7" s="136"/>
      <c r="Q7" s="66" t="str">
        <f t="shared" si="9"/>
        <v/>
      </c>
      <c r="R7" s="66" t="str">
        <f t="shared" si="10"/>
        <v/>
      </c>
      <c r="S7" s="66" t="str">
        <f t="shared" si="1"/>
        <v/>
      </c>
      <c r="T7" s="66" t="str">
        <f t="shared" si="2"/>
        <v/>
      </c>
      <c r="U7" s="66">
        <f t="shared" si="3"/>
        <v>1966.2</v>
      </c>
    </row>
    <row r="8" spans="1:21" x14ac:dyDescent="0.3">
      <c r="A8" s="121">
        <v>44090</v>
      </c>
      <c r="B8" s="122">
        <v>1961.4</v>
      </c>
      <c r="C8" s="124">
        <v>1983.8</v>
      </c>
      <c r="D8" s="124">
        <v>1957.2</v>
      </c>
      <c r="E8" s="123">
        <v>1970.5</v>
      </c>
      <c r="G8" s="8">
        <f t="shared" si="4"/>
        <v>0.93843098311817452</v>
      </c>
      <c r="H8" s="8">
        <f t="shared" si="5"/>
        <v>1</v>
      </c>
      <c r="I8" s="8">
        <f t="shared" si="6"/>
        <v>1</v>
      </c>
      <c r="K8" s="130">
        <f t="shared" si="12"/>
        <v>1.5207761768186612</v>
      </c>
      <c r="L8" s="130">
        <f t="shared" si="7"/>
        <v>1.5207761768186612</v>
      </c>
      <c r="M8" s="8">
        <f t="shared" si="0"/>
        <v>1.536090550367486</v>
      </c>
      <c r="N8" s="8">
        <f t="shared" si="11"/>
        <v>0.3992317519803486</v>
      </c>
      <c r="O8" s="133">
        <f t="shared" si="8"/>
        <v>6.1569016881825478E-2</v>
      </c>
      <c r="P8" s="136"/>
      <c r="Q8" s="66" t="str">
        <f t="shared" si="9"/>
        <v/>
      </c>
      <c r="R8" s="66" t="str">
        <f t="shared" si="10"/>
        <v/>
      </c>
      <c r="S8" s="66" t="str">
        <f t="shared" si="1"/>
        <v/>
      </c>
      <c r="T8" s="66" t="str">
        <f t="shared" si="2"/>
        <v/>
      </c>
      <c r="U8" s="66">
        <f t="shared" si="3"/>
        <v>1970.5</v>
      </c>
    </row>
    <row r="9" spans="1:21" x14ac:dyDescent="0.3">
      <c r="A9" s="121">
        <v>44091</v>
      </c>
      <c r="B9" s="125">
        <v>1967.6</v>
      </c>
      <c r="C9" s="122">
        <v>1969.3</v>
      </c>
      <c r="D9" s="122">
        <v>1938.2</v>
      </c>
      <c r="E9" s="123">
        <v>1949.9</v>
      </c>
      <c r="G9" s="8">
        <f t="shared" si="4"/>
        <v>1</v>
      </c>
      <c r="H9" s="8">
        <f t="shared" si="5"/>
        <v>0.86124401913875603</v>
      </c>
      <c r="I9" s="8">
        <f t="shared" si="6"/>
        <v>0.82109227871939749</v>
      </c>
      <c r="K9" s="130">
        <f t="shared" si="12"/>
        <v>1.3596219549815234</v>
      </c>
      <c r="L9" s="130">
        <f t="shared" si="7"/>
        <v>1.3596219549815234</v>
      </c>
      <c r="M9" s="8">
        <f t="shared" si="0"/>
        <v>1.4072375139789051</v>
      </c>
      <c r="N9" s="8">
        <f t="shared" si="11"/>
        <v>0.41680815296379259</v>
      </c>
      <c r="O9" s="133">
        <f t="shared" si="8"/>
        <v>0.22640935263054759</v>
      </c>
      <c r="P9" s="136"/>
      <c r="Q9" s="66" t="str">
        <f t="shared" si="9"/>
        <v/>
      </c>
      <c r="R9" s="66" t="str">
        <f t="shared" si="10"/>
        <v/>
      </c>
      <c r="S9" s="66" t="str">
        <f t="shared" si="1"/>
        <v/>
      </c>
      <c r="T9" s="66" t="str">
        <f t="shared" si="2"/>
        <v/>
      </c>
      <c r="U9" s="66">
        <f t="shared" si="3"/>
        <v>1949.9</v>
      </c>
    </row>
    <row r="10" spans="1:21" x14ac:dyDescent="0.3">
      <c r="A10" s="121">
        <v>44092</v>
      </c>
      <c r="B10" s="122">
        <v>1951.1</v>
      </c>
      <c r="C10" s="122">
        <v>1968.2</v>
      </c>
      <c r="D10" s="122">
        <v>1951.1</v>
      </c>
      <c r="E10" s="123">
        <v>1962.1</v>
      </c>
      <c r="G10" s="8">
        <f t="shared" si="4"/>
        <v>0.83614697120158854</v>
      </c>
      <c r="H10" s="8">
        <f t="shared" si="5"/>
        <v>0.85071770334928321</v>
      </c>
      <c r="I10" s="8">
        <f t="shared" si="6"/>
        <v>0.94256120527306841</v>
      </c>
      <c r="K10" s="130">
        <f t="shared" si="12"/>
        <v>1.3430688243969742</v>
      </c>
      <c r="L10" s="130">
        <f t="shared" si="7"/>
        <v>1.3430688243969742</v>
      </c>
      <c r="M10" s="8">
        <f t="shared" si="0"/>
        <v>1.3719150703926719</v>
      </c>
      <c r="N10" s="8">
        <f t="shared" si="11"/>
        <v>0.26737879918697638</v>
      </c>
      <c r="O10" s="133">
        <f t="shared" si="8"/>
        <v>0.22898086007220833</v>
      </c>
      <c r="P10" s="136"/>
      <c r="Q10" s="66" t="str">
        <f t="shared" si="9"/>
        <v/>
      </c>
      <c r="R10" s="66" t="str">
        <f t="shared" si="10"/>
        <v/>
      </c>
      <c r="S10" s="66" t="str">
        <f t="shared" si="1"/>
        <v/>
      </c>
      <c r="T10" s="66">
        <f t="shared" si="2"/>
        <v>1962.1</v>
      </c>
      <c r="U10" s="66">
        <f t="shared" si="3"/>
        <v>1962.1</v>
      </c>
    </row>
    <row r="11" spans="1:21" x14ac:dyDescent="0.3">
      <c r="A11" s="121">
        <v>44093</v>
      </c>
      <c r="B11" s="122">
        <v>1951.1</v>
      </c>
      <c r="C11" s="122">
        <v>1968.2</v>
      </c>
      <c r="D11" s="122">
        <v>1951.1</v>
      </c>
      <c r="E11" s="123">
        <v>1962.1</v>
      </c>
      <c r="G11" s="8">
        <f t="shared" si="4"/>
        <v>0.83614697120158854</v>
      </c>
      <c r="H11" s="8">
        <f t="shared" si="5"/>
        <v>0.85071770334928321</v>
      </c>
      <c r="I11" s="8">
        <f t="shared" si="6"/>
        <v>0.94256120527306841</v>
      </c>
      <c r="K11" s="130">
        <f t="shared" si="12"/>
        <v>1.3430688243969742</v>
      </c>
      <c r="L11" s="130">
        <f t="shared" si="7"/>
        <v>1.3430688243969742</v>
      </c>
      <c r="M11" s="8">
        <f t="shared" si="0"/>
        <v>1.3719150703926719</v>
      </c>
      <c r="N11" s="8">
        <f t="shared" si="11"/>
        <v>0.26737879918697638</v>
      </c>
      <c r="O11" s="133">
        <f t="shared" si="8"/>
        <v>0.22898086007220833</v>
      </c>
      <c r="P11" s="136"/>
      <c r="Q11" s="66" t="str">
        <f t="shared" si="9"/>
        <v/>
      </c>
      <c r="R11" s="66" t="str">
        <f t="shared" si="10"/>
        <v/>
      </c>
      <c r="S11" s="66" t="str">
        <f t="shared" si="1"/>
        <v/>
      </c>
      <c r="T11" s="66">
        <f t="shared" si="2"/>
        <v>1962.1</v>
      </c>
      <c r="U11" s="66">
        <f t="shared" si="3"/>
        <v>1962.1</v>
      </c>
    </row>
    <row r="12" spans="1:21" x14ac:dyDescent="0.3">
      <c r="A12" s="121">
        <v>44094</v>
      </c>
      <c r="B12" s="122">
        <v>1951.1</v>
      </c>
      <c r="C12" s="122">
        <v>1968.2</v>
      </c>
      <c r="D12" s="122">
        <v>1951.1</v>
      </c>
      <c r="E12" s="123">
        <v>1962.1</v>
      </c>
      <c r="G12" s="8">
        <f t="shared" si="4"/>
        <v>0.83614697120158854</v>
      </c>
      <c r="H12" s="8">
        <f t="shared" si="5"/>
        <v>0.85071770334928321</v>
      </c>
      <c r="I12" s="8">
        <f t="shared" si="6"/>
        <v>0.94256120527306841</v>
      </c>
      <c r="K12" s="130">
        <f t="shared" si="12"/>
        <v>1.3430688243969742</v>
      </c>
      <c r="L12" s="130">
        <f t="shared" si="7"/>
        <v>1.3430688243969742</v>
      </c>
      <c r="M12" s="8">
        <f t="shared" si="0"/>
        <v>1.3719150703926719</v>
      </c>
      <c r="N12" s="8">
        <f t="shared" si="11"/>
        <v>0.26737879918697638</v>
      </c>
      <c r="O12" s="133">
        <f t="shared" si="8"/>
        <v>0.22898086007220833</v>
      </c>
      <c r="P12" s="136"/>
      <c r="Q12" s="66" t="str">
        <f>IF(K12&lt;=SMALL($K$3:$K$17,$Q$2),$E12,"")</f>
        <v/>
      </c>
      <c r="R12" s="66" t="str">
        <f t="shared" si="10"/>
        <v/>
      </c>
      <c r="S12" s="66" t="str">
        <f t="shared" si="1"/>
        <v/>
      </c>
      <c r="T12" s="66">
        <f t="shared" si="2"/>
        <v>1962.1</v>
      </c>
      <c r="U12" s="66">
        <f t="shared" si="3"/>
        <v>1962.1</v>
      </c>
    </row>
    <row r="13" spans="1:21" x14ac:dyDescent="0.3">
      <c r="A13" s="121">
        <v>44095</v>
      </c>
      <c r="B13" s="122">
        <v>1957.3</v>
      </c>
      <c r="C13" s="122">
        <v>1962.9</v>
      </c>
      <c r="D13" s="122">
        <v>1885.4</v>
      </c>
      <c r="E13" s="123">
        <v>1910.6</v>
      </c>
      <c r="G13" s="8">
        <f t="shared" si="4"/>
        <v>0.89771598808341635</v>
      </c>
      <c r="H13" s="8">
        <f t="shared" si="5"/>
        <v>0.80000000000000127</v>
      </c>
      <c r="I13" s="8">
        <f t="shared" si="6"/>
        <v>0.32391713747646023</v>
      </c>
      <c r="K13" s="130">
        <f>SQRT((G13-$G$21)^2+(H13-$H$21)^2+(I13-$I$21)^2)</f>
        <v>1.0582683418609562</v>
      </c>
      <c r="L13" s="130">
        <f t="shared" si="7"/>
        <v>1.0582683418609562</v>
      </c>
      <c r="M13" s="8">
        <f t="shared" si="0"/>
        <v>1.0737416668208106</v>
      </c>
      <c r="N13" s="8">
        <f t="shared" si="11"/>
        <v>0.62247213146915537</v>
      </c>
      <c r="O13" s="133">
        <f t="shared" si="8"/>
        <v>0.71242547406151535</v>
      </c>
      <c r="P13" s="136"/>
      <c r="Q13" s="66">
        <f t="shared" si="9"/>
        <v>1910.6</v>
      </c>
      <c r="R13" s="66">
        <f t="shared" si="10"/>
        <v>1910.6</v>
      </c>
      <c r="S13" s="66">
        <f t="shared" si="1"/>
        <v>1910.6</v>
      </c>
      <c r="T13" s="66" t="str">
        <f t="shared" si="2"/>
        <v/>
      </c>
      <c r="U13" s="66" t="str">
        <f t="shared" si="3"/>
        <v/>
      </c>
    </row>
    <row r="14" spans="1:21" x14ac:dyDescent="0.3">
      <c r="A14" s="121">
        <v>44096</v>
      </c>
      <c r="B14" s="122">
        <v>1918.1</v>
      </c>
      <c r="C14" s="122">
        <v>1925.5</v>
      </c>
      <c r="D14" s="122">
        <v>1898.9</v>
      </c>
      <c r="E14" s="123">
        <v>1907.6</v>
      </c>
      <c r="G14" s="8">
        <f t="shared" si="4"/>
        <v>0.50844091360476573</v>
      </c>
      <c r="H14" s="8">
        <f t="shared" si="5"/>
        <v>0.44210526315789517</v>
      </c>
      <c r="I14" s="8">
        <f t="shared" si="6"/>
        <v>0.45103578154425678</v>
      </c>
      <c r="K14" s="130">
        <f t="shared" si="12"/>
        <v>0.62989881284516192</v>
      </c>
      <c r="L14" s="130">
        <f t="shared" si="7"/>
        <v>0.62989881284516192</v>
      </c>
      <c r="M14" s="8">
        <f t="shared" si="0"/>
        <v>0.69277759703999608</v>
      </c>
      <c r="N14" s="8">
        <f t="shared" si="11"/>
        <v>0.60301661432178699</v>
      </c>
      <c r="O14" s="133">
        <f t="shared" si="8"/>
        <v>0.92425028318013713</v>
      </c>
      <c r="P14" s="136"/>
      <c r="Q14" s="66">
        <f t="shared" si="9"/>
        <v>1907.6</v>
      </c>
      <c r="R14" s="66">
        <f t="shared" si="10"/>
        <v>1907.6</v>
      </c>
      <c r="S14" s="66">
        <f t="shared" si="1"/>
        <v>1907.6</v>
      </c>
      <c r="T14" s="66" t="str">
        <f t="shared" si="2"/>
        <v/>
      </c>
      <c r="U14" s="66" t="str">
        <f t="shared" si="3"/>
        <v/>
      </c>
    </row>
    <row r="15" spans="1:21" x14ac:dyDescent="0.3">
      <c r="A15" s="121">
        <v>44097</v>
      </c>
      <c r="B15" s="122">
        <v>1905.1</v>
      </c>
      <c r="C15" s="122">
        <v>1909.9</v>
      </c>
      <c r="D15" s="122">
        <v>1856</v>
      </c>
      <c r="E15" s="123">
        <v>1868.4</v>
      </c>
      <c r="G15" s="8">
        <f t="shared" si="4"/>
        <v>0.37934458788480524</v>
      </c>
      <c r="H15" s="8">
        <f t="shared" si="5"/>
        <v>0.29282296650717832</v>
      </c>
      <c r="I15" s="8">
        <f t="shared" si="6"/>
        <v>4.7080979284369093E-2</v>
      </c>
      <c r="K15" s="130">
        <f t="shared" si="12"/>
        <v>0.32378017404333181</v>
      </c>
      <c r="L15" s="130">
        <f t="shared" si="7"/>
        <v>0.32378017404333181</v>
      </c>
      <c r="M15" s="8">
        <f t="shared" si="0"/>
        <v>0.3825545956607288</v>
      </c>
      <c r="N15" s="8">
        <f t="shared" si="11"/>
        <v>1.0218203059596414</v>
      </c>
      <c r="O15" s="133">
        <f t="shared" si="8"/>
        <v>1.3391665905813313</v>
      </c>
      <c r="P15" s="136"/>
      <c r="Q15" s="66">
        <f t="shared" si="9"/>
        <v>1868.4</v>
      </c>
      <c r="R15" s="66">
        <f t="shared" si="10"/>
        <v>1868.4</v>
      </c>
      <c r="S15" s="66">
        <f t="shared" si="1"/>
        <v>1868.4</v>
      </c>
      <c r="T15" s="66" t="str">
        <f t="shared" si="2"/>
        <v/>
      </c>
      <c r="U15" s="66" t="str">
        <f t="shared" si="3"/>
        <v/>
      </c>
    </row>
    <row r="16" spans="1:21" x14ac:dyDescent="0.3">
      <c r="A16" s="121">
        <v>44098</v>
      </c>
      <c r="B16" s="122">
        <v>1866.9</v>
      </c>
      <c r="C16" s="122">
        <v>1880.9</v>
      </c>
      <c r="D16" s="126">
        <v>1851</v>
      </c>
      <c r="E16" s="123">
        <v>1876.9</v>
      </c>
      <c r="G16" s="8">
        <f t="shared" si="4"/>
        <v>0</v>
      </c>
      <c r="H16" s="8">
        <f t="shared" si="5"/>
        <v>1.53110047846903E-2</v>
      </c>
      <c r="I16" s="8">
        <f t="shared" si="6"/>
        <v>0</v>
      </c>
      <c r="K16" s="130">
        <f t="shared" si="12"/>
        <v>0.26205966364063454</v>
      </c>
      <c r="L16" s="130">
        <f t="shared" si="7"/>
        <v>0.26205966364063454</v>
      </c>
      <c r="M16" s="8">
        <f t="shared" si="0"/>
        <v>0.29264747272396241</v>
      </c>
      <c r="N16" s="8">
        <f t="shared" si="11"/>
        <v>1.3515848289929995</v>
      </c>
      <c r="O16" s="133">
        <f t="shared" si="8"/>
        <v>1.7232563411454884</v>
      </c>
      <c r="P16" s="136"/>
      <c r="Q16" s="66">
        <f t="shared" si="9"/>
        <v>1876.9</v>
      </c>
      <c r="R16" s="66">
        <f>IF(L16&lt;=SMALL($L$3:$L$17,$R$2),$E16,"")</f>
        <v>1876.9</v>
      </c>
      <c r="S16" s="66">
        <f t="shared" si="1"/>
        <v>1876.9</v>
      </c>
      <c r="T16" s="66" t="str">
        <f t="shared" si="2"/>
        <v/>
      </c>
      <c r="U16" s="66" t="str">
        <f t="shared" si="3"/>
        <v/>
      </c>
    </row>
    <row r="17" spans="1:21" x14ac:dyDescent="0.3">
      <c r="A17" s="121">
        <v>44099</v>
      </c>
      <c r="B17" s="122">
        <v>1872.7</v>
      </c>
      <c r="C17" s="126">
        <v>1879.3</v>
      </c>
      <c r="D17" s="122">
        <v>1854.1</v>
      </c>
      <c r="E17" s="123">
        <v>1866.3</v>
      </c>
      <c r="G17" s="8">
        <f t="shared" si="4"/>
        <v>5.7596822244289622E-2</v>
      </c>
      <c r="H17" s="8">
        <f t="shared" si="5"/>
        <v>0</v>
      </c>
      <c r="I17" s="8">
        <f>($D17-MIN($D$3:$D$17))/(MAX($D$3:$D$17)-MIN($D$3:$D$17))</f>
        <v>2.9190207156307983E-2</v>
      </c>
      <c r="K17" s="130">
        <f t="shared" si="12"/>
        <v>0.1977880919485695</v>
      </c>
      <c r="L17" s="130">
        <f t="shared" si="7"/>
        <v>0.1977880919485695</v>
      </c>
      <c r="M17" s="8">
        <f t="shared" si="0"/>
        <v>0.31465518587163921</v>
      </c>
      <c r="N17" s="8">
        <f t="shared" si="11"/>
        <v>1.3192263416040724</v>
      </c>
      <c r="O17" s="133">
        <f t="shared" si="8"/>
        <v>1.6824373400888586</v>
      </c>
      <c r="P17" s="136"/>
      <c r="Q17" s="66">
        <f t="shared" si="9"/>
        <v>1866.3</v>
      </c>
      <c r="R17" s="66">
        <f t="shared" si="10"/>
        <v>1866.3</v>
      </c>
      <c r="S17" s="66">
        <f t="shared" si="1"/>
        <v>1866.3</v>
      </c>
      <c r="T17" s="66" t="str">
        <f t="shared" si="2"/>
        <v/>
      </c>
      <c r="U17" s="66" t="str">
        <f t="shared" si="3"/>
        <v/>
      </c>
    </row>
    <row r="19" spans="1:21" x14ac:dyDescent="0.3">
      <c r="A19" s="190" t="s">
        <v>117</v>
      </c>
      <c r="B19" s="190"/>
      <c r="C19" s="190"/>
      <c r="D19" s="190"/>
      <c r="E19" s="190"/>
      <c r="G19" s="190" t="s">
        <v>250</v>
      </c>
      <c r="H19" s="190"/>
      <c r="I19" s="190"/>
      <c r="J19" s="131"/>
      <c r="Q19" s="9" t="s">
        <v>276</v>
      </c>
    </row>
    <row r="20" spans="1:21" x14ac:dyDescent="0.3">
      <c r="A20" s="119" t="s">
        <v>244</v>
      </c>
      <c r="B20" s="119" t="s">
        <v>245</v>
      </c>
      <c r="C20" s="119" t="s">
        <v>246</v>
      </c>
      <c r="D20" s="119" t="s">
        <v>247</v>
      </c>
      <c r="E20" s="120" t="s">
        <v>248</v>
      </c>
      <c r="G20" s="119" t="s">
        <v>245</v>
      </c>
      <c r="H20" s="119" t="s">
        <v>246</v>
      </c>
      <c r="I20" s="119" t="s">
        <v>247</v>
      </c>
      <c r="J20" s="131"/>
    </row>
    <row r="21" spans="1:21" x14ac:dyDescent="0.3">
      <c r="A21" s="127">
        <v>44100</v>
      </c>
      <c r="B21" s="128">
        <v>1872.7</v>
      </c>
      <c r="C21" s="128">
        <v>1879.3</v>
      </c>
      <c r="D21" s="128">
        <v>1854.1</v>
      </c>
      <c r="E21" s="123">
        <v>1866.3</v>
      </c>
      <c r="G21" s="8">
        <f>($B21-MIN($B$21:$B$25))/(MAX($B$21:$B$25)-MIN($B$21:$B$25))</f>
        <v>0.24691358024691357</v>
      </c>
      <c r="H21" s="8">
        <f>($C21-MIN($C$21:$C$25))/(MAX($C$21:$C$25)-MIN($C$21:$C$25))</f>
        <v>0</v>
      </c>
      <c r="I21" s="8">
        <f>($D21-MIN($D$21:$D$25))/(MAX($D$21:$D$25)-MIN($D$21:$D$25))</f>
        <v>8.6455331412103639E-2</v>
      </c>
      <c r="K21" s="186" t="s">
        <v>277</v>
      </c>
      <c r="L21" s="186"/>
      <c r="M21" s="186"/>
      <c r="Q21" s="22" t="s">
        <v>41</v>
      </c>
      <c r="R21" s="22" t="s">
        <v>39</v>
      </c>
      <c r="S21" s="22" t="s">
        <v>40</v>
      </c>
    </row>
    <row r="22" spans="1:21" x14ac:dyDescent="0.3">
      <c r="A22" s="127">
        <v>44101</v>
      </c>
      <c r="B22" s="128">
        <v>1872.7</v>
      </c>
      <c r="C22" s="128">
        <v>1879.3</v>
      </c>
      <c r="D22" s="128">
        <v>1854.1</v>
      </c>
      <c r="E22" s="123">
        <v>1866.3</v>
      </c>
      <c r="G22" s="8">
        <f>($B22-MIN($B$21:$B$25))/(MAX($B$21:$B$25)-MIN($B$21:$B$25))</f>
        <v>0.24691358024691357</v>
      </c>
      <c r="H22" s="8">
        <f>($C22-MIN($C$21:$C$25))/(MAX($C$21:$C$25)-MIN($C$21:$C$25))</f>
        <v>0</v>
      </c>
      <c r="I22" s="8">
        <f>($D22-MIN($D$21:$D$25))/(MAX($D$21:$D$25)-MIN($D$21:$D$25))</f>
        <v>8.6455331412103639E-2</v>
      </c>
      <c r="K22" s="9" t="s">
        <v>278</v>
      </c>
      <c r="Q22" s="32">
        <v>1</v>
      </c>
      <c r="R22" s="149">
        <f>E21</f>
        <v>1866.3</v>
      </c>
      <c r="S22" s="151">
        <f>AVERAGE(Q3:Q17)</f>
        <v>1885.9599999999998</v>
      </c>
    </row>
    <row r="23" spans="1:21" x14ac:dyDescent="0.3">
      <c r="A23" s="127">
        <v>44102</v>
      </c>
      <c r="B23" s="129">
        <v>1862.7</v>
      </c>
      <c r="C23" s="128">
        <v>1888.2</v>
      </c>
      <c r="D23" s="128">
        <v>1851.1</v>
      </c>
      <c r="E23" s="123">
        <v>1882.3</v>
      </c>
      <c r="G23" s="8">
        <f>($B23-MIN($B$21:$B$25))/(MAX($B$21:$B$25)-MIN($B$21:$B$25))</f>
        <v>0</v>
      </c>
      <c r="H23" s="8">
        <f>($C23-MIN($C$21:$C$25))/(MAX($C$21:$C$25)-MIN($C$21:$C$25))</f>
        <v>0.30795847750865268</v>
      </c>
      <c r="I23" s="8">
        <f>($D23-MIN($D$21:$D$25))/(MAX($D$21:$D$25)-MIN($D$21:$D$25))</f>
        <v>0</v>
      </c>
      <c r="K23" t="s">
        <v>282</v>
      </c>
      <c r="Q23" s="32">
        <v>2</v>
      </c>
      <c r="R23" s="149">
        <f t="shared" ref="R23:R26" si="13">E22</f>
        <v>1866.3</v>
      </c>
      <c r="S23" s="151">
        <f>AVERAGE(R3:R17)</f>
        <v>1885.9599999999998</v>
      </c>
    </row>
    <row r="24" spans="1:21" x14ac:dyDescent="0.3">
      <c r="A24" s="127">
        <v>44103</v>
      </c>
      <c r="B24" s="128">
        <v>1886.4</v>
      </c>
      <c r="C24" s="128">
        <v>1904.8</v>
      </c>
      <c r="D24" s="128">
        <v>1880.8</v>
      </c>
      <c r="E24" s="123">
        <v>1903.2</v>
      </c>
      <c r="G24" s="8">
        <f t="shared" ref="G24" si="14">($B24-MIN($B$21:$B$25))/(MAX($B$21:$B$25)-MIN($B$21:$B$25))</f>
        <v>0.58518518518518636</v>
      </c>
      <c r="H24" s="8">
        <f>($C24-MIN($C$21:$C$25))/(MAX($C$21:$C$25)-MIN($C$21:$C$25))</f>
        <v>0.88235294117646779</v>
      </c>
      <c r="I24" s="8">
        <f>($D24-MIN($D$21:$D$25))/(MAX($D$21:$D$25)-MIN($D$21:$D$25))</f>
        <v>0.85590778097982723</v>
      </c>
      <c r="Q24" s="32">
        <v>3</v>
      </c>
      <c r="R24" s="149">
        <f t="shared" si="13"/>
        <v>1882.3</v>
      </c>
      <c r="S24" s="151">
        <f>AVERAGE(S3:S17)</f>
        <v>1885.9599999999998</v>
      </c>
    </row>
    <row r="25" spans="1:21" x14ac:dyDescent="0.3">
      <c r="A25" s="127">
        <v>44104</v>
      </c>
      <c r="B25" s="128">
        <v>1903.2</v>
      </c>
      <c r="C25" s="128">
        <v>1908.2</v>
      </c>
      <c r="D25" s="128">
        <v>1885.8</v>
      </c>
      <c r="E25" s="123">
        <v>1895.5</v>
      </c>
      <c r="G25" s="8">
        <f>($B25-MIN($B$21:$B$25))/(MAX($B$21:$B$25)-MIN($B$21:$B$25))</f>
        <v>1</v>
      </c>
      <c r="H25" s="8">
        <f>($C25-MIN($C$21:$C$25))/(MAX($C$21:$C$25)-MIN($C$21:$C$25))</f>
        <v>1</v>
      </c>
      <c r="I25" s="8">
        <f>($D25-MIN($D$21:$D$25))/(MAX($D$21:$D$25)-MIN($D$21:$D$25))</f>
        <v>1</v>
      </c>
      <c r="K25" s="61" t="s">
        <v>279</v>
      </c>
      <c r="L25" s="61" t="s">
        <v>58</v>
      </c>
      <c r="M25" s="61" t="s">
        <v>280</v>
      </c>
      <c r="N25" s="61" t="s">
        <v>281</v>
      </c>
      <c r="Q25" s="32">
        <v>4</v>
      </c>
      <c r="R25" s="149">
        <f t="shared" si="13"/>
        <v>1903.2</v>
      </c>
      <c r="S25" s="151">
        <f>AVERAGE(T3:T17)</f>
        <v>1956.2428571428572</v>
      </c>
    </row>
    <row r="26" spans="1:21" x14ac:dyDescent="0.3">
      <c r="K26" s="18" t="s">
        <v>283</v>
      </c>
      <c r="L26" s="18"/>
      <c r="M26" s="18"/>
      <c r="N26" s="18"/>
      <c r="O26" s="18" t="s">
        <v>286</v>
      </c>
      <c r="Q26" s="32">
        <v>5</v>
      </c>
      <c r="R26" s="149">
        <f t="shared" si="13"/>
        <v>1895.5</v>
      </c>
      <c r="S26" s="151">
        <f>AVERAGE(U3:U17)</f>
        <v>1962.1500000000003</v>
      </c>
    </row>
    <row r="27" spans="1:21" x14ac:dyDescent="0.3">
      <c r="K27" s="8">
        <f>POWER(S22-R22,2)</f>
        <v>386.51559999999427</v>
      </c>
      <c r="L27" s="8">
        <f>SUM($K$27:$K$31)</f>
        <v>8042.1939938775868</v>
      </c>
      <c r="M27" s="150">
        <f>SQRT($L$27/COUNTA($I$21:$I$25))</f>
        <v>40.105346261758136</v>
      </c>
      <c r="N27" s="8">
        <f>($L$27/COUNTA($I$21:$I$25))</f>
        <v>1608.4387987755174</v>
      </c>
      <c r="O27" s="152">
        <f>S22-R22</f>
        <v>19.659999999999854</v>
      </c>
      <c r="Q27" s="32"/>
      <c r="R27" s="64"/>
      <c r="S27" s="52"/>
    </row>
    <row r="28" spans="1:21" x14ac:dyDescent="0.3">
      <c r="K28" s="8">
        <f t="shared" ref="K28:K31" si="15">POWER(S23-R23,2)</f>
        <v>386.51559999999427</v>
      </c>
      <c r="L28" s="8">
        <f>SUM($K$27:$K$31)</f>
        <v>8042.1939938775868</v>
      </c>
      <c r="M28" s="150">
        <f t="shared" ref="M28:M31" si="16">SQRT($L$27/COUNTA($I$21:$I$25))</f>
        <v>40.105346261758136</v>
      </c>
      <c r="N28" s="8">
        <f t="shared" ref="N28:N31" si="17">($L$27/COUNTA($I$21:$I$25))</f>
        <v>1608.4387987755174</v>
      </c>
      <c r="O28" s="152">
        <f t="shared" ref="O28:O31" si="18">S23-R23</f>
        <v>19.659999999999854</v>
      </c>
    </row>
    <row r="29" spans="1:21" x14ac:dyDescent="0.3">
      <c r="K29" s="8">
        <f t="shared" si="15"/>
        <v>13.395599999998934</v>
      </c>
      <c r="L29" s="8">
        <f t="shared" ref="L29:L31" si="19">SUM($K$27:$K$31)</f>
        <v>8042.1939938775868</v>
      </c>
      <c r="M29" s="150">
        <f t="shared" si="16"/>
        <v>40.105346261758136</v>
      </c>
      <c r="N29" s="8">
        <f t="shared" si="17"/>
        <v>1608.4387987755174</v>
      </c>
      <c r="O29" s="152">
        <f t="shared" si="18"/>
        <v>3.6599999999998545</v>
      </c>
    </row>
    <row r="30" spans="1:21" x14ac:dyDescent="0.3">
      <c r="K30" s="8">
        <f t="shared" si="15"/>
        <v>2813.5446938775572</v>
      </c>
      <c r="L30" s="8">
        <f t="shared" si="19"/>
        <v>8042.1939938775868</v>
      </c>
      <c r="M30" s="150">
        <f t="shared" si="16"/>
        <v>40.105346261758136</v>
      </c>
      <c r="N30" s="8">
        <f t="shared" si="17"/>
        <v>1608.4387987755174</v>
      </c>
      <c r="O30" s="152">
        <f t="shared" si="18"/>
        <v>53.042857142857201</v>
      </c>
    </row>
    <row r="31" spans="1:21" x14ac:dyDescent="0.3">
      <c r="K31" s="8">
        <f t="shared" si="15"/>
        <v>4442.2225000000426</v>
      </c>
      <c r="L31" s="8">
        <f t="shared" si="19"/>
        <v>8042.1939938775868</v>
      </c>
      <c r="M31" s="150">
        <f t="shared" si="16"/>
        <v>40.105346261758136</v>
      </c>
      <c r="N31" s="8">
        <f t="shared" si="17"/>
        <v>1608.4387987755174</v>
      </c>
      <c r="O31" s="152">
        <f t="shared" si="18"/>
        <v>66.650000000000318</v>
      </c>
    </row>
    <row r="33" spans="14:15" x14ac:dyDescent="0.3">
      <c r="N33" s="18" t="s">
        <v>284</v>
      </c>
      <c r="O33" s="152">
        <f>SUM(O27:O31)</f>
        <v>162.67285714285708</v>
      </c>
    </row>
    <row r="34" spans="14:15" x14ac:dyDescent="0.3">
      <c r="N34" s="18" t="s">
        <v>285</v>
      </c>
      <c r="O34" s="20">
        <f>O33/COUNTA($I$21:$I$25)</f>
        <v>32.534571428571418</v>
      </c>
    </row>
  </sheetData>
  <mergeCells count="7">
    <mergeCell ref="K21:M21"/>
    <mergeCell ref="Q1:U1"/>
    <mergeCell ref="A1:E1"/>
    <mergeCell ref="G1:I1"/>
    <mergeCell ref="A19:E19"/>
    <mergeCell ref="G19:I19"/>
    <mergeCell ref="K1:O1"/>
  </mergeCells>
  <conditionalFormatting sqref="Q3:U17">
    <cfRule type="notContainsBlanks" dxfId="1" priority="5">
      <formula>LEN(TRIM(Q3))&gt;0</formula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32612-CB2B-4E78-B283-C829C1499D1C}">
  <dimension ref="A1:X61"/>
  <sheetViews>
    <sheetView tabSelected="1" zoomScale="72" zoomScaleNormal="85" workbookViewId="0">
      <selection activeCell="O47" sqref="O47"/>
    </sheetView>
  </sheetViews>
  <sheetFormatPr defaultRowHeight="14.4" x14ac:dyDescent="0.3"/>
  <cols>
    <col min="1" max="1" width="12.5546875" customWidth="1"/>
    <col min="2" max="2" width="17.5546875" customWidth="1"/>
    <col min="3" max="3" width="14.5546875" customWidth="1"/>
    <col min="4" max="4" width="9.6640625" customWidth="1"/>
    <col min="6" max="6" width="11.33203125" customWidth="1"/>
    <col min="7" max="7" width="20.5546875" customWidth="1"/>
    <col min="8" max="8" width="12.33203125" customWidth="1"/>
    <col min="9" max="9" width="6.88671875" customWidth="1"/>
    <col min="10" max="10" width="9.109375" customWidth="1"/>
    <col min="11" max="11" width="19.88671875" customWidth="1"/>
    <col min="12" max="12" width="15.5546875" customWidth="1"/>
    <col min="13" max="13" width="14" customWidth="1"/>
    <col min="15" max="15" width="24.5546875" customWidth="1"/>
    <col min="16" max="16" width="19" customWidth="1"/>
  </cols>
  <sheetData>
    <row r="1" spans="1:15" x14ac:dyDescent="0.3">
      <c r="A1" s="67" t="s">
        <v>0</v>
      </c>
      <c r="B1" s="67" t="s">
        <v>148</v>
      </c>
      <c r="C1" s="67" t="s">
        <v>1</v>
      </c>
      <c r="D1" s="68" t="s">
        <v>157</v>
      </c>
      <c r="E1" s="68" t="s">
        <v>158</v>
      </c>
      <c r="F1" s="68" t="s">
        <v>159</v>
      </c>
      <c r="G1" s="68" t="s">
        <v>160</v>
      </c>
      <c r="H1" s="68" t="s">
        <v>146</v>
      </c>
    </row>
    <row r="2" spans="1:15" x14ac:dyDescent="0.3">
      <c r="A2" s="69" t="s">
        <v>10</v>
      </c>
      <c r="B2" s="69" t="s">
        <v>150</v>
      </c>
      <c r="C2" s="70" t="s">
        <v>6</v>
      </c>
      <c r="D2" s="71">
        <v>3.6</v>
      </c>
      <c r="E2" s="70">
        <v>3.58</v>
      </c>
      <c r="F2" s="70">
        <v>3.05</v>
      </c>
      <c r="G2" s="70">
        <v>3.7</v>
      </c>
      <c r="H2" s="70" t="s">
        <v>153</v>
      </c>
      <c r="K2" s="10" t="s">
        <v>36</v>
      </c>
    </row>
    <row r="3" spans="1:15" x14ac:dyDescent="0.3">
      <c r="A3" s="72" t="s">
        <v>11</v>
      </c>
      <c r="B3" s="72" t="s">
        <v>150</v>
      </c>
      <c r="C3" s="73" t="s">
        <v>8</v>
      </c>
      <c r="D3" s="73">
        <v>3.6</v>
      </c>
      <c r="E3" s="73">
        <v>3.68</v>
      </c>
      <c r="F3" s="73">
        <v>3.3</v>
      </c>
      <c r="G3" s="73">
        <v>3.85</v>
      </c>
      <c r="H3" s="73" t="s">
        <v>153</v>
      </c>
      <c r="K3" s="198" t="s">
        <v>22</v>
      </c>
      <c r="L3" s="199"/>
    </row>
    <row r="4" spans="1:15" x14ac:dyDescent="0.3">
      <c r="A4" s="69" t="s">
        <v>12</v>
      </c>
      <c r="B4" s="69" t="s">
        <v>151</v>
      </c>
      <c r="C4" s="70" t="s">
        <v>8</v>
      </c>
      <c r="D4" s="70">
        <v>3.05</v>
      </c>
      <c r="E4" s="70">
        <v>3.05</v>
      </c>
      <c r="F4" s="70">
        <v>3.3</v>
      </c>
      <c r="G4" s="70">
        <v>3.4</v>
      </c>
      <c r="H4" s="70" t="s">
        <v>153</v>
      </c>
      <c r="K4" s="11" t="s">
        <v>23</v>
      </c>
      <c r="L4" s="12" t="s">
        <v>24</v>
      </c>
      <c r="N4" t="s">
        <v>26</v>
      </c>
    </row>
    <row r="5" spans="1:15" x14ac:dyDescent="0.3">
      <c r="A5" s="72" t="s">
        <v>13</v>
      </c>
      <c r="B5" s="72" t="s">
        <v>21</v>
      </c>
      <c r="C5" s="73" t="s">
        <v>8</v>
      </c>
      <c r="D5" s="73">
        <v>3.3</v>
      </c>
      <c r="E5" s="73">
        <v>3.42</v>
      </c>
      <c r="F5" s="73">
        <v>3.55</v>
      </c>
      <c r="G5" s="73">
        <v>3.7</v>
      </c>
      <c r="H5" s="73" t="s">
        <v>153</v>
      </c>
      <c r="K5" s="23" t="s">
        <v>153</v>
      </c>
      <c r="L5" s="13">
        <f>COUNTIF(H2:H21,K5)/COUNTA(H2:H21)</f>
        <v>0.6</v>
      </c>
    </row>
    <row r="6" spans="1:15" x14ac:dyDescent="0.3">
      <c r="A6" s="69" t="s">
        <v>14</v>
      </c>
      <c r="B6" s="69" t="s">
        <v>150</v>
      </c>
      <c r="C6" s="70" t="s">
        <v>8</v>
      </c>
      <c r="D6" s="71">
        <v>3.05</v>
      </c>
      <c r="E6" s="70">
        <v>3.2</v>
      </c>
      <c r="F6" s="70">
        <v>3.2</v>
      </c>
      <c r="G6" s="70">
        <v>3.4</v>
      </c>
      <c r="H6" s="70" t="s">
        <v>153</v>
      </c>
      <c r="K6" s="22" t="s">
        <v>154</v>
      </c>
      <c r="L6" s="13">
        <f>COUNTIF(H3:H22,K6)/COUNTA(H3:H22)</f>
        <v>0.42105263157894735</v>
      </c>
    </row>
    <row r="7" spans="1:15" x14ac:dyDescent="0.3">
      <c r="A7" s="72" t="s">
        <v>15</v>
      </c>
      <c r="B7" s="72" t="s">
        <v>150</v>
      </c>
      <c r="C7" s="73" t="s">
        <v>6</v>
      </c>
      <c r="D7" s="73">
        <v>3.35</v>
      </c>
      <c r="E7" s="73">
        <v>3</v>
      </c>
      <c r="F7" s="73">
        <v>2.85</v>
      </c>
      <c r="G7" s="73">
        <v>3.1</v>
      </c>
      <c r="H7" s="73" t="s">
        <v>153</v>
      </c>
      <c r="K7" s="8" t="s">
        <v>25</v>
      </c>
      <c r="L7" s="13">
        <f>SUM(L5:L6)</f>
        <v>1.0210526315789474</v>
      </c>
    </row>
    <row r="8" spans="1:15" x14ac:dyDescent="0.3">
      <c r="A8" s="69" t="s">
        <v>16</v>
      </c>
      <c r="B8" s="72" t="s">
        <v>152</v>
      </c>
      <c r="C8" s="70" t="s">
        <v>8</v>
      </c>
      <c r="D8" s="70">
        <v>2.02</v>
      </c>
      <c r="E8" s="70">
        <v>2.0299999999999998</v>
      </c>
      <c r="F8" s="70">
        <v>1.83</v>
      </c>
      <c r="G8" s="70">
        <v>0.85</v>
      </c>
      <c r="H8" s="70" t="s">
        <v>154</v>
      </c>
    </row>
    <row r="9" spans="1:15" x14ac:dyDescent="0.3">
      <c r="A9" s="72" t="s">
        <v>17</v>
      </c>
      <c r="B9" s="72" t="s">
        <v>150</v>
      </c>
      <c r="C9" s="73" t="s">
        <v>8</v>
      </c>
      <c r="D9" s="73">
        <v>3.3</v>
      </c>
      <c r="E9" s="73">
        <v>2.79</v>
      </c>
      <c r="F9" s="73">
        <v>3.45</v>
      </c>
      <c r="G9" s="73">
        <v>3.55</v>
      </c>
      <c r="H9" s="73" t="s">
        <v>153</v>
      </c>
      <c r="K9" s="9" t="s">
        <v>37</v>
      </c>
      <c r="O9" t="s">
        <v>314</v>
      </c>
    </row>
    <row r="10" spans="1:15" x14ac:dyDescent="0.3">
      <c r="A10" s="69" t="s">
        <v>18</v>
      </c>
      <c r="B10" s="72" t="s">
        <v>152</v>
      </c>
      <c r="C10" s="70" t="s">
        <v>6</v>
      </c>
      <c r="D10" s="71">
        <v>3.05</v>
      </c>
      <c r="E10" s="70">
        <v>2.79</v>
      </c>
      <c r="F10" s="70">
        <v>3</v>
      </c>
      <c r="G10" s="70">
        <v>2.85</v>
      </c>
      <c r="H10" s="70" t="s">
        <v>154</v>
      </c>
      <c r="K10" s="17" t="s">
        <v>149</v>
      </c>
      <c r="L10" s="15" t="s">
        <v>153</v>
      </c>
      <c r="M10" s="14" t="s">
        <v>154</v>
      </c>
    </row>
    <row r="11" spans="1:15" x14ac:dyDescent="0.3">
      <c r="A11" s="72" t="s">
        <v>19</v>
      </c>
      <c r="B11" s="72" t="s">
        <v>152</v>
      </c>
      <c r="C11" s="73" t="s">
        <v>6</v>
      </c>
      <c r="D11" s="73">
        <v>3.05</v>
      </c>
      <c r="E11" s="73">
        <v>2.95</v>
      </c>
      <c r="F11" s="73">
        <v>3.45</v>
      </c>
      <c r="G11" s="73">
        <v>3.25</v>
      </c>
      <c r="H11" s="73" t="s">
        <v>154</v>
      </c>
      <c r="K11" s="16" t="s">
        <v>150</v>
      </c>
      <c r="L11" s="8">
        <f>COUNTIFS($B$2:$B$21,$K11,$H$2:$H$21,$L$10)/COUNTIF($H$2:$H$21,$L$10)</f>
        <v>0.58333333333333337</v>
      </c>
      <c r="M11" s="8">
        <f>COUNTIFS($B$2:$B$21,$K11,$H$2:$H$21,$M$10)/COUNTIF($H$2:$H$21,$M$10)</f>
        <v>0.125</v>
      </c>
    </row>
    <row r="12" spans="1:15" x14ac:dyDescent="0.3">
      <c r="A12" s="69">
        <v>11</v>
      </c>
      <c r="B12" s="69" t="s">
        <v>151</v>
      </c>
      <c r="C12" s="70" t="s">
        <v>8</v>
      </c>
      <c r="D12" s="71">
        <v>2.38</v>
      </c>
      <c r="E12" s="70">
        <v>1.58</v>
      </c>
      <c r="F12" s="70">
        <v>0</v>
      </c>
      <c r="G12" s="70">
        <v>1.43</v>
      </c>
      <c r="H12" s="70" t="s">
        <v>154</v>
      </c>
      <c r="K12" s="16" t="s">
        <v>151</v>
      </c>
      <c r="L12" s="8">
        <f t="shared" ref="L12:L14" si="0">COUNTIFS($B$2:$B$21,$K12,$H$2:$H$21,$L$10)/COUNTIF($H$2:$H$21,$L$10)</f>
        <v>8.3333333333333329E-2</v>
      </c>
      <c r="M12" s="8">
        <f t="shared" ref="M12:M14" si="1">COUNTIFS($B$2:$B$21,$K12,$H$2:$H$21,$M$10)/COUNTIF($H$2:$H$21,$M$10)</f>
        <v>0.375</v>
      </c>
    </row>
    <row r="13" spans="1:15" x14ac:dyDescent="0.3">
      <c r="A13" s="72">
        <v>12</v>
      </c>
      <c r="B13" s="72" t="s">
        <v>151</v>
      </c>
      <c r="C13" s="73" t="s">
        <v>8</v>
      </c>
      <c r="D13" s="73">
        <v>2.15</v>
      </c>
      <c r="E13" s="73">
        <v>2.02</v>
      </c>
      <c r="F13" s="73">
        <v>2.0299999999999998</v>
      </c>
      <c r="G13" s="73">
        <v>1.83</v>
      </c>
      <c r="H13" s="73" t="s">
        <v>154</v>
      </c>
      <c r="K13" s="16" t="s">
        <v>21</v>
      </c>
      <c r="L13" s="8">
        <f t="shared" si="0"/>
        <v>0.25</v>
      </c>
      <c r="M13" s="8">
        <f t="shared" si="1"/>
        <v>0.125</v>
      </c>
    </row>
    <row r="14" spans="1:15" x14ac:dyDescent="0.3">
      <c r="A14" s="69">
        <v>13</v>
      </c>
      <c r="B14" s="69" t="s">
        <v>21</v>
      </c>
      <c r="C14" s="70" t="s">
        <v>6</v>
      </c>
      <c r="D14" s="70">
        <v>3.28</v>
      </c>
      <c r="E14" s="70">
        <v>3.37</v>
      </c>
      <c r="F14" s="70">
        <v>3.54</v>
      </c>
      <c r="G14" s="70">
        <v>3.35</v>
      </c>
      <c r="H14" s="70" t="s">
        <v>153</v>
      </c>
      <c r="K14" s="16" t="s">
        <v>152</v>
      </c>
      <c r="L14" s="8">
        <f t="shared" si="0"/>
        <v>8.3333333333333329E-2</v>
      </c>
      <c r="M14" s="8">
        <f t="shared" si="1"/>
        <v>0.375</v>
      </c>
    </row>
    <row r="15" spans="1:15" x14ac:dyDescent="0.3">
      <c r="A15" s="72">
        <v>14</v>
      </c>
      <c r="B15" s="72" t="s">
        <v>150</v>
      </c>
      <c r="C15" s="73" t="s">
        <v>6</v>
      </c>
      <c r="D15" s="73">
        <v>2.77</v>
      </c>
      <c r="E15" s="73">
        <v>3.05</v>
      </c>
      <c r="F15" s="73">
        <v>3.08</v>
      </c>
      <c r="G15" s="73">
        <v>3.15</v>
      </c>
      <c r="H15" s="73" t="s">
        <v>153</v>
      </c>
      <c r="K15" s="17" t="s">
        <v>25</v>
      </c>
      <c r="L15" s="17">
        <f>SUM(L11:L14)</f>
        <v>1</v>
      </c>
      <c r="M15" s="17">
        <f>SUM(M11:M14)</f>
        <v>1</v>
      </c>
    </row>
    <row r="16" spans="1:15" x14ac:dyDescent="0.3">
      <c r="A16" s="69">
        <v>15</v>
      </c>
      <c r="B16" s="69" t="s">
        <v>151</v>
      </c>
      <c r="C16" s="70" t="s">
        <v>6</v>
      </c>
      <c r="D16" s="71">
        <v>3.28</v>
      </c>
      <c r="E16" s="70">
        <v>2.13</v>
      </c>
      <c r="F16" s="70">
        <v>1.68</v>
      </c>
      <c r="G16" s="74">
        <v>2.87</v>
      </c>
      <c r="H16" s="70" t="s">
        <v>154</v>
      </c>
    </row>
    <row r="17" spans="1:24" x14ac:dyDescent="0.3">
      <c r="A17" s="72">
        <v>16</v>
      </c>
      <c r="B17" s="72" t="s">
        <v>152</v>
      </c>
      <c r="C17" s="73" t="s">
        <v>8</v>
      </c>
      <c r="D17" s="73">
        <v>3.28</v>
      </c>
      <c r="E17" s="73">
        <v>3.37</v>
      </c>
      <c r="F17" s="73">
        <v>3.54</v>
      </c>
      <c r="G17" s="73">
        <v>3.35</v>
      </c>
      <c r="H17" s="73" t="s">
        <v>153</v>
      </c>
      <c r="K17" s="17" t="s">
        <v>147</v>
      </c>
      <c r="L17" s="15" t="s">
        <v>153</v>
      </c>
      <c r="M17" s="14" t="s">
        <v>154</v>
      </c>
    </row>
    <row r="18" spans="1:24" x14ac:dyDescent="0.3">
      <c r="A18" s="69">
        <v>17</v>
      </c>
      <c r="B18" s="72" t="s">
        <v>150</v>
      </c>
      <c r="C18" s="70" t="s">
        <v>6</v>
      </c>
      <c r="D18" s="70">
        <v>3.03</v>
      </c>
      <c r="E18" s="70">
        <v>2.71</v>
      </c>
      <c r="F18" s="70">
        <v>2.7</v>
      </c>
      <c r="G18" s="70">
        <v>2.61</v>
      </c>
      <c r="H18" s="70" t="s">
        <v>154</v>
      </c>
      <c r="K18" s="16" t="s">
        <v>8</v>
      </c>
      <c r="L18" s="8">
        <f>COUNTIFS($C$2:$C$21,$K18,$H$2:$H$21,$L$17)/COUNTIF($H$2:$H$21,$L$17)</f>
        <v>0.5</v>
      </c>
      <c r="M18" s="8">
        <f>COUNTIFS($C$2:$C$21,$K18,$H$2:$H$21,$M$17)/COUNTIF($H$2:$H$21,$M$17)</f>
        <v>0.5</v>
      </c>
    </row>
    <row r="19" spans="1:24" x14ac:dyDescent="0.3">
      <c r="A19" s="72">
        <v>18</v>
      </c>
      <c r="B19" s="72" t="s">
        <v>21</v>
      </c>
      <c r="C19" s="73" t="s">
        <v>8</v>
      </c>
      <c r="D19" s="73">
        <v>1.1399999999999999</v>
      </c>
      <c r="E19" s="73">
        <v>1.49</v>
      </c>
      <c r="F19" s="73">
        <v>0.87</v>
      </c>
      <c r="G19" s="73">
        <v>1.47</v>
      </c>
      <c r="H19" s="73" t="s">
        <v>154</v>
      </c>
      <c r="K19" s="16" t="s">
        <v>6</v>
      </c>
      <c r="L19" s="8">
        <f>COUNTIFS($C$2:$C$21,$K19,$H$2:$H$21,$L$17)/COUNTIF($H$2:$H$21,$L$17)</f>
        <v>0.5</v>
      </c>
      <c r="M19" s="8">
        <f>COUNTIFS($C$2:$C$21,$K19,$H$2:$H$21,$M$17)/COUNTIF($H$2:$H$21,$M$17)</f>
        <v>0.5</v>
      </c>
    </row>
    <row r="20" spans="1:24" x14ac:dyDescent="0.3">
      <c r="A20" s="69">
        <v>19</v>
      </c>
      <c r="B20" s="72" t="s">
        <v>21</v>
      </c>
      <c r="C20" s="70" t="s">
        <v>6</v>
      </c>
      <c r="D20" s="71">
        <v>3.04</v>
      </c>
      <c r="E20" s="70">
        <v>2.21</v>
      </c>
      <c r="F20" s="70">
        <v>2.12</v>
      </c>
      <c r="G20" s="70">
        <v>2.86</v>
      </c>
      <c r="H20" s="70" t="s">
        <v>153</v>
      </c>
      <c r="K20" s="17" t="s">
        <v>25</v>
      </c>
      <c r="L20" s="17">
        <f>SUM(L18:L19)</f>
        <v>1</v>
      </c>
      <c r="M20" s="17">
        <f>SUM(M18:M19)</f>
        <v>1</v>
      </c>
    </row>
    <row r="21" spans="1:24" x14ac:dyDescent="0.3">
      <c r="A21" s="72">
        <v>20</v>
      </c>
      <c r="B21" s="72" t="s">
        <v>150</v>
      </c>
      <c r="C21" s="73" t="s">
        <v>6</v>
      </c>
      <c r="D21" s="73">
        <v>3.13</v>
      </c>
      <c r="E21" s="73">
        <v>3.26</v>
      </c>
      <c r="F21" s="73">
        <v>3.36</v>
      </c>
      <c r="G21" s="73">
        <v>3.53</v>
      </c>
      <c r="H21" s="73" t="s">
        <v>153</v>
      </c>
    </row>
    <row r="22" spans="1:24" x14ac:dyDescent="0.3">
      <c r="K22" s="9" t="s">
        <v>27</v>
      </c>
    </row>
    <row r="23" spans="1:24" x14ac:dyDescent="0.3">
      <c r="K23" t="s">
        <v>28</v>
      </c>
    </row>
    <row r="24" spans="1:24" x14ac:dyDescent="0.3">
      <c r="K24" t="s">
        <v>29</v>
      </c>
    </row>
    <row r="25" spans="1:24" x14ac:dyDescent="0.3">
      <c r="J25" s="200" t="s">
        <v>20</v>
      </c>
      <c r="K25" s="201"/>
      <c r="L25" s="201"/>
      <c r="M25" s="201"/>
      <c r="N25" s="202"/>
      <c r="P25" s="194" t="s">
        <v>155</v>
      </c>
      <c r="Q25" s="195"/>
      <c r="R25" s="195"/>
      <c r="S25" s="196"/>
      <c r="U25" s="194" t="s">
        <v>156</v>
      </c>
      <c r="V25" s="195"/>
      <c r="W25" s="195"/>
      <c r="X25" s="196"/>
    </row>
    <row r="26" spans="1:24" x14ac:dyDescent="0.3">
      <c r="J26" s="19" t="s">
        <v>30</v>
      </c>
      <c r="K26" s="16" t="s">
        <v>2</v>
      </c>
      <c r="L26" s="16" t="s">
        <v>3</v>
      </c>
      <c r="M26" s="16" t="s">
        <v>4</v>
      </c>
      <c r="N26" s="16" t="s">
        <v>5</v>
      </c>
      <c r="P26" s="26" t="s">
        <v>157</v>
      </c>
      <c r="Q26" s="26" t="s">
        <v>158</v>
      </c>
      <c r="R26" s="26" t="s">
        <v>159</v>
      </c>
      <c r="S26" s="26" t="s">
        <v>160</v>
      </c>
      <c r="U26" s="26" t="s">
        <v>157</v>
      </c>
      <c r="V26" s="26" t="s">
        <v>158</v>
      </c>
      <c r="W26" s="26" t="s">
        <v>159</v>
      </c>
      <c r="X26" s="26" t="s">
        <v>160</v>
      </c>
    </row>
    <row r="27" spans="1:24" x14ac:dyDescent="0.3">
      <c r="A27" s="24"/>
      <c r="B27" s="25" t="s">
        <v>148</v>
      </c>
      <c r="C27" s="25" t="s">
        <v>1</v>
      </c>
      <c r="D27" s="26" t="s">
        <v>157</v>
      </c>
      <c r="E27" s="26" t="s">
        <v>158</v>
      </c>
      <c r="F27" s="26" t="s">
        <v>159</v>
      </c>
      <c r="G27" s="26" t="s">
        <v>160</v>
      </c>
      <c r="H27" s="26" t="s">
        <v>146</v>
      </c>
      <c r="J27" s="18" t="s">
        <v>7</v>
      </c>
      <c r="K27" s="20">
        <f>AVERAGE(P27:P38)</f>
        <v>3.2291666666666674</v>
      </c>
      <c r="L27" s="20">
        <f t="shared" ref="L27:N27" si="2">AVERAGE(Q27:Q38)</f>
        <v>3.1649999999999996</v>
      </c>
      <c r="M27" s="20">
        <f t="shared" si="2"/>
        <v>3.1949999999999998</v>
      </c>
      <c r="N27" s="20">
        <f t="shared" si="2"/>
        <v>3.4116666666666671</v>
      </c>
      <c r="P27" s="8">
        <v>3.6</v>
      </c>
      <c r="Q27" s="8">
        <v>3.58</v>
      </c>
      <c r="R27" s="8">
        <v>3.05</v>
      </c>
      <c r="S27" s="8">
        <v>3.7</v>
      </c>
      <c r="U27" s="30">
        <v>2.02</v>
      </c>
      <c r="V27" s="30">
        <v>2.0299999999999998</v>
      </c>
      <c r="W27" s="30">
        <v>1.83</v>
      </c>
      <c r="X27" s="30">
        <v>0.85</v>
      </c>
    </row>
    <row r="28" spans="1:24" x14ac:dyDescent="0.3">
      <c r="A28" s="24" t="s">
        <v>41</v>
      </c>
      <c r="B28" s="7" t="s">
        <v>150</v>
      </c>
      <c r="C28" s="2" t="s">
        <v>8</v>
      </c>
      <c r="D28" s="2">
        <v>2.56</v>
      </c>
      <c r="E28" s="2">
        <v>2.5</v>
      </c>
      <c r="F28" s="2">
        <v>0.64</v>
      </c>
      <c r="G28" s="2">
        <v>1.66</v>
      </c>
      <c r="H28" s="24" t="str">
        <f>IF(H29&gt;H30,"Lulus","Tidak Lulus")</f>
        <v>Tidak Lulus</v>
      </c>
      <c r="J28" s="18" t="s">
        <v>9</v>
      </c>
      <c r="K28" s="20">
        <f>AVERAGE(U27:U34)</f>
        <v>2.5125000000000002</v>
      </c>
      <c r="L28" s="20">
        <f t="shared" ref="L28:N28" si="3">AVERAGE(V27:V34)</f>
        <v>2.2124999999999999</v>
      </c>
      <c r="M28" s="20">
        <f t="shared" si="3"/>
        <v>1.9450000000000001</v>
      </c>
      <c r="N28" s="20">
        <f t="shared" si="3"/>
        <v>2.145</v>
      </c>
      <c r="P28" s="8">
        <v>3.6</v>
      </c>
      <c r="Q28" s="8">
        <v>3.68</v>
      </c>
      <c r="R28" s="8">
        <v>3.3</v>
      </c>
      <c r="S28" s="8">
        <v>3.85</v>
      </c>
      <c r="U28" s="30">
        <v>3.05</v>
      </c>
      <c r="V28" s="30">
        <v>2.79</v>
      </c>
      <c r="W28" s="30">
        <v>3</v>
      </c>
      <c r="X28" s="30">
        <v>2.85</v>
      </c>
    </row>
    <row r="29" spans="1:24" x14ac:dyDescent="0.3">
      <c r="A29" s="23" t="s">
        <v>153</v>
      </c>
      <c r="B29" s="24">
        <f>VLOOKUP($B$28,$K$11:$M$14,2)</f>
        <v>0.58333333333333337</v>
      </c>
      <c r="C29" s="24">
        <f>VLOOKUP($C$28,$K$18:$M$19,2)</f>
        <v>0.5</v>
      </c>
      <c r="D29" s="24">
        <f>1/SQRT(2*3.14*K32)*EXP(-((D28-K27)^2/(2*(K32^2))))</f>
        <v>1.5933859979354124E-2</v>
      </c>
      <c r="E29" s="24">
        <f t="shared" ref="D29:G30" si="4">1/SQRT(2*3.14*L32)*EXP(-((E28-L27)^2/(2*(L32^2))))</f>
        <v>0.15252184953114362</v>
      </c>
      <c r="F29" s="24">
        <f t="shared" si="4"/>
        <v>1.1857787223834319E-9</v>
      </c>
      <c r="G29" s="24">
        <f t="shared" si="4"/>
        <v>2.7937757852135578E-9</v>
      </c>
      <c r="H29" s="24">
        <f>B29*C29*D29*E29*F29*G29*L5</f>
        <v>1.4089199220636821E-21</v>
      </c>
      <c r="P29" s="8">
        <v>3.05</v>
      </c>
      <c r="Q29" s="8">
        <v>3.05</v>
      </c>
      <c r="R29" s="8">
        <v>3.3</v>
      </c>
      <c r="S29" s="8">
        <v>3.4</v>
      </c>
      <c r="U29" s="30">
        <v>3.05</v>
      </c>
      <c r="V29" s="30">
        <v>2.95</v>
      </c>
      <c r="W29" s="30">
        <v>3.45</v>
      </c>
      <c r="X29" s="30">
        <v>3.25</v>
      </c>
    </row>
    <row r="30" spans="1:24" x14ac:dyDescent="0.3">
      <c r="A30" s="23" t="s">
        <v>154</v>
      </c>
      <c r="B30" s="24">
        <f>VLOOKUP($B$28,$K$11:$M$14,3)</f>
        <v>0.125</v>
      </c>
      <c r="C30" s="24">
        <f>VLOOKUP($C$28,$K$18:$M$19,3)</f>
        <v>0.5</v>
      </c>
      <c r="D30" s="24">
        <f t="shared" si="4"/>
        <v>1.3069208743856869E-3</v>
      </c>
      <c r="E30" s="24">
        <f t="shared" si="4"/>
        <v>4.9415675045612621E-4</v>
      </c>
      <c r="F30" s="24">
        <f t="shared" si="4"/>
        <v>8.5797534821303464E-2</v>
      </c>
      <c r="G30" s="24">
        <f t="shared" si="4"/>
        <v>1.9456493083014295E-2</v>
      </c>
      <c r="H30" s="24">
        <f>B30*C30*D30*E30*F30*G30*L6</f>
        <v>2.8370683845242985E-11</v>
      </c>
      <c r="J30" s="203" t="s">
        <v>31</v>
      </c>
      <c r="K30" s="203"/>
      <c r="L30" s="203"/>
      <c r="M30" s="203"/>
      <c r="N30" s="203"/>
      <c r="P30" s="8">
        <v>3.3</v>
      </c>
      <c r="Q30" s="8">
        <v>3.42</v>
      </c>
      <c r="R30" s="8">
        <v>3.55</v>
      </c>
      <c r="S30" s="8">
        <v>3.7</v>
      </c>
      <c r="U30" s="31">
        <v>2.38</v>
      </c>
      <c r="V30" s="31">
        <v>1.58</v>
      </c>
      <c r="W30" s="31">
        <v>0</v>
      </c>
      <c r="X30" s="31">
        <v>1.43</v>
      </c>
    </row>
    <row r="31" spans="1:24" x14ac:dyDescent="0.3">
      <c r="J31" s="19" t="s">
        <v>30</v>
      </c>
      <c r="K31" s="16" t="s">
        <v>2</v>
      </c>
      <c r="L31" s="16" t="s">
        <v>3</v>
      </c>
      <c r="M31" s="16" t="s">
        <v>4</v>
      </c>
      <c r="N31" s="16" t="s">
        <v>5</v>
      </c>
      <c r="P31" s="8">
        <v>3.05</v>
      </c>
      <c r="Q31" s="8">
        <v>3.2</v>
      </c>
      <c r="R31" s="8">
        <v>3.2</v>
      </c>
      <c r="S31" s="8">
        <v>3.4</v>
      </c>
      <c r="U31" s="31">
        <v>2.15</v>
      </c>
      <c r="V31" s="31">
        <v>2.02</v>
      </c>
      <c r="W31" s="31">
        <v>2.0299999999999998</v>
      </c>
      <c r="X31" s="31">
        <v>1.83</v>
      </c>
    </row>
    <row r="32" spans="1:24" x14ac:dyDescent="0.3">
      <c r="J32" s="18" t="s">
        <v>7</v>
      </c>
      <c r="K32" s="20">
        <f>_xlfn.STDEV.S(P27:P38)</f>
        <v>0.23845938603434924</v>
      </c>
      <c r="L32" s="20">
        <f t="shared" ref="L32:N32" si="5">_xlfn.STDEV.S(Q27:Q38)</f>
        <v>0.39348096869769267</v>
      </c>
      <c r="M32" s="20">
        <f t="shared" si="5"/>
        <v>0.40309033501414993</v>
      </c>
      <c r="N32" s="20">
        <f t="shared" si="5"/>
        <v>0.28112867753634341</v>
      </c>
      <c r="P32" s="8">
        <v>3.35</v>
      </c>
      <c r="Q32" s="8">
        <v>3</v>
      </c>
      <c r="R32" s="8">
        <v>2.85</v>
      </c>
      <c r="S32" s="8">
        <v>3.1</v>
      </c>
      <c r="U32" s="31">
        <v>3.28</v>
      </c>
      <c r="V32" s="31">
        <v>2.13</v>
      </c>
      <c r="W32" s="31">
        <v>1.68</v>
      </c>
      <c r="X32" s="31">
        <v>2.87</v>
      </c>
    </row>
    <row r="33" spans="1:24" x14ac:dyDescent="0.3">
      <c r="A33" s="197" t="s">
        <v>50</v>
      </c>
      <c r="B33" s="164"/>
      <c r="C33" s="164"/>
      <c r="D33" s="164"/>
      <c r="E33" s="164"/>
      <c r="F33" s="164"/>
      <c r="G33" s="164"/>
      <c r="H33" s="164"/>
      <c r="J33" s="18" t="s">
        <v>9</v>
      </c>
      <c r="K33" s="20">
        <f>_xlfn.STDEV.S(U27:U34)</f>
        <v>0.72800608317709548</v>
      </c>
      <c r="L33" s="20">
        <f t="shared" ref="L33:N33" si="6">_xlfn.STDEV.S(V27:V34)</f>
        <v>0.55086295936466911</v>
      </c>
      <c r="M33" s="20">
        <f t="shared" si="6"/>
        <v>1.13246885797611</v>
      </c>
      <c r="N33" s="20">
        <f t="shared" si="6"/>
        <v>0.86214019410169807</v>
      </c>
      <c r="P33" s="8">
        <v>3.3</v>
      </c>
      <c r="Q33" s="8">
        <v>2.79</v>
      </c>
      <c r="R33" s="8">
        <v>3.45</v>
      </c>
      <c r="S33" s="8">
        <v>3.55</v>
      </c>
      <c r="U33" s="31">
        <v>3.03</v>
      </c>
      <c r="V33" s="31">
        <v>2.71</v>
      </c>
      <c r="W33" s="31">
        <v>2.7</v>
      </c>
      <c r="X33" s="31">
        <v>2.61</v>
      </c>
    </row>
    <row r="34" spans="1:24" x14ac:dyDescent="0.3">
      <c r="A34" s="4" t="s">
        <v>0</v>
      </c>
      <c r="B34" s="4" t="s">
        <v>148</v>
      </c>
      <c r="C34" s="4" t="s">
        <v>1</v>
      </c>
      <c r="D34" s="5" t="s">
        <v>157</v>
      </c>
      <c r="E34" s="5" t="s">
        <v>158</v>
      </c>
      <c r="F34" s="5" t="s">
        <v>159</v>
      </c>
      <c r="G34" s="5" t="s">
        <v>160</v>
      </c>
      <c r="H34" s="5" t="s">
        <v>146</v>
      </c>
      <c r="P34" s="8">
        <v>3.28</v>
      </c>
      <c r="Q34" s="8">
        <v>3.37</v>
      </c>
      <c r="R34" s="8">
        <v>3.54</v>
      </c>
      <c r="S34" s="8">
        <v>3.35</v>
      </c>
      <c r="U34" s="31">
        <v>1.1399999999999999</v>
      </c>
      <c r="V34" s="31">
        <v>1.49</v>
      </c>
      <c r="W34" s="31">
        <v>0.87</v>
      </c>
      <c r="X34" s="31">
        <v>1.47</v>
      </c>
    </row>
    <row r="35" spans="1:24" x14ac:dyDescent="0.3">
      <c r="A35" s="75">
        <v>1</v>
      </c>
      <c r="B35" s="72" t="s">
        <v>21</v>
      </c>
      <c r="C35" s="73" t="s">
        <v>8</v>
      </c>
      <c r="D35" s="73">
        <v>3.05</v>
      </c>
      <c r="E35" s="73">
        <v>1.99</v>
      </c>
      <c r="F35" s="73">
        <v>2.46</v>
      </c>
      <c r="G35" s="73">
        <v>0.94</v>
      </c>
      <c r="H35" s="73" t="s">
        <v>154</v>
      </c>
      <c r="K35" s="9" t="s">
        <v>32</v>
      </c>
      <c r="P35" s="8">
        <v>2.77</v>
      </c>
      <c r="Q35" s="8">
        <v>3.05</v>
      </c>
      <c r="R35" s="8">
        <v>3.08</v>
      </c>
      <c r="S35" s="8">
        <v>3.15</v>
      </c>
    </row>
    <row r="36" spans="1:24" x14ac:dyDescent="0.3">
      <c r="A36" s="75">
        <v>2</v>
      </c>
      <c r="B36" s="72" t="s">
        <v>21</v>
      </c>
      <c r="C36" s="70" t="s">
        <v>6</v>
      </c>
      <c r="D36" s="71">
        <v>3.04</v>
      </c>
      <c r="E36" s="70">
        <v>2.21</v>
      </c>
      <c r="F36" s="70">
        <v>2.12</v>
      </c>
      <c r="G36" s="70">
        <v>2.86</v>
      </c>
      <c r="H36" s="70" t="s">
        <v>153</v>
      </c>
      <c r="K36" s="9" t="s">
        <v>33</v>
      </c>
      <c r="P36" s="8">
        <v>3.28</v>
      </c>
      <c r="Q36" s="8">
        <v>3.37</v>
      </c>
      <c r="R36" s="8">
        <v>3.54</v>
      </c>
      <c r="S36" s="8">
        <v>3.35</v>
      </c>
    </row>
    <row r="37" spans="1:24" x14ac:dyDescent="0.3">
      <c r="A37" s="75">
        <v>3</v>
      </c>
      <c r="B37" s="69" t="s">
        <v>151</v>
      </c>
      <c r="C37" s="70" t="s">
        <v>8</v>
      </c>
      <c r="D37" s="71">
        <v>2.14</v>
      </c>
      <c r="E37" s="70">
        <v>2.15</v>
      </c>
      <c r="F37" s="70">
        <v>2.59</v>
      </c>
      <c r="G37" s="70">
        <v>2.57</v>
      </c>
      <c r="H37" s="70" t="s">
        <v>154</v>
      </c>
      <c r="K37" t="s">
        <v>38</v>
      </c>
      <c r="P37" s="8">
        <v>3.04</v>
      </c>
      <c r="Q37" s="8">
        <v>2.21</v>
      </c>
      <c r="R37" s="8">
        <v>2.12</v>
      </c>
      <c r="S37" s="8">
        <v>2.86</v>
      </c>
    </row>
    <row r="38" spans="1:24" x14ac:dyDescent="0.3">
      <c r="A38" s="75">
        <v>4</v>
      </c>
      <c r="B38" s="72" t="s">
        <v>150</v>
      </c>
      <c r="C38" s="73" t="s">
        <v>6</v>
      </c>
      <c r="D38" s="73">
        <v>3.35</v>
      </c>
      <c r="E38" s="73">
        <v>3</v>
      </c>
      <c r="F38" s="73">
        <v>2.85</v>
      </c>
      <c r="G38" s="73">
        <v>3.1</v>
      </c>
      <c r="H38" s="73" t="s">
        <v>153</v>
      </c>
      <c r="P38" s="8">
        <v>3.13</v>
      </c>
      <c r="Q38" s="8">
        <v>3.26</v>
      </c>
      <c r="R38" s="8">
        <v>3.36</v>
      </c>
      <c r="S38" s="8">
        <v>3.53</v>
      </c>
    </row>
    <row r="39" spans="1:24" x14ac:dyDescent="0.3">
      <c r="A39" s="75">
        <v>5</v>
      </c>
      <c r="B39" s="72" t="s">
        <v>152</v>
      </c>
      <c r="C39" s="70" t="s">
        <v>8</v>
      </c>
      <c r="D39" s="70">
        <v>1.4</v>
      </c>
      <c r="E39" s="70">
        <v>2.39</v>
      </c>
      <c r="F39" s="70">
        <v>2.5099999999999998</v>
      </c>
      <c r="G39" s="70">
        <v>3.56</v>
      </c>
      <c r="H39" s="70" t="s">
        <v>154</v>
      </c>
    </row>
    <row r="40" spans="1:24" x14ac:dyDescent="0.3">
      <c r="A40" s="75">
        <v>6</v>
      </c>
      <c r="B40" s="72" t="s">
        <v>150</v>
      </c>
      <c r="C40" s="73" t="s">
        <v>8</v>
      </c>
      <c r="D40" s="73">
        <v>2.56</v>
      </c>
      <c r="E40" s="73">
        <v>2.5</v>
      </c>
      <c r="F40" s="73">
        <v>0.64</v>
      </c>
      <c r="G40" s="73">
        <v>1.66</v>
      </c>
      <c r="H40" s="73" t="s">
        <v>153</v>
      </c>
    </row>
    <row r="44" spans="1:24" x14ac:dyDescent="0.3">
      <c r="A44" s="22" t="s">
        <v>41</v>
      </c>
      <c r="B44" s="22" t="s">
        <v>39</v>
      </c>
      <c r="C44" s="22" t="s">
        <v>40</v>
      </c>
      <c r="D44" s="22" t="s">
        <v>51</v>
      </c>
      <c r="E44" s="22" t="s">
        <v>52</v>
      </c>
      <c r="K44" s="21" t="s">
        <v>34</v>
      </c>
    </row>
    <row r="45" spans="1:24" x14ac:dyDescent="0.3">
      <c r="A45" s="32">
        <v>1</v>
      </c>
      <c r="B45" s="8" t="str">
        <f t="shared" ref="B45:B47" si="7">H35</f>
        <v>Tidak Lulus</v>
      </c>
      <c r="C45" s="8" t="s">
        <v>154</v>
      </c>
      <c r="D45" s="8">
        <v>5.0097391738936921E-22</v>
      </c>
      <c r="E45" s="8">
        <v>1.4667180700023752E-10</v>
      </c>
      <c r="K45" s="21" t="s">
        <v>35</v>
      </c>
    </row>
    <row r="46" spans="1:24" x14ac:dyDescent="0.3">
      <c r="A46" s="32">
        <v>2</v>
      </c>
      <c r="B46" s="8" t="str">
        <f t="shared" si="7"/>
        <v>Lulus</v>
      </c>
      <c r="C46" s="8" t="s">
        <v>153</v>
      </c>
      <c r="D46" s="8">
        <v>2.9474155249337292E-6</v>
      </c>
      <c r="E46" s="8">
        <v>1.9372758743005536E-10</v>
      </c>
    </row>
    <row r="47" spans="1:24" x14ac:dyDescent="0.3">
      <c r="A47" s="32">
        <v>3</v>
      </c>
      <c r="B47" s="8" t="str">
        <f t="shared" si="7"/>
        <v>Tidak Lulus</v>
      </c>
      <c r="C47" s="8" t="s">
        <v>154</v>
      </c>
      <c r="D47" s="8">
        <v>2.388318146998393E-11</v>
      </c>
      <c r="E47" s="8">
        <v>4.3732352337331654E-11</v>
      </c>
    </row>
    <row r="48" spans="1:24" x14ac:dyDescent="0.3">
      <c r="A48" s="32">
        <v>4</v>
      </c>
      <c r="B48" s="8" t="str">
        <f>H38</f>
        <v>Lulus</v>
      </c>
      <c r="C48" s="8" t="s">
        <v>153</v>
      </c>
      <c r="D48" s="8">
        <v>1.299871468464023E-2</v>
      </c>
      <c r="E48" s="8">
        <v>3.4713676645733157E-8</v>
      </c>
    </row>
    <row r="49" spans="1:8" x14ac:dyDescent="0.3">
      <c r="A49" s="32">
        <v>5</v>
      </c>
      <c r="B49" s="8" t="str">
        <f>H39</f>
        <v>Tidak Lulus</v>
      </c>
      <c r="C49" s="8" t="s">
        <v>154</v>
      </c>
      <c r="D49" s="8">
        <v>3.0316333258846522E-17</v>
      </c>
      <c r="E49" s="8">
        <v>3.1911064330913729E-10</v>
      </c>
    </row>
    <row r="50" spans="1:8" x14ac:dyDescent="0.3">
      <c r="A50" s="32">
        <v>6</v>
      </c>
      <c r="B50" s="8" t="str">
        <f>H40</f>
        <v>Lulus</v>
      </c>
      <c r="C50" s="8" t="s">
        <v>154</v>
      </c>
      <c r="D50" s="8">
        <v>1.4089199220636821E-21</v>
      </c>
      <c r="E50" s="8">
        <v>2.8370683845242985E-11</v>
      </c>
    </row>
    <row r="52" spans="1:8" x14ac:dyDescent="0.3">
      <c r="A52" s="166" t="s">
        <v>42</v>
      </c>
      <c r="B52" s="166"/>
      <c r="C52" s="166"/>
      <c r="F52" s="166" t="s">
        <v>55</v>
      </c>
      <c r="G52" s="166"/>
      <c r="H52" s="166"/>
    </row>
    <row r="53" spans="1:8" x14ac:dyDescent="0.3">
      <c r="A53" s="8"/>
      <c r="B53" s="167" t="s">
        <v>43</v>
      </c>
      <c r="C53" s="167"/>
      <c r="F53" s="33" t="s">
        <v>54</v>
      </c>
      <c r="G53" s="33" t="s">
        <v>46</v>
      </c>
      <c r="H53" s="33" t="s">
        <v>53</v>
      </c>
    </row>
    <row r="54" spans="1:8" x14ac:dyDescent="0.3">
      <c r="A54" s="27" t="s">
        <v>44</v>
      </c>
      <c r="B54" s="28" t="s">
        <v>153</v>
      </c>
      <c r="C54" s="28" t="s">
        <v>154</v>
      </c>
      <c r="F54" s="16" t="s">
        <v>45</v>
      </c>
      <c r="G54" s="8" t="s">
        <v>56</v>
      </c>
      <c r="H54" s="8">
        <f>(B55+C56)/SUM(B55:C56)</f>
        <v>0.83333333333333337</v>
      </c>
    </row>
    <row r="55" spans="1:8" x14ac:dyDescent="0.3">
      <c r="A55" s="28" t="s">
        <v>153</v>
      </c>
      <c r="B55" s="29">
        <f>COUNTIFS($B$45:$B$50,$A55,$C$45:$C$50,$B$54)</f>
        <v>2</v>
      </c>
      <c r="C55" s="29">
        <f>COUNTIFS($B$45:$B$50,$A55,$C$45:$C$50,$C$54)</f>
        <v>1</v>
      </c>
      <c r="F55" s="16" t="s">
        <v>47</v>
      </c>
      <c r="G55" s="8" t="s">
        <v>49</v>
      </c>
      <c r="H55" s="8">
        <f>B55/(B55+C55)</f>
        <v>0.66666666666666663</v>
      </c>
    </row>
    <row r="56" spans="1:8" x14ac:dyDescent="0.3">
      <c r="A56" s="28" t="s">
        <v>154</v>
      </c>
      <c r="B56" s="29">
        <f>COUNTIFS($B$45:$B$50,$A56,$C$45:$C$50,$B$54)</f>
        <v>0</v>
      </c>
      <c r="C56" s="29">
        <f>COUNTIFS($B$45:$B$50,$A56,$C$45:$C$50,$C$54)</f>
        <v>3</v>
      </c>
      <c r="F56" s="16" t="s">
        <v>48</v>
      </c>
      <c r="G56" s="8" t="s">
        <v>251</v>
      </c>
      <c r="H56" s="8">
        <f>B55/(B55+B56)</f>
        <v>1</v>
      </c>
    </row>
    <row r="58" spans="1:8" x14ac:dyDescent="0.3">
      <c r="G58" t="s">
        <v>161</v>
      </c>
    </row>
    <row r="59" spans="1:8" x14ac:dyDescent="0.3">
      <c r="G59" t="s">
        <v>162</v>
      </c>
    </row>
    <row r="60" spans="1:8" x14ac:dyDescent="0.3">
      <c r="G60" t="s">
        <v>163</v>
      </c>
    </row>
    <row r="61" spans="1:8" x14ac:dyDescent="0.3">
      <c r="G61" t="s">
        <v>164</v>
      </c>
    </row>
  </sheetData>
  <autoFilter ref="H1:H45" xr:uid="{6BC1FD34-B235-44A0-BB5C-F4EF91810635}"/>
  <mergeCells count="9">
    <mergeCell ref="K3:L3"/>
    <mergeCell ref="J25:N25"/>
    <mergeCell ref="J30:N30"/>
    <mergeCell ref="P25:S25"/>
    <mergeCell ref="U25:X25"/>
    <mergeCell ref="A33:H33"/>
    <mergeCell ref="A52:C52"/>
    <mergeCell ref="B53:C53"/>
    <mergeCell ref="F52:H52"/>
  </mergeCells>
  <conditionalFormatting sqref="B45:C50">
    <cfRule type="containsText" dxfId="0" priority="1" operator="containsText" text="T">
      <formula>NOT(ISERROR(SEARCH("T",B45)))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C4.5-Diskrit</vt:lpstr>
      <vt:lpstr>C4.5-Info Gain</vt:lpstr>
      <vt:lpstr>Sheet3</vt:lpstr>
      <vt:lpstr>Regresi</vt:lpstr>
      <vt:lpstr>C4.5-gini index</vt:lpstr>
      <vt:lpstr>Multi-Class</vt:lpstr>
      <vt:lpstr>k-nn-Campuran</vt:lpstr>
      <vt:lpstr>k-nn-Numerik</vt:lpstr>
      <vt:lpstr>NBC-Campuran</vt:lpstr>
      <vt:lpstr>NBC-Diskrit</vt:lpstr>
      <vt:lpstr>NBC-Numerik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2020-10-24T19:54:48Z</dcterms:created>
  <dcterms:modified xsi:type="dcterms:W3CDTF">2023-05-03T16:50:33Z</dcterms:modified>
</cp:coreProperties>
</file>