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ang\Downloads\Bootscamp Data Analytics\Module 1\"/>
    </mc:Choice>
  </mc:AlternateContent>
  <xr:revisionPtr revIDLastSave="0" documentId="13_ncr:1_{CEA94056-586F-411E-8917-C772DAA3B32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ickstarters" sheetId="1" r:id="rId1"/>
    <sheet name="Edinburgh Research" sheetId="7" r:id="rId2"/>
    <sheet name="Parent category statistics" sheetId="2" r:id="rId3"/>
    <sheet name="Subcategory Statistics" sheetId="5" r:id="rId4"/>
    <sheet name="Outcomes Based on Launch Date" sheetId="6" r:id="rId5"/>
    <sheet name="Successful US Kickstarters" sheetId="16" r:id="rId6"/>
    <sheet name="Failed US Kickstarters" sheetId="17" r:id="rId7"/>
    <sheet name="Descriptive Statistics" sheetId="11" r:id="rId8"/>
    <sheet name="Theater Outcomes by Launch Date" sheetId="19" r:id="rId9"/>
    <sheet name="Outcomes Based on Goals" sheetId="20" r:id="rId10"/>
  </sheets>
  <definedNames>
    <definedName name="_xlnm._FilterDatabase" localSheetId="0" hidden="1">Kickstarters!$A$1:$U$4115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0" i="20"/>
  <c r="C10" i="20"/>
  <c r="B10" i="20"/>
  <c r="D13" i="20"/>
  <c r="D12" i="20"/>
  <c r="D11" i="20"/>
  <c r="D9" i="20"/>
  <c r="D8" i="20"/>
  <c r="C9" i="20"/>
  <c r="D7" i="20"/>
  <c r="C7" i="20"/>
  <c r="D6" i="20"/>
  <c r="C2" i="20"/>
  <c r="D5" i="20"/>
  <c r="D4" i="20"/>
  <c r="D3" i="20"/>
  <c r="D2" i="20"/>
  <c r="C13" i="20"/>
  <c r="C12" i="20"/>
  <c r="C11" i="20"/>
  <c r="C8" i="20"/>
  <c r="B7" i="20"/>
  <c r="C6" i="20"/>
  <c r="C5" i="20"/>
  <c r="B12" i="20"/>
  <c r="B11" i="20"/>
  <c r="B9" i="20"/>
  <c r="E9" i="20" s="1"/>
  <c r="B8" i="20"/>
  <c r="B6" i="20"/>
  <c r="B5" i="20"/>
  <c r="C4" i="20"/>
  <c r="C3" i="20"/>
  <c r="B3" i="20"/>
  <c r="E3" i="20" s="1"/>
  <c r="B2" i="20"/>
  <c r="B13" i="20"/>
  <c r="B4" i="20"/>
  <c r="C14" i="11"/>
  <c r="C13" i="11"/>
  <c r="B14" i="11"/>
  <c r="B13" i="11"/>
  <c r="C12" i="11"/>
  <c r="C11" i="11"/>
  <c r="B12" i="11"/>
  <c r="B11" i="11"/>
  <c r="C7" i="11"/>
  <c r="C6" i="11"/>
  <c r="B5" i="11"/>
  <c r="B7" i="11" s="1"/>
  <c r="C5" i="11"/>
  <c r="C4" i="11"/>
  <c r="B6" i="11"/>
  <c r="B4" i="11"/>
  <c r="C10" i="11"/>
  <c r="C9" i="11"/>
  <c r="B10" i="11"/>
  <c r="B9" i="11"/>
  <c r="C3" i="11"/>
  <c r="C2" i="11"/>
  <c r="B3" i="11"/>
  <c r="B2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G17" i="6"/>
  <c r="G16" i="6"/>
  <c r="G15" i="6"/>
  <c r="G14" i="6"/>
  <c r="G13" i="6"/>
  <c r="G12" i="6"/>
  <c r="G11" i="6"/>
  <c r="G10" i="6"/>
  <c r="G9" i="6"/>
  <c r="G8" i="6"/>
  <c r="G7" i="6"/>
  <c r="G6" i="6"/>
  <c r="E5" i="20" l="1"/>
  <c r="E7" i="20"/>
  <c r="E8" i="20"/>
  <c r="E11" i="20"/>
  <c r="H11" i="20" s="1"/>
  <c r="E12" i="20"/>
  <c r="E4" i="20"/>
  <c r="G7" i="20"/>
  <c r="H7" i="20"/>
  <c r="E13" i="20"/>
  <c r="G13" i="20" s="1"/>
  <c r="G12" i="20"/>
  <c r="E10" i="20"/>
  <c r="F10" i="20" s="1"/>
  <c r="G4" i="20"/>
  <c r="H4" i="20"/>
  <c r="H5" i="20"/>
  <c r="E6" i="20"/>
  <c r="F6" i="20" s="1"/>
  <c r="G5" i="20"/>
  <c r="H9" i="20"/>
  <c r="G3" i="20"/>
  <c r="G9" i="20"/>
  <c r="H8" i="20"/>
  <c r="G8" i="20"/>
  <c r="H12" i="20"/>
  <c r="H3" i="20"/>
  <c r="G11" i="20"/>
  <c r="H13" i="20"/>
  <c r="F13" i="20"/>
  <c r="F12" i="20"/>
  <c r="F11" i="20"/>
  <c r="F9" i="20"/>
  <c r="E2" i="20"/>
  <c r="G2" i="20" s="1"/>
  <c r="F8" i="20"/>
  <c r="F7" i="20"/>
  <c r="F5" i="20"/>
  <c r="F4" i="20"/>
  <c r="F3" i="20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6" i="20" l="1"/>
  <c r="H6" i="20"/>
  <c r="H10" i="20"/>
  <c r="G10" i="20"/>
  <c r="H2" i="20"/>
  <c r="F2" i="20"/>
</calcChain>
</file>

<file path=xl/sharedStrings.xml><?xml version="1.0" encoding="utf-8"?>
<sst xmlns="http://schemas.openxmlformats.org/spreadsheetml/2006/main" count="38403" uniqueCount="8420">
  <si>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</si>
  <si>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</si>
  <si>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</si>
  <si>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</si>
  <si>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</si>
  <si>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</si>
  <si>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</si>
  <si>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</si>
  <si>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</si>
  <si>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</si>
  <si>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</si>
  <si>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</si>
  <si>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</si>
  <si>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</si>
  <si>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</si>
  <si>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</si>
  <si>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</si>
  <si>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</si>
  <si>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</si>
  <si>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</si>
  <si>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</si>
  <si>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</si>
  <si>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</si>
  <si>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</si>
  <si>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</si>
  <si>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</si>
  <si>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</si>
  <si>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</si>
  <si>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</si>
  <si>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</si>
  <si>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</si>
  <si>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</si>
  <si>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</si>
  <si>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</si>
  <si>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</si>
  <si>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</si>
  <si>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</si>
  <si>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</si>
  <si>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</si>
  <si>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</si>
  <si>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</si>
  <si>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</si>
  <si>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</si>
  <si>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</si>
  <si>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</si>
  <si>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</si>
  <si>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</si>
  <si>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</si>
  <si>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</si>
  <si>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</si>
  <si>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</si>
  <si>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</si>
  <si>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</si>
  <si>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</si>
  <si>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</si>
  <si>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</si>
  <si>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</si>
  <si>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</si>
  <si>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</si>
  <si>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</si>
  <si>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</si>
  <si>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</si>
  <si>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</si>
  <si>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</si>
  <si>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</si>
  <si>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</si>
  <si>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</si>
  <si>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</si>
  <si>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</si>
  <si>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</si>
  <si>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</si>
  <si>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</si>
  <si>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</si>
  <si>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</si>
  <si>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</si>
  <si>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</si>
  <si>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</si>
  <si>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</si>
  <si>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</si>
  <si>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</si>
  <si>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</si>
  <si>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</si>
  <si>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</si>
  <si>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</si>
  <si>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</si>
  <si>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</si>
  <si>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</si>
  <si>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</si>
  <si>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</si>
  <si>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</si>
  <si>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</si>
  <si>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</si>
  <si>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</si>
  <si>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</si>
  <si>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</si>
  <si>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</si>
  <si>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</si>
  <si>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</si>
  <si>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</si>
  <si>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</si>
  <si>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</si>
  <si>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</si>
  <si>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</si>
  <si>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</si>
  <si>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</si>
  <si>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</si>
  <si>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</si>
  <si>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</si>
  <si>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</si>
  <si>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</si>
  <si>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</si>
  <si>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</si>
  <si>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</si>
  <si>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</si>
  <si>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</si>
  <si>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</si>
  <si>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</si>
  <si>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</si>
  <si>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</si>
  <si>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</si>
  <si>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</si>
  <si>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</si>
  <si>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</si>
  <si>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</si>
  <si>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</si>
  <si>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</si>
  <si>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</si>
  <si>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</si>
  <si>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</si>
  <si>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</si>
  <si>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</si>
  <si>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</si>
  <si>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</si>
  <si>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</si>
  <si>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</si>
  <si>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</si>
  <si>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</si>
  <si>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</si>
  <si>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</si>
  <si>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</si>
  <si>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</si>
  <si>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</si>
  <si>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</si>
  <si>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</si>
  <si>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</si>
  <si>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</si>
  <si>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</si>
  <si>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</si>
  <si>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</si>
  <si>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</si>
  <si>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</si>
  <si>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</si>
  <si>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</si>
  <si>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</si>
  <si>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</si>
  <si>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</si>
  <si>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</si>
  <si>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</si>
  <si>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</si>
  <si>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</si>
  <si>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</si>
  <si>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</si>
  <si>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</si>
  <si>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</si>
  <si>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</si>
  <si>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</si>
  <si>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</si>
  <si>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</si>
  <si>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</si>
  <si>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</si>
  <si>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</si>
  <si>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</si>
  <si>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</si>
  <si>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</si>
  <si>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</si>
  <si>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</si>
  <si>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</si>
  <si>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</si>
  <si>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</si>
  <si>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</si>
  <si>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</si>
  <si>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</si>
  <si>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</si>
  <si>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</si>
  <si>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</si>
  <si>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</si>
  <si>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</si>
  <si>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</si>
  <si>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</si>
  <si>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</si>
  <si>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</si>
  <si>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</si>
  <si>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</si>
  <si>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</si>
  <si>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</si>
  <si>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</si>
  <si>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</si>
  <si>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</si>
  <si>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</si>
  <si>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</si>
  <si>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</si>
  <si>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</si>
  <si>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</si>
  <si>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</si>
  <si>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</si>
  <si>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</si>
  <si>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</si>
  <si>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</si>
  <si>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</si>
  <si>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</si>
  <si>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</si>
  <si>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</si>
  <si>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</si>
  <si>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</si>
  <si>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</si>
  <si>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</si>
  <si>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</si>
  <si>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</si>
  <si>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</si>
  <si>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</si>
  <si>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</si>
  <si>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</si>
  <si>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</si>
  <si>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</si>
  <si>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</si>
  <si>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</si>
  <si>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</si>
  <si>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</si>
  <si>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</si>
  <si>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</si>
  <si>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</si>
  <si>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</si>
  <si>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</si>
  <si>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</si>
  <si>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</si>
  <si>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</si>
  <si>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</si>
  <si>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</si>
  <si>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</si>
  <si>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</si>
  <si>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</si>
  <si>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</si>
  <si>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</si>
  <si>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</si>
  <si>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</si>
  <si>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</si>
  <si>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</si>
  <si>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</si>
  <si>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</si>
  <si>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</si>
  <si>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</si>
  <si>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</si>
  <si>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</si>
  <si>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</si>
  <si>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</si>
  <si>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</si>
  <si>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</si>
  <si>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</si>
  <si>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</si>
  <si>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</si>
  <si>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</si>
  <si>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</si>
  <si>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</si>
  <si>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</si>
  <si>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</si>
  <si>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</si>
  <si>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</si>
  <si>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</si>
  <si>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</si>
  <si>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</si>
  <si>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</si>
  <si>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</si>
  <si>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</si>
  <si>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</si>
  <si>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</si>
  <si>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</si>
  <si>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</si>
  <si>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</si>
  <si>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</si>
  <si>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</si>
  <si>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</si>
  <si>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</si>
  <si>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</si>
  <si>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</si>
  <si>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</si>
  <si>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</si>
  <si>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</si>
  <si>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</si>
  <si>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</si>
  <si>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</si>
  <si>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</si>
  <si>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</si>
  <si>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</si>
  <si>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</si>
  <si>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</si>
  <si>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</si>
  <si>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</si>
  <si>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</si>
  <si>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</si>
  <si>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</si>
  <si>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</si>
  <si>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</si>
  <si>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</si>
  <si>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</si>
  <si>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</si>
  <si>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</si>
  <si>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</si>
  <si>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</si>
  <si>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</si>
  <si>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</si>
  <si>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</si>
  <si>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</si>
  <si>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</si>
  <si>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</si>
  <si>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</si>
  <si>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</si>
  <si>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</si>
  <si>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</si>
  <si>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</si>
  <si>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</si>
  <si>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</si>
  <si>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</si>
  <si>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</si>
  <si>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</si>
  <si>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</si>
  <si>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</si>
  <si>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</si>
  <si>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</si>
  <si>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</si>
  <si>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</si>
  <si>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</si>
  <si>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</si>
  <si>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</si>
  <si>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</si>
  <si>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</si>
  <si>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</si>
  <si>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</si>
  <si>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</si>
  <si>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</si>
  <si>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</si>
  <si>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</si>
  <si>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</si>
  <si>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</si>
  <si>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</si>
  <si>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</si>
  <si>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</si>
  <si>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</si>
  <si>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</si>
  <si>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</si>
  <si>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</si>
  <si>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</si>
  <si>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</si>
  <si>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</si>
  <si>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</si>
  <si>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</si>
  <si>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</si>
  <si>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</si>
  <si>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</si>
  <si>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</si>
  <si>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</si>
  <si>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</si>
  <si>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</si>
  <si>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</si>
  <si>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</si>
  <si>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</si>
  <si>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</si>
  <si>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</si>
  <si>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</si>
  <si>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</si>
  <si>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</si>
  <si>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</si>
  <si>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</si>
  <si>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</si>
  <si>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</si>
  <si>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</si>
  <si>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</si>
  <si>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</si>
  <si>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</si>
  <si>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</si>
  <si>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</si>
  <si>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</si>
  <si>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</si>
  <si>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</si>
  <si>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</si>
  <si>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</si>
  <si>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</si>
  <si>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</si>
  <si>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</si>
  <si>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</si>
  <si>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</si>
  <si>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</si>
  <si>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</si>
  <si>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</si>
  <si>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</si>
  <si>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</si>
  <si>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</si>
  <si>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</si>
  <si>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</si>
  <si>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</si>
  <si>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</si>
  <si>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</si>
  <si>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</si>
  <si>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</si>
  <si>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</si>
  <si>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</si>
  <si>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</si>
  <si>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</si>
  <si>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</si>
  <si>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</si>
  <si>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</si>
  <si>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</si>
  <si>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</si>
  <si>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</si>
  <si>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</si>
  <si>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</si>
  <si>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</si>
  <si>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</si>
  <si>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</si>
  <si>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</si>
  <si>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</si>
  <si>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</si>
  <si>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</si>
  <si>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</si>
  <si>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</si>
  <si>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</si>
  <si>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</si>
  <si>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</si>
  <si>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</si>
  <si>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</si>
  <si>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</si>
  <si>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</si>
  <si>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</si>
  <si>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</si>
  <si>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</si>
  <si>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</si>
  <si>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</si>
  <si>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</si>
  <si>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</si>
  <si>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</si>
  <si>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</si>
  <si>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</si>
  <si>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</si>
  <si>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</si>
  <si>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</si>
  <si>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</si>
  <si>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</si>
  <si>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</si>
  <si>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</si>
  <si>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</si>
  <si>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</si>
  <si>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</si>
  <si>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</si>
  <si>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</si>
  <si>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</si>
  <si>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</si>
  <si>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</si>
  <si>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</si>
  <si>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</si>
  <si>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</si>
  <si>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</si>
  <si>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</si>
  <si>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</si>
  <si>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</si>
  <si>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</si>
  <si>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</si>
  <si>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</si>
  <si>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</si>
  <si>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</si>
  <si>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</si>
  <si>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</si>
  <si>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</si>
  <si>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</si>
  <si>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</si>
  <si>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</si>
  <si>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</si>
  <si>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</si>
  <si>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</si>
  <si>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</si>
  <si>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</si>
  <si>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</si>
  <si>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</si>
  <si>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</si>
  <si>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</si>
  <si>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</si>
  <si>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</si>
  <si>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</si>
  <si>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</si>
  <si>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</si>
  <si>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</si>
  <si>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</si>
  <si>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</si>
  <si>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</si>
  <si>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</si>
  <si>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</si>
  <si>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</si>
  <si>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</si>
  <si>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</si>
  <si>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</si>
  <si>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</si>
  <si>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</si>
  <si>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</si>
  <si>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</si>
  <si>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</si>
  <si>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</si>
  <si>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</si>
  <si>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</si>
  <si>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</si>
  <si>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</si>
  <si>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</si>
  <si>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</si>
  <si>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</si>
  <si>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</si>
  <si>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</si>
  <si>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</si>
  <si>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</si>
  <si>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</si>
  <si>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</si>
  <si>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</si>
  <si>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</si>
  <si>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</si>
  <si>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</si>
  <si>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</si>
  <si>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</si>
  <si>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</si>
  <si>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</si>
  <si>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</si>
  <si>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</si>
  <si>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</si>
  <si>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</si>
  <si>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</si>
  <si>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</si>
  <si>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</si>
  <si>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</si>
  <si>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</si>
  <si>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</si>
  <si>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</si>
  <si>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</si>
  <si>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</si>
  <si>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</si>
  <si>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</si>
  <si>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</si>
  <si>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</si>
  <si>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</si>
  <si>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</si>
  <si>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</si>
  <si>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</si>
  <si>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</si>
  <si>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</si>
  <si>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</si>
  <si>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</si>
  <si>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</si>
  <si>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</si>
  <si>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</si>
  <si>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</si>
  <si>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</si>
  <si>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</si>
  <si>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</si>
  <si>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</si>
  <si>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</si>
  <si>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</si>
  <si>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</si>
  <si>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</si>
  <si>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</si>
  <si>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</si>
  <si>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</si>
  <si>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</si>
  <si>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</si>
  <si>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</si>
  <si>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</si>
  <si>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</si>
  <si>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</si>
  <si>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</si>
  <si>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</si>
  <si>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</si>
  <si>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</si>
  <si>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</si>
  <si>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</si>
  <si>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</si>
  <si>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</si>
  <si>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</si>
  <si>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</si>
  <si>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</si>
  <si>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</si>
  <si>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</si>
  <si>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</si>
  <si>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</si>
  <si>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</si>
  <si>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</si>
  <si>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</si>
  <si>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</si>
  <si>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</si>
  <si>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</si>
  <si>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</si>
  <si>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</si>
  <si>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</si>
  <si>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</si>
  <si>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</si>
  <si>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</si>
  <si>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</si>
  <si>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</si>
  <si>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</si>
  <si>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</si>
  <si>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</si>
  <si>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</si>
  <si>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</si>
  <si>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</si>
  <si>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</si>
  <si>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</si>
  <si>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</si>
  <si>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</si>
  <si>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</si>
  <si>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</si>
  <si>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</si>
  <si>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</si>
  <si>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</si>
  <si>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</si>
  <si>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</si>
  <si>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</si>
  <si>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</si>
  <si>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</si>
  <si>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</si>
  <si>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</si>
  <si>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</si>
  <si>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</si>
  <si>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</si>
  <si>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</si>
  <si>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</si>
  <si>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</si>
  <si>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</si>
  <si>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</si>
  <si>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</si>
  <si>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</si>
  <si>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</si>
  <si>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</si>
  <si>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</si>
  <si>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</si>
  <si>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</si>
  <si>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</si>
  <si>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</si>
  <si>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</si>
  <si>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</si>
  <si>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</si>
  <si>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</si>
  <si>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</si>
  <si>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</si>
  <si>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</si>
  <si>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</si>
  <si>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</si>
  <si>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</si>
  <si>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</si>
  <si>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</si>
  <si>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</si>
  <si>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</si>
  <si>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</si>
  <si>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</si>
  <si>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</si>
  <si>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</si>
  <si>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</si>
  <si>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</si>
  <si>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</si>
  <si>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</si>
  <si>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</si>
  <si>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</si>
  <si>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</si>
  <si>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</si>
  <si>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</si>
  <si>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</si>
  <si>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</si>
  <si>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</si>
  <si>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</si>
  <si>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</si>
  <si>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</si>
  <si>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</si>
  <si>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</si>
  <si>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</si>
  <si>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</si>
  <si>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</si>
  <si>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</si>
  <si>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</si>
  <si>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</si>
  <si>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</si>
  <si>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</si>
  <si>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</si>
  <si>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</si>
  <si>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</si>
  <si>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</si>
  <si>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</si>
  <si>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</si>
  <si>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</si>
  <si>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</si>
  <si>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</si>
  <si>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</si>
  <si>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</si>
  <si>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</si>
  <si>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</si>
  <si>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</si>
  <si>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</si>
  <si>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</si>
  <si>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</si>
  <si>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</si>
  <si>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</si>
  <si>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</si>
  <si>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</si>
  <si>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</si>
  <si>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</si>
  <si>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</si>
  <si>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</si>
  <si>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</si>
  <si>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</si>
  <si>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</si>
  <si>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</si>
  <si>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</si>
  <si>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</si>
  <si>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</si>
  <si>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</si>
  <si>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</si>
  <si>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</si>
  <si>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</si>
  <si>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</si>
  <si>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</si>
  <si>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</si>
  <si>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</si>
  <si>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</si>
  <si>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</si>
  <si>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</si>
  <si>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</si>
  <si>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</si>
  <si>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</si>
  <si>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</si>
  <si>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</si>
  <si>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</si>
  <si>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</si>
  <si>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</si>
  <si>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</si>
  <si>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</si>
  <si>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</si>
  <si>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</si>
  <si>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</si>
  <si>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</si>
  <si>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</si>
  <si>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</si>
  <si>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</si>
  <si>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</si>
  <si>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</si>
  <si>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</si>
  <si>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</si>
  <si>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</si>
  <si>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</si>
  <si>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</si>
  <si>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</si>
  <si>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</si>
  <si>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</si>
  <si>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</si>
  <si>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</si>
  <si>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</si>
  <si>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</si>
  <si>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</si>
  <si>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</si>
  <si>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</si>
  <si>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</si>
  <si>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</si>
  <si>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</si>
  <si>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</si>
  <si>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</si>
  <si>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</si>
  <si>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</si>
  <si>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</si>
  <si>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</si>
  <si>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</si>
  <si>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</si>
  <si>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</si>
  <si>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</si>
  <si>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</si>
  <si>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</si>
  <si>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</si>
  <si>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</si>
  <si>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</si>
  <si>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</si>
  <si>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</si>
  <si>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</si>
  <si>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</si>
  <si>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</si>
  <si>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</si>
  <si>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</si>
  <si>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</si>
  <si>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</si>
  <si>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</si>
  <si>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</si>
  <si>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</si>
  <si>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</si>
  <si>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</si>
  <si>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</si>
  <si>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</si>
  <si>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</si>
  <si>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</si>
  <si>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</si>
  <si>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</si>
  <si>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</si>
  <si>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</si>
  <si>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</si>
  <si>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</si>
  <si>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</si>
  <si>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</si>
  <si>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</si>
  <si>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</si>
  <si>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</si>
  <si>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</si>
  <si>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</si>
  <si>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</si>
  <si>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</si>
  <si>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</si>
  <si>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</si>
  <si>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</si>
  <si>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</si>
  <si>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</si>
  <si>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</si>
  <si>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</si>
  <si>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</si>
  <si>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</si>
  <si>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</si>
  <si>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</si>
  <si>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</si>
  <si>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</si>
  <si>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</si>
  <si>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</si>
  <si>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</si>
  <si>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</si>
  <si>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</si>
  <si>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</si>
  <si>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</si>
  <si>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</si>
  <si>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</si>
  <si>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</si>
  <si>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</si>
  <si>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</si>
  <si>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</si>
  <si>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</si>
  <si>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</si>
  <si>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</si>
  <si>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</si>
  <si>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</si>
  <si>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</si>
  <si>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</si>
  <si>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</si>
  <si>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</si>
  <si>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</si>
  <si>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</si>
  <si>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</si>
  <si>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</si>
  <si>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</si>
  <si>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</si>
  <si>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</si>
  <si>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</si>
  <si>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</si>
  <si>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</si>
  <si>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</si>
  <si>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</si>
  <si>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</si>
  <si>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</si>
  <si>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</si>
  <si>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</si>
  <si>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</si>
  <si>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</si>
  <si>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</si>
  <si>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</si>
  <si>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</si>
  <si>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</si>
  <si>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</si>
  <si>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</si>
  <si>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</si>
  <si>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</si>
  <si>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</si>
  <si>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</si>
  <si>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</si>
  <si>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</si>
  <si>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</si>
  <si>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</si>
  <si>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</si>
  <si>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</si>
  <si>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</si>
  <si>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</si>
  <si>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</si>
  <si>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</si>
  <si>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</si>
  <si>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</si>
  <si>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</si>
  <si>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</si>
  <si>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</si>
  <si>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</si>
  <si>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</si>
  <si>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</si>
  <si>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</si>
  <si>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</si>
  <si>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</si>
  <si>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</si>
  <si>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</si>
  <si>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</si>
  <si>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</si>
  <si>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</si>
  <si>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</si>
  <si>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</si>
  <si>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</si>
  <si>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</si>
  <si>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</si>
  <si>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</si>
  <si>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</si>
  <si>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</si>
  <si>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</si>
  <si>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</si>
  <si>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</si>
  <si>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</si>
  <si>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</si>
  <si>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</si>
  <si>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</si>
  <si>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</si>
  <si>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</si>
  <si>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</si>
  <si>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</si>
  <si>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</si>
  <si>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</si>
  <si>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</si>
  <si>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</si>
  <si>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</si>
  <si>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</si>
  <si>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</si>
  <si>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</si>
  <si>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</si>
  <si>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</si>
  <si>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</si>
  <si>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</si>
  <si>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</si>
  <si>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</si>
  <si>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</si>
  <si>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</si>
  <si>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</si>
  <si>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</si>
  <si>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</si>
  <si>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</si>
  <si>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</si>
  <si>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</si>
  <si>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</si>
  <si>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</si>
  <si>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</si>
  <si>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</si>
  <si>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</si>
  <si>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</si>
  <si>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</si>
  <si>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</si>
  <si>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</si>
  <si>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</si>
  <si>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</si>
  <si>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</si>
  <si>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</si>
  <si>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</si>
  <si>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</si>
  <si>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</si>
  <si>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</si>
  <si>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</si>
  <si>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</si>
  <si>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</si>
  <si>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</si>
  <si>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</si>
  <si>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</si>
  <si>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</si>
  <si>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</si>
  <si>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</si>
  <si>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</si>
  <si>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</si>
  <si>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</si>
  <si>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</si>
  <si>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</si>
  <si>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</si>
  <si>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</si>
  <si>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</si>
  <si>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</si>
  <si>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</si>
  <si>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</si>
  <si>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</si>
  <si>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</si>
  <si>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</si>
  <si>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</si>
  <si>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</si>
  <si>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</si>
  <si>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</si>
  <si>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</si>
  <si>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</si>
  <si>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</si>
  <si>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</si>
  <si>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</si>
  <si>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</si>
  <si>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</si>
  <si>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</si>
  <si>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</si>
  <si>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</si>
  <si>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</si>
  <si>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</si>
  <si>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</si>
  <si>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</si>
  <si>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</si>
  <si>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</si>
  <si>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</si>
  <si>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</si>
  <si>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</si>
  <si>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</si>
  <si>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</si>
  <si>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</si>
  <si>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</si>
  <si>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</si>
  <si>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</si>
  <si>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</si>
  <si>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</si>
  <si>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</si>
  <si>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</si>
  <si>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</si>
  <si>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</si>
  <si>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</si>
  <si>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</si>
  <si>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</si>
  <si>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</si>
  <si>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</si>
  <si>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</si>
  <si>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</si>
  <si>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</si>
  <si>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</si>
  <si>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</si>
  <si>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</si>
  <si>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</si>
  <si>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</si>
  <si>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</si>
  <si>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</si>
  <si>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</si>
  <si>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</si>
  <si>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</si>
  <si>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</si>
  <si>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</si>
  <si>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</si>
  <si>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</si>
  <si>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</si>
  <si>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</si>
  <si>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</si>
  <si>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</si>
  <si>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</si>
  <si>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</si>
  <si>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</si>
  <si>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</si>
  <si>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</si>
  <si>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</si>
  <si>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</si>
  <si>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</si>
  <si>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</si>
  <si>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</si>
  <si>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</si>
  <si>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</si>
  <si>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</si>
  <si>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</si>
  <si>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</si>
  <si>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</si>
  <si>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</si>
  <si>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</si>
  <si>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</si>
  <si>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</si>
  <si>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</si>
  <si>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</si>
  <si>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</si>
  <si>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</si>
  <si>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</si>
  <si>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</si>
  <si>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</si>
  <si>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</si>
  <si>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</si>
  <si>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</si>
  <si>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</si>
  <si>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</si>
  <si>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</si>
  <si>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</si>
  <si>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</si>
  <si>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</si>
  <si>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</si>
  <si>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</si>
  <si>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</si>
  <si>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</si>
  <si>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</si>
  <si>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</si>
  <si>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</si>
  <si>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</si>
  <si>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</si>
  <si>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</si>
  <si>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</si>
  <si>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</si>
  <si>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</si>
  <si>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</si>
  <si>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</si>
  <si>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</si>
  <si>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</si>
  <si>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</si>
  <si>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</si>
  <si>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</si>
  <si>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</si>
  <si>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</si>
  <si>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</si>
  <si>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</si>
  <si>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</si>
  <si>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</si>
  <si>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</si>
  <si>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</si>
  <si>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</si>
  <si>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</si>
  <si>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</si>
  <si>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</si>
  <si>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</si>
  <si>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</si>
  <si>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</si>
  <si>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</si>
  <si>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</si>
  <si>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</si>
  <si>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</si>
  <si>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</si>
  <si>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</si>
  <si>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</si>
  <si>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</si>
  <si>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</si>
  <si>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</si>
  <si>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</si>
  <si>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</si>
  <si>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</si>
  <si>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</si>
  <si>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</si>
  <si>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</si>
  <si>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</si>
  <si>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</si>
  <si>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</si>
  <si>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</si>
  <si>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</si>
  <si>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</si>
  <si>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</si>
  <si>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</si>
  <si>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</si>
  <si>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</si>
  <si>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</si>
  <si>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</si>
  <si>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</si>
  <si>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</si>
  <si>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</si>
  <si>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</si>
  <si>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</si>
  <si>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</si>
  <si>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</si>
  <si>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</si>
  <si>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</si>
  <si>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</si>
  <si>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</si>
  <si>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</si>
  <si>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</si>
  <si>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</si>
  <si>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</si>
  <si>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</si>
  <si>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</si>
  <si>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</si>
  <si>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</si>
  <si>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</si>
  <si>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</si>
  <si>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</si>
  <si>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</si>
  <si>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</si>
  <si>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</si>
  <si>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</si>
  <si>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</si>
  <si>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</si>
  <si>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</si>
  <si>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</si>
  <si>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</si>
  <si>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</si>
  <si>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</si>
  <si>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</si>
  <si>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</si>
  <si>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</si>
  <si>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</si>
  <si>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</si>
  <si>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</si>
  <si>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</si>
  <si>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</si>
  <si>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</si>
  <si>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</si>
  <si>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</si>
  <si>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</si>
  <si>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</si>
  <si>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</si>
  <si>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</si>
  <si>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</si>
  <si>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</si>
  <si>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</si>
  <si>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</si>
  <si>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</si>
  <si>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</si>
  <si>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</si>
  <si>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</si>
  <si>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</si>
  <si>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</si>
  <si>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</si>
  <si>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</si>
  <si>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</si>
  <si>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</si>
  <si>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</si>
  <si>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</si>
  <si>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</si>
  <si>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</si>
  <si>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</si>
  <si>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</si>
  <si>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</si>
  <si>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</si>
  <si>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</si>
  <si>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</si>
  <si>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</si>
  <si>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</si>
  <si>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</si>
  <si>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</si>
  <si>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</si>
  <si>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</si>
  <si>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</si>
  <si>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</si>
  <si>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</si>
  <si>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</si>
  <si>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</si>
  <si>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</si>
  <si>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</si>
  <si>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</si>
  <si>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</si>
  <si>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</si>
  <si>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</si>
  <si>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</si>
  <si>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</si>
  <si>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</si>
  <si>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</si>
  <si>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</si>
  <si>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</si>
  <si>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</si>
  <si>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</si>
  <si>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</si>
  <si>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</si>
  <si>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</si>
  <si>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</si>
  <si>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</si>
  <si>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</si>
  <si>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</si>
  <si>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</si>
  <si>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</si>
  <si>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</si>
  <si>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</si>
  <si>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</si>
  <si>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</si>
  <si>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</si>
  <si>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</si>
  <si>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</si>
  <si>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</si>
  <si>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</si>
  <si>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</si>
  <si>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</si>
  <si>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</si>
  <si>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</si>
  <si>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</si>
  <si>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</si>
  <si>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</si>
  <si>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</si>
  <si>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</si>
  <si>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</si>
  <si>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</si>
  <si>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</si>
  <si>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</si>
  <si>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</si>
  <si>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</si>
  <si>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</si>
  <si>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</si>
  <si>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</si>
  <si>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</si>
  <si>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</si>
  <si>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</si>
  <si>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</si>
  <si>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</si>
  <si>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</si>
  <si>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</si>
  <si>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</si>
  <si>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</si>
  <si>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</si>
  <si>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</si>
  <si>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</si>
  <si>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</si>
  <si>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</si>
  <si>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</si>
  <si>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</si>
  <si>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</si>
  <si>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</si>
  <si>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</si>
  <si>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</si>
  <si>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</si>
  <si>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</si>
  <si>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</si>
  <si>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</si>
  <si>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</si>
  <si>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</si>
  <si>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</si>
  <si>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</si>
  <si>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</si>
  <si>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</si>
  <si>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</si>
  <si>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</si>
  <si>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</si>
  <si>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</si>
  <si>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</si>
  <si>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</si>
  <si>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</si>
  <si>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</si>
  <si>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</si>
  <si>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</si>
  <si>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</si>
  <si>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</si>
  <si>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</si>
  <si>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</si>
  <si>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</si>
  <si>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</si>
  <si>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</si>
  <si>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</si>
  <si>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</si>
  <si>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</si>
  <si>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</si>
  <si>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</si>
  <si>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</si>
  <si>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</si>
  <si>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</si>
  <si>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</si>
  <si>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</si>
  <si>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</si>
  <si>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</si>
  <si>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</si>
  <si>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</si>
  <si>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</si>
  <si>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</si>
  <si>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</si>
  <si>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</si>
  <si>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</si>
  <si>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</si>
  <si>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</si>
  <si>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</si>
  <si>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</si>
  <si>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</si>
  <si>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</si>
  <si>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</si>
  <si>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</si>
  <si>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</si>
  <si>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</si>
  <si>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</si>
  <si>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</si>
  <si>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</si>
  <si>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</si>
  <si>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</si>
  <si>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</si>
  <si>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</si>
  <si>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</si>
  <si>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</si>
  <si>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</si>
  <si>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</si>
  <si>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</si>
  <si>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</si>
  <si>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</si>
  <si>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</si>
  <si>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</si>
  <si>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</si>
  <si>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</si>
  <si>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</si>
  <si>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</si>
  <si>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</si>
  <si>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</si>
  <si>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</si>
  <si>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</si>
  <si>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</si>
  <si>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</si>
  <si>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</si>
  <si>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</si>
  <si>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</si>
  <si>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</si>
  <si>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</si>
  <si>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</si>
  <si>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</si>
  <si>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</si>
  <si>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</si>
  <si>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</si>
  <si>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</si>
  <si>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</si>
  <si>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</si>
  <si>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</si>
  <si>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</si>
  <si>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</si>
  <si>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</si>
  <si>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</si>
  <si>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</si>
  <si>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</si>
  <si>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</si>
  <si>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</si>
  <si>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</si>
  <si>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</si>
  <si>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</si>
  <si>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</si>
  <si>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</si>
  <si>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</si>
  <si>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</si>
  <si>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</si>
  <si>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</si>
  <si>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</si>
  <si>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</si>
  <si>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</si>
  <si>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</si>
  <si>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</si>
  <si>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</si>
  <si>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</si>
  <si>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</si>
  <si>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</si>
  <si>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</si>
  <si>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</si>
  <si>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</si>
  <si>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</si>
  <si>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</si>
  <si>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</si>
  <si>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</si>
  <si>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</si>
  <si>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</si>
  <si>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</si>
  <si>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</si>
  <si>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</si>
  <si>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</si>
  <si>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</si>
  <si>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</si>
  <si>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</si>
  <si>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</si>
  <si>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</si>
  <si>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</si>
  <si>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</si>
  <si>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</si>
  <si>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</si>
  <si>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</si>
  <si>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</si>
  <si>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</si>
  <si>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</si>
  <si>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</si>
  <si>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</si>
  <si>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</si>
  <si>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</si>
  <si>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</si>
  <si>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</si>
  <si>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</si>
  <si>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</si>
  <si>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</si>
  <si>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</si>
  <si>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</si>
  <si>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</si>
  <si>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</si>
  <si>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</si>
  <si>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</si>
  <si>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</si>
  <si>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</si>
  <si>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</si>
  <si>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</si>
  <si>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</si>
  <si>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</si>
  <si>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</si>
  <si>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</si>
  <si>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</si>
  <si>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</si>
  <si>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</si>
  <si>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</si>
  <si>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</si>
  <si>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</si>
  <si>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</si>
  <si>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</si>
  <si>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</si>
  <si>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</si>
  <si>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</si>
  <si>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</si>
  <si>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</si>
  <si>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</si>
  <si>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</si>
  <si>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</si>
  <si>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</si>
  <si>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</si>
  <si>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</si>
  <si>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</si>
  <si>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</si>
  <si>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</si>
  <si>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</si>
  <si>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</si>
  <si>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</si>
  <si>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</si>
  <si>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</si>
  <si>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</si>
  <si>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</si>
  <si>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</si>
  <si>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</si>
  <si>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</si>
  <si>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</si>
  <si>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</si>
  <si>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</si>
  <si>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</si>
  <si>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</si>
  <si>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</si>
  <si>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</si>
  <si>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</si>
  <si>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</si>
  <si>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</si>
  <si>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</si>
  <si>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</si>
  <si>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</si>
  <si>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</si>
  <si>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</si>
  <si>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</si>
  <si>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</si>
  <si>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</si>
  <si>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</si>
  <si>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</si>
  <si>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</si>
  <si>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</si>
  <si>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</si>
  <si>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</si>
  <si>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</si>
  <si>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</si>
  <si>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</si>
  <si>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</si>
  <si>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</si>
  <si>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</si>
  <si>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</si>
  <si>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</si>
  <si>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</si>
  <si>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</si>
  <si>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</si>
  <si>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</si>
  <si>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</si>
  <si>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</si>
  <si>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</si>
  <si>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</si>
  <si>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</si>
  <si>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</si>
  <si>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</si>
  <si>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</si>
  <si>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</si>
  <si>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</si>
  <si>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</si>
  <si>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</si>
  <si>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</si>
  <si>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</si>
  <si>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</si>
  <si>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</si>
  <si>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</si>
  <si>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</si>
  <si>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</si>
  <si>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</si>
  <si>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</si>
  <si>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</si>
  <si>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</si>
  <si>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</si>
  <si>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</si>
  <si>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</si>
  <si>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</si>
  <si>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</si>
  <si>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</si>
  <si>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</si>
  <si>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</si>
  <si>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</si>
  <si>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</si>
  <si>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</si>
  <si>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</si>
  <si>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</si>
  <si>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</si>
  <si>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</si>
  <si>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</si>
  <si>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</si>
  <si>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</si>
  <si>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</si>
  <si>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</si>
  <si>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</si>
  <si>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</si>
  <si>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</si>
  <si>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</si>
  <si>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</si>
  <si>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</si>
  <si>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</si>
  <si>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</si>
  <si>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</si>
  <si>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</si>
  <si>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</si>
  <si>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</si>
  <si>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</si>
  <si>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</si>
  <si>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</si>
  <si>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</si>
  <si>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</si>
  <si>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</si>
  <si>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</si>
  <si>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</si>
  <si>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</si>
  <si>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</si>
  <si>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</si>
  <si>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</si>
  <si>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</si>
  <si>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</si>
  <si>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</si>
  <si>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</si>
  <si>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</si>
  <si>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</si>
  <si>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</si>
  <si>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</si>
  <si>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</si>
  <si>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</si>
  <si>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</si>
  <si>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</si>
  <si>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</si>
  <si>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</si>
  <si>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</si>
  <si>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</si>
  <si>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</si>
  <si>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</si>
  <si>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</si>
  <si>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</si>
  <si>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</si>
  <si>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</si>
  <si>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</si>
  <si>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</si>
  <si>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</si>
  <si>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</si>
  <si>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</si>
  <si>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</si>
  <si>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</si>
  <si>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</si>
  <si>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</si>
  <si>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</si>
  <si>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</si>
  <si>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</si>
  <si>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</si>
  <si>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</si>
  <si>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</si>
  <si>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</si>
  <si>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</si>
  <si>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</si>
  <si>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</si>
  <si>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</si>
  <si>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</si>
  <si>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</si>
  <si>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</si>
  <si>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</si>
  <si>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</si>
  <si>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</si>
  <si>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</si>
  <si>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</si>
  <si>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</si>
  <si>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</si>
  <si>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</si>
  <si>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</si>
  <si>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</si>
  <si>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</si>
  <si>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</si>
  <si>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</si>
  <si>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</si>
  <si>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</si>
  <si>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</si>
  <si>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</si>
  <si>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</si>
  <si>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</si>
  <si>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</si>
  <si>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</si>
  <si>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</si>
  <si>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</si>
  <si>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</si>
  <si>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</si>
  <si>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</si>
  <si>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</si>
  <si>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</si>
  <si>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</si>
  <si>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</si>
  <si>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</si>
  <si>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</si>
  <si>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</si>
  <si>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</si>
  <si>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</si>
  <si>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</si>
  <si>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</si>
  <si>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</si>
  <si>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</si>
  <si>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</si>
  <si>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</si>
  <si>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</si>
  <si>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</si>
  <si>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</si>
  <si>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</si>
  <si>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</si>
  <si>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</si>
  <si>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</si>
  <si>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</si>
  <si>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</si>
  <si>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</si>
  <si>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</si>
  <si>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</si>
  <si>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</si>
  <si>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</si>
  <si>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</si>
  <si>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</si>
  <si>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</si>
  <si>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</si>
  <si>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</si>
  <si>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</si>
  <si>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</si>
  <si>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</si>
  <si>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</si>
  <si>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</si>
  <si>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</si>
  <si>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</si>
  <si>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</si>
  <si>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</si>
  <si>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</si>
  <si>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</si>
  <si>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</si>
  <si>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</si>
  <si>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</si>
  <si>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</si>
  <si>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</si>
  <si>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</si>
  <si>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</si>
  <si>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</si>
  <si>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</si>
  <si>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</si>
  <si>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</si>
  <si>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</si>
  <si>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</si>
  <si>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</si>
  <si>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</si>
  <si>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</si>
  <si>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</si>
  <si>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</si>
  <si>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</si>
  <si>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</si>
  <si>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</si>
  <si>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</si>
  <si>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</si>
  <si>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</si>
  <si>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</si>
  <si>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</si>
  <si>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</si>
  <si>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</si>
  <si>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</si>
  <si>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</si>
  <si>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</si>
  <si>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</si>
  <si>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</si>
  <si>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</si>
  <si>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</si>
  <si>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</si>
  <si>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</si>
  <si>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</si>
  <si>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</si>
  <si>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</si>
  <si>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</si>
  <si>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</si>
  <si>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</si>
  <si>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</si>
  <si>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</si>
  <si>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</si>
  <si>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</si>
  <si>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</si>
  <si>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</si>
  <si>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</si>
  <si>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</si>
  <si>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</si>
  <si>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</si>
  <si>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</si>
  <si>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</si>
  <si>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</si>
  <si>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</si>
  <si>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</si>
  <si>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</si>
  <si>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</si>
  <si>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</si>
  <si>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</si>
  <si>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</si>
  <si>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</si>
  <si>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</si>
  <si>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</si>
  <si>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</si>
  <si>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</si>
  <si>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</si>
  <si>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</si>
  <si>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</si>
  <si>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</si>
  <si>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</si>
  <si>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</si>
  <si>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</si>
  <si>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</si>
  <si>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</si>
  <si>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</si>
  <si>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</si>
  <si>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</si>
  <si>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</si>
  <si>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</si>
  <si>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</si>
  <si>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</si>
  <si>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</si>
  <si>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</si>
  <si>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</si>
  <si>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</si>
  <si>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</si>
  <si>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</si>
  <si>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</si>
  <si>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</si>
  <si>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</si>
  <si>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</si>
  <si>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</si>
  <si>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</si>
  <si>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</si>
  <si>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</si>
  <si>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</si>
  <si>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</si>
  <si>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</si>
  <si>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</si>
  <si>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</si>
  <si>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</si>
  <si>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</si>
  <si>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</si>
  <si>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</si>
  <si>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</si>
  <si>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</si>
  <si>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</si>
  <si>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</si>
  <si>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</si>
  <si>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</si>
  <si>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</si>
  <si>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</si>
  <si>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</si>
  <si>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</si>
  <si>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</si>
  <si>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</si>
  <si>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</si>
  <si>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</si>
  <si>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</si>
  <si>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</si>
  <si>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</si>
  <si>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</si>
  <si>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</si>
  <si>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</si>
  <si>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</si>
  <si>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</si>
  <si>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</si>
  <si>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</si>
  <si>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</si>
  <si>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</si>
  <si>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</si>
  <si>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</si>
  <si>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</si>
  <si>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</si>
  <si>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</si>
  <si>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</si>
  <si>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</si>
  <si>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</si>
  <si>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</si>
  <si>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</si>
  <si>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</si>
  <si>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</si>
  <si>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</si>
  <si>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</si>
  <si>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</si>
  <si>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</si>
  <si>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</si>
  <si>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</si>
  <si>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</si>
  <si>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</si>
  <si>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</si>
  <si>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</si>
  <si>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</si>
  <si>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</si>
  <si>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</si>
  <si>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</si>
  <si>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</si>
  <si>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</si>
  <si>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</si>
  <si>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</si>
  <si>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</si>
  <si>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</si>
  <si>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</si>
  <si>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</si>
  <si>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</si>
  <si>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</si>
  <si>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</si>
  <si>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</si>
  <si>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</si>
  <si>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</si>
  <si>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</si>
  <si>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</si>
  <si>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</si>
  <si>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</si>
  <si>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</si>
  <si>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</si>
  <si>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</si>
  <si>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</si>
  <si>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</si>
  <si>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</si>
  <si>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</si>
  <si>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</si>
  <si>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</si>
  <si>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</si>
  <si>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</si>
  <si>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</si>
  <si>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</si>
  <si>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</si>
  <si>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</si>
  <si>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</si>
  <si>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</si>
  <si>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</si>
  <si>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</si>
  <si>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</si>
  <si>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</si>
  <si>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</si>
  <si>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</si>
  <si>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</si>
  <si>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</si>
  <si>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</si>
  <si>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</si>
  <si>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</si>
  <si>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</si>
  <si>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</si>
  <si>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</si>
  <si>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</si>
  <si>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</si>
  <si>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</si>
  <si>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</si>
  <si>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</si>
  <si>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</si>
  <si>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</si>
  <si>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</si>
  <si>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</si>
  <si>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</si>
  <si>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</si>
  <si>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</si>
  <si>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</si>
  <si>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</si>
  <si>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</si>
  <si>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</si>
  <si>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</si>
  <si>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</si>
  <si>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</si>
  <si>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</si>
  <si>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</si>
  <si>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</si>
  <si>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</si>
  <si>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</si>
  <si>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</si>
  <si>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</si>
  <si>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</si>
  <si>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</si>
  <si>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</si>
  <si>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</si>
  <si>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</si>
  <si>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</si>
  <si>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</si>
  <si>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</si>
  <si>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</si>
  <si>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</si>
  <si>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</si>
  <si>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</si>
  <si>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</si>
  <si>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</si>
  <si>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</si>
  <si>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</si>
  <si>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</si>
  <si>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</si>
  <si>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</si>
  <si>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</si>
  <si>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</si>
  <si>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</si>
  <si>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</si>
  <si>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</si>
  <si>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</si>
  <si>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</si>
  <si>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</si>
  <si>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</si>
  <si>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</si>
  <si>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</si>
  <si>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</si>
  <si>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</si>
  <si>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</si>
  <si>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</si>
  <si>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</si>
  <si>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</si>
  <si>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</si>
  <si>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</si>
  <si>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</si>
  <si>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</si>
  <si>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</si>
  <si>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</si>
  <si>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</si>
  <si>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</si>
  <si>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</si>
  <si>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</si>
  <si>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</si>
  <si>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</si>
  <si>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</si>
  <si>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</si>
  <si>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</si>
  <si>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</si>
  <si>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</si>
  <si>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</si>
  <si>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</si>
  <si>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</si>
  <si>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</si>
  <si>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</si>
  <si>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</si>
  <si>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</si>
  <si>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</si>
  <si>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</si>
  <si>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</si>
  <si>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</si>
  <si>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</si>
  <si>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</si>
  <si>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</si>
  <si>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</si>
  <si>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</si>
  <si>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</si>
  <si>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</si>
  <si>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</si>
  <si>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</si>
  <si>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</si>
  <si>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</si>
  <si>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</si>
  <si>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</si>
  <si>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</si>
  <si>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</si>
  <si>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</si>
  <si>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</si>
  <si>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</si>
  <si>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</si>
  <si>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</si>
  <si>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</si>
  <si>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</si>
  <si>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</si>
  <si>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</si>
  <si>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</si>
  <si>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</si>
  <si>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</si>
  <si>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</si>
  <si>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</si>
  <si>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</si>
  <si>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</si>
  <si>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</si>
  <si>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</si>
  <si>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</si>
  <si>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</si>
  <si>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</si>
  <si>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</si>
  <si>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</si>
  <si>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</si>
  <si>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</si>
  <si>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</si>
  <si>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</si>
  <si>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</si>
  <si>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</si>
  <si>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</si>
  <si>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</si>
  <si>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</si>
  <si>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</si>
  <si>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</si>
  <si>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</si>
  <si>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</si>
  <si>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</si>
  <si>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</si>
  <si>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</si>
  <si>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</si>
  <si>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</si>
  <si>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</si>
  <si>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</si>
  <si>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</si>
  <si>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</si>
  <si>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</si>
  <si>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</si>
  <si>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</si>
  <si>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</si>
  <si>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</si>
  <si>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</si>
  <si>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</si>
  <si>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</si>
  <si>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</si>
  <si>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</si>
  <si>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</si>
  <si>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</si>
  <si>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</si>
  <si>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</si>
  <si>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</si>
  <si>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</si>
  <si>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</si>
  <si>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</si>
  <si>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</si>
  <si>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</si>
  <si>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</si>
  <si>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</si>
  <si>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</si>
  <si>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</si>
  <si>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</si>
  <si>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</si>
  <si>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</si>
  <si>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</si>
  <si>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</si>
  <si>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</si>
  <si>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</si>
  <si>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</si>
  <si>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</si>
  <si>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</si>
  <si>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</si>
  <si>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</si>
  <si>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</si>
  <si>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</si>
  <si>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</si>
  <si>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</si>
  <si>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</si>
  <si>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</si>
  <si>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</si>
  <si>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</si>
  <si>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</si>
  <si>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</si>
  <si>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</si>
  <si>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</si>
  <si>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</si>
  <si>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</si>
  <si>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</si>
  <si>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</si>
  <si>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</si>
  <si>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</si>
  <si>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</si>
  <si>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</si>
  <si>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</si>
  <si>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</si>
  <si>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</si>
  <si>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</si>
  <si>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</si>
  <si>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</si>
  <si>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</si>
  <si>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</si>
  <si>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</si>
  <si>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</si>
  <si>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</si>
  <si>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</si>
  <si>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</si>
  <si>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</si>
  <si>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</si>
  <si>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</si>
  <si>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</si>
  <si>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</si>
  <si>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</si>
  <si>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</si>
  <si>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</si>
  <si>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</si>
  <si>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</si>
  <si>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</si>
  <si>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</si>
  <si>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</si>
  <si>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</si>
  <si>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</si>
  <si>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</si>
  <si>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</si>
  <si>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</si>
  <si>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</si>
  <si>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</si>
  <si>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</si>
  <si>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</si>
  <si>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</si>
  <si>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</si>
  <si>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</si>
  <si>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</si>
  <si>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</si>
  <si>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</si>
  <si>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</si>
  <si>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</si>
  <si>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</si>
  <si>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</si>
  <si>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</si>
  <si>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</si>
  <si>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</si>
  <si>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</si>
  <si>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</si>
  <si>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</si>
  <si>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</si>
  <si>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</si>
  <si>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</si>
  <si>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</si>
  <si>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</si>
  <si>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</si>
  <si>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</si>
  <si>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</si>
  <si>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</si>
  <si>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</si>
  <si>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</si>
  <si>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</si>
  <si>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</si>
  <si>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</si>
  <si>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</si>
  <si>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</si>
  <si>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</si>
  <si>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</si>
  <si>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</si>
  <si>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</si>
  <si>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</si>
  <si>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</si>
  <si>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</si>
  <si>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</si>
  <si>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</si>
  <si>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</si>
  <si>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</si>
  <si>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</si>
  <si>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</si>
  <si>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</si>
  <si>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</si>
  <si>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</si>
  <si>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</si>
  <si>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</si>
  <si>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</si>
  <si>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</si>
  <si>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</si>
  <si>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</si>
  <si>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</si>
  <si>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</si>
  <si>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</si>
  <si>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</si>
  <si>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</si>
  <si>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</si>
  <si>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</si>
  <si>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</si>
  <si>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</si>
  <si>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</si>
  <si>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</si>
  <si>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</si>
  <si>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</si>
  <si>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</si>
  <si>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</si>
  <si>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</si>
  <si>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</si>
  <si>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</si>
  <si>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</si>
  <si>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</si>
  <si>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</si>
  <si>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</si>
  <si>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</si>
  <si>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</si>
  <si>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</si>
  <si>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</si>
  <si>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</si>
  <si>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</si>
  <si>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</si>
  <si>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</si>
  <si>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</si>
  <si>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</si>
  <si>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</si>
  <si>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</si>
  <si>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</si>
  <si>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</si>
  <si>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</si>
  <si>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</si>
  <si>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</si>
  <si>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</si>
  <si>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</si>
  <si>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</si>
  <si>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</si>
  <si>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</si>
  <si>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</si>
  <si>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</si>
  <si>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</si>
  <si>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</si>
  <si>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</si>
  <si>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</si>
  <si>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</si>
  <si>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</si>
  <si>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</si>
  <si>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</si>
  <si>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</si>
  <si>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</si>
  <si>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</si>
  <si>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</si>
  <si>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</si>
  <si>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</si>
  <si>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</si>
  <si>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</si>
  <si>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</si>
  <si>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</si>
  <si>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</si>
  <si>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</si>
  <si>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</si>
  <si>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</si>
  <si>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</si>
  <si>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</si>
  <si>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</si>
  <si>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</si>
  <si>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</si>
  <si>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</si>
  <si>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</si>
  <si>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</si>
  <si>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</si>
  <si>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</si>
  <si>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</si>
  <si>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</si>
  <si>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</si>
  <si>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</si>
  <si>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</si>
  <si>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</si>
  <si>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</si>
  <si>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</si>
  <si>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</si>
  <si>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</si>
  <si>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</si>
  <si>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</si>
  <si>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</si>
  <si>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</si>
  <si>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</si>
  <si>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</si>
  <si>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</si>
  <si>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</si>
  <si>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</si>
  <si>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</si>
  <si>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</si>
  <si>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</si>
  <si>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</si>
  <si>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</si>
  <si>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</si>
  <si>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</si>
  <si>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</si>
  <si>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</si>
  <si>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</si>
  <si>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</si>
  <si>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</si>
  <si>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</si>
  <si>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</si>
  <si>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</si>
  <si>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</si>
  <si>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</si>
  <si>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</si>
  <si>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</si>
  <si>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</si>
  <si>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</si>
  <si>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</si>
  <si>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</si>
  <si>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</si>
  <si>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</si>
  <si>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</si>
  <si>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</si>
  <si>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</si>
  <si>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</si>
  <si>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</si>
  <si>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</si>
  <si>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</si>
  <si>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</si>
  <si>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</si>
  <si>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</si>
  <si>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</si>
  <si>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</si>
  <si>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</si>
  <si>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</si>
  <si>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</si>
  <si>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</si>
  <si>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</si>
  <si>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</si>
  <si>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</si>
  <si>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</si>
  <si>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</si>
  <si>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</si>
  <si>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</si>
  <si>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</si>
  <si>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</si>
  <si>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</si>
  <si>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</si>
  <si>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</si>
  <si>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</si>
  <si>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</si>
  <si>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</si>
  <si>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</si>
  <si>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</si>
  <si>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</si>
  <si>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</si>
  <si>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</si>
  <si>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</si>
  <si>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</si>
  <si>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</si>
  <si>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</si>
  <si>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</si>
  <si>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</si>
  <si>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</si>
  <si>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</si>
  <si>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</si>
  <si>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</si>
  <si>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</si>
  <si>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</si>
  <si>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</si>
  <si>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</si>
  <si>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</si>
  <si>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</si>
  <si>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</si>
  <si>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</si>
  <si>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</si>
  <si>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</si>
  <si>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</si>
  <si>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</si>
  <si>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</si>
  <si>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</si>
  <si>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</si>
  <si>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</si>
  <si>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</si>
  <si>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</si>
  <si>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</si>
  <si>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</si>
  <si>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</si>
  <si>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</si>
  <si>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</si>
  <si>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</si>
  <si>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</si>
  <si>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</si>
  <si>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</si>
  <si>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</si>
  <si>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</si>
  <si>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</si>
  <si>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</si>
  <si>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</si>
  <si>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</si>
  <si>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</si>
  <si>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</si>
  <si>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</si>
  <si>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</si>
  <si>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</si>
  <si>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</si>
  <si>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</si>
  <si>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</si>
  <si>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</si>
  <si>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</si>
  <si>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</si>
  <si>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</si>
  <si>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</si>
  <si>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</si>
  <si>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</si>
  <si>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</si>
  <si>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</si>
  <si>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</si>
  <si>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</si>
  <si>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</si>
  <si>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</si>
  <si>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</si>
  <si>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</si>
  <si>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</si>
  <si>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</si>
  <si>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</si>
  <si>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</si>
  <si>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</si>
  <si>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</si>
  <si>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</si>
  <si>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</si>
  <si>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</si>
  <si>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</si>
  <si>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</si>
  <si>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</si>
  <si>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</si>
  <si>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</si>
  <si>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</si>
  <si>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</si>
  <si>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</si>
  <si>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</si>
  <si>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</si>
  <si>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</si>
  <si>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</si>
  <si>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</si>
  <si>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</si>
  <si>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</si>
  <si>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</si>
  <si>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</si>
  <si>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</si>
  <si>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</si>
  <si>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</si>
  <si>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</si>
  <si>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</si>
  <si>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</si>
  <si>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</si>
  <si>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</si>
  <si>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</si>
  <si>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</si>
  <si>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</si>
  <si>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</si>
  <si>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</si>
  <si>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</si>
  <si>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</si>
  <si>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</si>
  <si>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</si>
  <si>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</si>
  <si>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</si>
  <si>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</si>
  <si>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</si>
  <si>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</si>
  <si>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</si>
  <si>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</si>
  <si>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</si>
  <si>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</si>
  <si>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</si>
  <si>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</si>
  <si>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</si>
  <si>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</si>
  <si>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</si>
  <si>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</si>
  <si>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</si>
  <si>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</si>
  <si>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</si>
  <si>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</si>
  <si>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</si>
  <si>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</si>
  <si>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</si>
  <si>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</si>
  <si>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</si>
  <si>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</si>
  <si>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</si>
  <si>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</si>
  <si>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</si>
  <si>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</si>
  <si>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</si>
  <si>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</si>
  <si>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</si>
  <si>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</si>
  <si>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</si>
  <si>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</si>
  <si>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</si>
  <si>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</si>
  <si>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</si>
  <si>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</si>
  <si>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</si>
  <si>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</si>
  <si>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</si>
  <si>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</si>
  <si>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</si>
  <si>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</si>
  <si>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</si>
  <si>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</si>
  <si>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</si>
  <si>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</si>
  <si>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</si>
  <si>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</si>
  <si>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</si>
  <si>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</si>
  <si>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</si>
  <si>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</si>
  <si>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</si>
  <si>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</si>
  <si>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</si>
  <si>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</si>
  <si>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</si>
  <si>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</si>
  <si>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</si>
  <si>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</si>
  <si>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</si>
  <si>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</si>
  <si>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</si>
  <si>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</si>
  <si>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</si>
  <si>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</si>
  <si>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</si>
  <si>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</si>
  <si>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</si>
  <si>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</si>
  <si>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</si>
  <si>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</si>
  <si>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</si>
  <si>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</si>
  <si>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</si>
  <si>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</si>
  <si>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</si>
  <si>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</si>
  <si>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</si>
  <si>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</si>
  <si>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</si>
  <si>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</si>
  <si>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</si>
  <si>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</si>
  <si>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</si>
  <si>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</si>
  <si>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</si>
  <si>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</si>
  <si>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</si>
  <si>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</si>
  <si>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</si>
  <si>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</si>
  <si>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</si>
  <si>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</si>
  <si>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</si>
  <si>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</si>
  <si>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</si>
  <si>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</si>
  <si>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</si>
  <si>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</si>
  <si>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</si>
  <si>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</si>
  <si>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</si>
  <si>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</si>
  <si>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</si>
  <si>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</si>
  <si>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</si>
  <si>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</si>
  <si>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</si>
  <si>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</si>
  <si>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</si>
  <si>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</si>
  <si>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</si>
  <si>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</si>
  <si>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</si>
  <si>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</si>
  <si>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</si>
  <si>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</si>
  <si>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</si>
  <si>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</si>
  <si>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</si>
  <si>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</si>
  <si>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</si>
  <si>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</si>
  <si>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</si>
  <si>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</si>
  <si>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</si>
  <si>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</si>
  <si>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</si>
  <si>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</si>
  <si>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</si>
  <si>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</si>
  <si>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</si>
  <si>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</si>
  <si>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</si>
  <si>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</si>
  <si>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</si>
  <si>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</si>
  <si>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</si>
  <si>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</si>
  <si>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</si>
  <si>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</si>
  <si>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</si>
  <si>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</si>
  <si>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</si>
  <si>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</si>
  <si>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</si>
  <si>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</si>
  <si>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</si>
  <si>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</si>
  <si>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</si>
  <si>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</si>
  <si>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</si>
  <si>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</si>
  <si>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</si>
  <si>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</si>
  <si>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</si>
  <si>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</si>
  <si>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</si>
  <si>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</si>
  <si>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</si>
  <si>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</si>
  <si>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</si>
  <si>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</si>
  <si>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</si>
  <si>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</si>
  <si>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</si>
  <si>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</si>
  <si>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</si>
  <si>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</si>
  <si>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</si>
  <si>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</si>
  <si>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</si>
  <si>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</si>
  <si>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</si>
  <si>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</si>
  <si>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</si>
  <si>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</si>
  <si>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</si>
  <si>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</si>
  <si>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</si>
  <si>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</si>
  <si>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</si>
  <si>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</si>
  <si>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</si>
  <si>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</si>
  <si>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</si>
  <si>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</si>
  <si>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</si>
  <si>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</si>
  <si>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</si>
  <si>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</si>
  <si>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</si>
  <si>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</si>
  <si>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</si>
  <si>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</si>
  <si>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</si>
  <si>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</si>
  <si>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</si>
  <si>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</si>
  <si>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</si>
  <si>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</si>
  <si>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</si>
  <si>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</si>
  <si>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</si>
  <si>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</si>
  <si>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</si>
  <si>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</si>
  <si>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</si>
  <si>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</si>
  <si>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</si>
  <si>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</si>
  <si>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</si>
  <si>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</si>
  <si>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</si>
  <si>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</si>
  <si>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</si>
  <si>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</si>
  <si>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</si>
  <si>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</si>
  <si>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</si>
  <si>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</si>
  <si>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</si>
  <si>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</si>
  <si>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</si>
  <si>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</si>
  <si>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</si>
  <si>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</si>
  <si>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</si>
  <si>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</si>
  <si>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</si>
  <si>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</si>
  <si>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</si>
  <si>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</si>
  <si>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</si>
  <si>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</si>
  <si>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</si>
  <si>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</si>
  <si>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</si>
  <si>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</si>
  <si>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</si>
  <si>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</si>
  <si>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</si>
  <si>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</si>
  <si>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</si>
  <si>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</si>
  <si>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</si>
  <si>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</si>
  <si>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</si>
  <si>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</si>
  <si>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</si>
  <si>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</si>
  <si>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</si>
  <si>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</si>
  <si>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</si>
  <si>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</si>
  <si>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</si>
  <si>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</si>
  <si>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</si>
  <si>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</si>
  <si>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</si>
  <si>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</si>
  <si>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</si>
  <si>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</si>
  <si>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</si>
  <si>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</si>
  <si>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</si>
  <si>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</si>
  <si>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</si>
  <si>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</si>
  <si>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</si>
  <si>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</si>
  <si>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</si>
  <si>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</si>
  <si>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</si>
  <si>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</si>
  <si>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</si>
  <si>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</si>
  <si>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</si>
  <si>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</si>
  <si>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</si>
  <si>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</si>
  <si>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</si>
  <si>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</si>
  <si>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</si>
  <si>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</si>
  <si>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</si>
  <si>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</si>
  <si>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</si>
  <si>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</si>
  <si>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</si>
  <si>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</si>
  <si>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</si>
  <si>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</si>
  <si>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</si>
  <si>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</si>
  <si>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</si>
  <si>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</si>
  <si>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</si>
  <si>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</si>
  <si>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</si>
  <si>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</si>
  <si>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</si>
  <si>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</si>
  <si>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</si>
  <si>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</si>
  <si>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</si>
  <si>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</si>
  <si>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</si>
  <si>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</si>
  <si>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</si>
  <si>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</si>
  <si>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</si>
  <si>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</si>
  <si>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</si>
  <si>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</si>
  <si>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</si>
  <si>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</si>
  <si>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</si>
  <si>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</si>
  <si>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</si>
  <si>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</si>
  <si>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</si>
  <si>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</si>
  <si>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</si>
  <si>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</si>
  <si>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</si>
  <si>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</si>
  <si>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</si>
  <si>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</si>
  <si>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</si>
  <si>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</si>
  <si>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</si>
  <si>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</si>
  <si>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</si>
  <si>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</si>
  <si>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</si>
  <si>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</si>
  <si>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</si>
  <si>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</si>
  <si>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</si>
  <si>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</si>
  <si>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</si>
  <si>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</si>
  <si>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</si>
  <si>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</si>
  <si>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</si>
  <si>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</si>
  <si>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</si>
  <si>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</si>
  <si>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</si>
  <si>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</si>
  <si>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</si>
  <si>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</si>
  <si>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</si>
  <si>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</si>
  <si>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</si>
  <si>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</si>
  <si>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</si>
  <si>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</si>
  <si>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</si>
  <si>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</si>
  <si>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</si>
  <si>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</si>
  <si>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</si>
  <si>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</si>
  <si>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</si>
  <si>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</si>
  <si>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</si>
  <si>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</si>
  <si>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</si>
  <si>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</si>
  <si>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</si>
  <si>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</si>
  <si>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</si>
  <si>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</si>
  <si>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</si>
  <si>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</si>
  <si>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</si>
  <si>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</si>
  <si>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</si>
  <si>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</si>
  <si>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</si>
  <si>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</si>
  <si>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</si>
  <si>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</si>
  <si>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</si>
  <si>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</si>
  <si>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</si>
  <si>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</si>
  <si>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</si>
  <si>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</si>
  <si>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</si>
  <si>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</si>
  <si>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</si>
  <si>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</si>
  <si>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</si>
  <si>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</si>
  <si>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</si>
  <si>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</si>
  <si>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</si>
  <si>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</si>
  <si>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</si>
  <si>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</si>
  <si>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</si>
  <si>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</si>
  <si>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</si>
  <si>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</si>
  <si>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</si>
  <si>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</si>
  <si>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</si>
  <si>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</si>
  <si>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</si>
  <si>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</si>
  <si>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</si>
  <si>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</si>
  <si>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</si>
  <si>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</si>
  <si>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</si>
  <si>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</si>
  <si>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</si>
  <si>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</si>
  <si>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</si>
  <si>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</si>
  <si>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</si>
  <si>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</si>
  <si>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</si>
  <si>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</si>
  <si>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</si>
  <si>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</si>
  <si>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</si>
  <si>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</si>
  <si>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</si>
  <si>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</si>
  <si>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</si>
  <si>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</si>
  <si>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</si>
  <si>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</si>
  <si>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</si>
  <si>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</si>
  <si>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</si>
  <si>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</si>
  <si>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</si>
  <si>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</si>
  <si>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</si>
  <si>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</si>
  <si>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</si>
  <si>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</si>
  <si>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</si>
  <si>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</si>
  <si>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</si>
  <si>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</si>
  <si>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</si>
  <si>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</si>
  <si>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</si>
  <si>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</si>
  <si>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</si>
  <si>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</si>
  <si>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</si>
  <si>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</si>
  <si>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</si>
  <si>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</si>
  <si>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</si>
  <si>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</si>
  <si>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</si>
  <si>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</si>
  <si>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</si>
  <si>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</si>
  <si>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</si>
  <si>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</si>
  <si>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</si>
  <si>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</si>
  <si>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</si>
  <si>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</si>
  <si>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</si>
  <si>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</si>
  <si>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</si>
  <si>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</si>
  <si>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</si>
  <si>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</si>
  <si>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</si>
  <si>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</si>
  <si>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</si>
  <si>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</si>
  <si>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</si>
  <si>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</si>
  <si>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</si>
  <si>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</si>
  <si>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</si>
  <si>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</si>
  <si>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</si>
  <si>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</si>
  <si>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</si>
  <si>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</si>
  <si>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</si>
  <si>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</si>
  <si>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</si>
  <si>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</si>
  <si>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</si>
  <si>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</si>
  <si>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</si>
  <si>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</si>
  <si>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</si>
  <si>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</si>
  <si>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</si>
  <si>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</si>
  <si>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</si>
  <si>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</si>
  <si>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</si>
  <si>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</si>
  <si>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</si>
  <si>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</si>
  <si>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</si>
  <si>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</si>
  <si>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</si>
  <si>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</si>
  <si>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</si>
  <si>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</si>
  <si>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</si>
  <si>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</si>
  <si>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</si>
  <si>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</si>
  <si>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</si>
  <si>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</si>
  <si>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</si>
  <si>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</si>
  <si>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</si>
  <si>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</si>
  <si>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</si>
  <si>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</si>
  <si>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</si>
  <si>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</si>
  <si>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</si>
  <si>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</si>
  <si>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</si>
  <si>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</si>
  <si>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</si>
  <si>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</si>
  <si>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</si>
  <si>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</si>
  <si>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</si>
  <si>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</si>
  <si>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</si>
  <si>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</si>
  <si>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</si>
  <si>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</si>
  <si>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</si>
  <si>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</si>
  <si>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</si>
  <si>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</si>
  <si>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</si>
  <si>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</si>
  <si>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</si>
  <si>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</si>
  <si>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</si>
  <si>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</si>
  <si>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</si>
  <si>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</si>
  <si>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</si>
  <si>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</si>
  <si>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</si>
  <si>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</si>
  <si>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</si>
  <si>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</si>
  <si>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</si>
  <si>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</si>
  <si>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</si>
  <si>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</si>
  <si>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</si>
  <si>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</si>
  <si>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</si>
  <si>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</si>
  <si>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</si>
  <si>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</si>
  <si>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</si>
  <si>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</si>
  <si>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</si>
  <si>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</si>
  <si>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</si>
  <si>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</si>
  <si>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</si>
  <si>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</si>
  <si>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</si>
  <si>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</si>
  <si>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</si>
  <si>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</si>
  <si>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</si>
  <si>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</si>
  <si>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</si>
  <si>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</si>
  <si>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</si>
  <si>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</si>
  <si>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</si>
  <si>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</si>
  <si>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</si>
  <si>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</si>
  <si>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</si>
  <si>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</si>
  <si>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</si>
  <si>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</si>
  <si>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</si>
  <si>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</si>
  <si>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</si>
  <si>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</si>
  <si>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</si>
  <si>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</si>
  <si>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</si>
  <si>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</si>
  <si>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</si>
  <si>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</si>
  <si>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</si>
  <si>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</si>
  <si>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</si>
  <si>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</si>
  <si>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</si>
  <si>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</si>
  <si>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</si>
  <si>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</si>
  <si>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</si>
  <si>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</si>
  <si>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</si>
  <si>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</si>
  <si>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</si>
  <si>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</si>
  <si>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</si>
  <si>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</si>
  <si>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</si>
  <si>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</si>
  <si>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</si>
  <si>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</si>
  <si>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</si>
  <si>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</si>
  <si>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</si>
  <si>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</si>
  <si>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</si>
  <si>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</si>
  <si>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</si>
  <si>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</si>
  <si>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</si>
  <si>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</si>
  <si>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</si>
  <si>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</si>
  <si>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</si>
  <si>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</si>
  <si>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</si>
  <si>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</si>
  <si>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</si>
  <si>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</si>
  <si>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</si>
  <si>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</si>
  <si>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</si>
  <si>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</si>
  <si>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</si>
  <si>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</si>
  <si>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</si>
  <si>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</si>
  <si>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</si>
  <si>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</si>
  <si>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</si>
  <si>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</si>
  <si>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</si>
  <si>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</si>
  <si>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</si>
  <si>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</si>
  <si>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</si>
  <si>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</si>
  <si>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</si>
  <si>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</si>
  <si>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</si>
  <si>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</si>
  <si>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</si>
  <si>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</si>
  <si>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</si>
  <si>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</si>
  <si>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</si>
  <si>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</si>
  <si>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</si>
  <si>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</si>
  <si>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</si>
  <si>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</si>
  <si>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</si>
  <si>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</si>
  <si>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</si>
  <si>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</si>
  <si>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</si>
  <si>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</si>
  <si>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</si>
  <si>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</si>
  <si>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</si>
  <si>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</si>
  <si>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</si>
  <si>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</si>
  <si>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</si>
  <si>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</si>
  <si>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</si>
  <si>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</si>
  <si>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</si>
  <si>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</si>
  <si>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</si>
  <si>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</si>
  <si>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</si>
  <si>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</si>
  <si>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</si>
  <si>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</si>
  <si>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</si>
  <si>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</si>
  <si>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</si>
  <si>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</si>
  <si>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</si>
  <si>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</si>
  <si>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</si>
  <si>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</si>
  <si>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</si>
  <si>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</si>
  <si>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</si>
  <si>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</si>
  <si>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</si>
  <si>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</si>
  <si>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</si>
  <si>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</si>
  <si>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</si>
  <si>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</si>
  <si>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</si>
  <si>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</si>
  <si>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</si>
  <si>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</si>
  <si>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</si>
  <si>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</si>
  <si>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</si>
  <si>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</si>
  <si>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</si>
  <si>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</si>
  <si>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</si>
  <si>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</si>
  <si>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</si>
  <si>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</si>
  <si>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</si>
  <si>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</si>
  <si>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</si>
  <si>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</si>
  <si>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</si>
  <si>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</si>
  <si>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</si>
  <si>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</si>
  <si>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</si>
  <si>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</si>
  <si>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</si>
  <si>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</si>
  <si>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</si>
  <si>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</si>
  <si>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</si>
  <si>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</si>
  <si>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</si>
  <si>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</si>
  <si>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</si>
  <si>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</si>
  <si>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</si>
  <si>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</si>
  <si>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</si>
  <si>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</si>
  <si>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</si>
  <si>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</si>
  <si>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</si>
  <si>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</si>
  <si>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</si>
  <si>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</si>
  <si>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</si>
  <si>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</si>
  <si>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</si>
  <si>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</si>
  <si>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</si>
  <si>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</si>
  <si>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</si>
  <si>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</si>
  <si>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</si>
  <si>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</si>
  <si>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</si>
  <si>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</si>
  <si>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</si>
  <si>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</si>
  <si>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</si>
  <si>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</si>
  <si>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</si>
  <si>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</si>
  <si>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</si>
  <si>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</si>
  <si>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</si>
  <si>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</si>
  <si>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</si>
  <si>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</si>
  <si>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</si>
  <si>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</si>
  <si>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</si>
  <si>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</si>
  <si>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</si>
  <si>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</si>
  <si>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</si>
  <si>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</si>
  <si>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</si>
  <si>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</si>
  <si>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</si>
  <si>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</si>
  <si>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</si>
  <si>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</si>
  <si>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</si>
  <si>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</si>
  <si>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</si>
  <si>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</si>
  <si>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</si>
  <si>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</si>
  <si>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</si>
  <si>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</si>
  <si>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</si>
  <si>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</si>
  <si>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</si>
  <si>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</si>
  <si>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</si>
  <si>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</si>
  <si>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</si>
  <si>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</si>
  <si>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</si>
  <si>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</si>
  <si>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</si>
  <si>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</si>
  <si>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</si>
  <si>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</si>
  <si>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</si>
  <si>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</si>
  <si>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</si>
  <si>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</si>
  <si>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</si>
  <si>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</si>
  <si>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</si>
  <si>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</si>
  <si>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</si>
  <si>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</si>
  <si>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</si>
  <si>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</si>
  <si>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</si>
  <si>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</si>
  <si>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</si>
  <si>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</si>
  <si>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</si>
  <si>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</si>
  <si>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</si>
  <si>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</si>
  <si>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</si>
  <si>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</si>
  <si>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</si>
  <si>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</si>
  <si>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</si>
  <si>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</si>
  <si>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</si>
  <si>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</si>
  <si>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</si>
  <si>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</si>
  <si>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</si>
  <si>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</si>
  <si>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</si>
  <si>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</si>
  <si>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</si>
  <si>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</si>
  <si>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</si>
  <si>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</si>
  <si>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</si>
  <si>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</si>
  <si>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</si>
  <si>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</si>
  <si>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</si>
  <si>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</si>
  <si>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</si>
  <si>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</si>
  <si>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</si>
  <si>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</si>
  <si>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</si>
  <si>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</si>
  <si>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</si>
  <si>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</si>
  <si>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</si>
  <si>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</si>
  <si>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</si>
  <si>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</si>
  <si>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</si>
  <si>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</si>
  <si>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</si>
  <si>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</si>
  <si>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</si>
  <si>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</si>
  <si>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</si>
  <si>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</si>
  <si>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</si>
  <si>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</si>
  <si>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</si>
  <si>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</si>
  <si>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</si>
  <si>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</si>
  <si>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</si>
  <si>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</si>
  <si>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</si>
  <si>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</si>
  <si>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</si>
  <si>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</si>
  <si>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</si>
  <si>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</si>
  <si>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</si>
  <si>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</si>
  <si>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</si>
  <si>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</si>
  <si>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</si>
  <si>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</si>
  <si>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</si>
  <si>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</si>
  <si>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</si>
  <si>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</si>
  <si>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</si>
  <si>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</si>
  <si>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</si>
  <si>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</si>
  <si>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</si>
  <si>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</si>
  <si>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</si>
  <si>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</si>
  <si>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</si>
  <si>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</si>
  <si>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</si>
  <si>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</si>
  <si>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</si>
  <si>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</si>
  <si>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</si>
  <si>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</si>
  <si>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</si>
  <si>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</si>
  <si>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</si>
  <si>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</si>
  <si>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</si>
  <si>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</si>
  <si>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</si>
  <si>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</si>
  <si>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</si>
  <si>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</si>
  <si>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</si>
  <si>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</si>
  <si>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</si>
  <si>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</si>
  <si>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</si>
  <si>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</si>
  <si>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</si>
  <si>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</si>
  <si>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</si>
  <si>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</si>
  <si>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</si>
  <si>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</si>
  <si>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</si>
  <si>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</si>
  <si>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</si>
  <si>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</si>
  <si>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</si>
  <si>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</si>
  <si>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</si>
  <si>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</si>
  <si>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</si>
  <si>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</si>
  <si>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</si>
  <si>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</si>
  <si>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</si>
  <si>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</si>
  <si>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</si>
  <si>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</si>
  <si>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</si>
  <si>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</si>
  <si>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</si>
  <si>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</si>
  <si>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</si>
  <si>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</si>
  <si>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</si>
  <si>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</si>
  <si>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</si>
  <si>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</si>
  <si>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</si>
  <si>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</si>
  <si>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</si>
  <si>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</si>
  <si>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</si>
  <si>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</si>
  <si>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</si>
  <si>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</si>
  <si>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</si>
  <si>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</si>
  <si>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</si>
  <si>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</si>
  <si>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</si>
  <si>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</si>
  <si>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</si>
  <si>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</si>
  <si>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</si>
  <si>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</si>
  <si>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</si>
  <si>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</si>
  <si>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</si>
  <si>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</si>
  <si>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</si>
  <si>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</si>
  <si>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</si>
  <si>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</si>
  <si>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</si>
  <si>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</si>
  <si>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</si>
  <si>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</si>
  <si>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</si>
  <si>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</si>
  <si>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</si>
  <si>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</si>
  <si>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</si>
  <si>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</si>
  <si>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</si>
  <si>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</si>
  <si>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</si>
  <si>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</si>
  <si>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</si>
  <si>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</si>
  <si>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</si>
  <si>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</si>
  <si>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</si>
  <si>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</si>
  <si>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</si>
  <si>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</si>
  <si>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</si>
  <si>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</si>
  <si>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</si>
  <si>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</si>
  <si>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</si>
  <si>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</si>
  <si>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</si>
  <si>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</si>
  <si>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</si>
  <si>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</si>
  <si>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</si>
  <si>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</si>
  <si>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</si>
  <si>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</si>
  <si>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</si>
  <si>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</si>
  <si>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</si>
  <si>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</si>
  <si>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</si>
  <si>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</si>
  <si>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</si>
  <si>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</si>
  <si>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</si>
  <si>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</si>
  <si>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</si>
  <si>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</si>
  <si>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</si>
  <si>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</si>
  <si>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</si>
  <si>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</si>
  <si>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</si>
  <si>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</si>
  <si>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</si>
  <si>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</si>
  <si>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</si>
  <si>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</si>
  <si>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</si>
  <si>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</si>
  <si>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</si>
  <si>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</si>
  <si>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</si>
  <si>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</si>
  <si>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</si>
  <si>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</si>
  <si>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</si>
  <si>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</si>
  <si>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</si>
  <si>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</si>
  <si>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</si>
  <si>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</si>
  <si>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</si>
  <si>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</si>
  <si>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</si>
  <si>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</si>
  <si>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</si>
  <si>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</si>
  <si>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</si>
  <si>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</si>
  <si>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</si>
  <si>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</si>
  <si>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</si>
  <si>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</si>
  <si>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</si>
  <si>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</si>
  <si>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</si>
  <si>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</si>
  <si>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</si>
  <si>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</si>
  <si>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</si>
  <si>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</si>
  <si>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</si>
  <si>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</si>
  <si>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</si>
  <si>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</si>
  <si>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</si>
  <si>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</si>
  <si>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</si>
  <si>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</si>
  <si>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</si>
  <si>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</si>
  <si>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</si>
  <si>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</si>
  <si>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</si>
  <si>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</si>
  <si>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</si>
  <si>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</si>
  <si>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</si>
  <si>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</si>
  <si>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</si>
  <si>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</si>
  <si>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</si>
  <si>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</si>
  <si>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</si>
  <si>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</si>
  <si>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</si>
  <si>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</si>
  <si>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</si>
  <si>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</si>
  <si>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</si>
  <si>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</si>
  <si>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</si>
  <si>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</si>
  <si>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</si>
  <si>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</si>
  <si>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</si>
  <si>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</si>
  <si>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</si>
  <si>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</si>
  <si>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</si>
  <si>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</si>
  <si>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</si>
  <si>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</si>
  <si>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</si>
  <si>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</si>
  <si>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</si>
  <si>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</si>
  <si>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</si>
  <si>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</si>
  <si>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</si>
  <si>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</si>
  <si>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</si>
  <si>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</si>
  <si>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</si>
  <si>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</si>
  <si>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</si>
  <si>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</si>
  <si>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</si>
  <si>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</si>
  <si>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</si>
  <si>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</si>
  <si>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</si>
  <si>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</si>
  <si>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</si>
  <si>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</si>
  <si>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</si>
  <si>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</si>
  <si>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</si>
  <si>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</si>
  <si>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</si>
  <si>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</si>
  <si>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</si>
  <si>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</si>
  <si>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</si>
  <si>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</si>
  <si>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</si>
  <si>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</si>
  <si>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</si>
  <si>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</si>
  <si>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</si>
  <si>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</si>
  <si>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</si>
  <si>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</si>
  <si>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</si>
  <si>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</si>
  <si>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</si>
  <si>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</si>
  <si>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</si>
  <si>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</si>
  <si>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</si>
  <si>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</si>
  <si>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</si>
  <si>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</si>
  <si>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</si>
  <si>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</si>
  <si>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</si>
  <si>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</si>
  <si>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</si>
  <si>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</si>
  <si>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</si>
  <si>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</si>
  <si>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</si>
  <si>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</si>
  <si>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</si>
  <si>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</si>
  <si>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</si>
  <si>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</si>
  <si>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</si>
  <si>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</si>
  <si>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</si>
  <si>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</si>
  <si>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</si>
  <si>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</si>
  <si>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</si>
  <si>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</si>
  <si>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</si>
  <si>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</si>
  <si>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</si>
  <si>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</si>
  <si>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</si>
  <si>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</si>
  <si>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</si>
  <si>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</si>
  <si>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</si>
  <si>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</si>
  <si>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</si>
  <si>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</si>
  <si>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</si>
  <si>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</si>
  <si>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</si>
  <si>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</si>
  <si>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</si>
  <si>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</si>
  <si>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</si>
  <si>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</si>
  <si>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</si>
  <si>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</si>
  <si>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</si>
  <si>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</si>
  <si>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</si>
  <si>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</si>
  <si>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</si>
  <si>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</si>
  <si>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</si>
  <si>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</si>
  <si>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</si>
  <si>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</si>
  <si>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</si>
  <si>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</si>
  <si>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</si>
  <si>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</si>
  <si>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</si>
  <si>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</si>
  <si>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</si>
  <si>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</si>
  <si>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</si>
  <si>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</si>
  <si>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</si>
  <si>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</si>
  <si>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</si>
  <si>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</si>
  <si>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</si>
  <si>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</si>
  <si>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</si>
  <si>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</si>
  <si>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</si>
  <si>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</si>
  <si>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</si>
  <si>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</si>
  <si>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</si>
  <si>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</si>
  <si>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</si>
  <si>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</si>
  <si>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</si>
  <si>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</si>
  <si>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</si>
  <si>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</si>
  <si>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</si>
  <si>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</si>
  <si>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</si>
  <si>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</si>
  <si>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</si>
  <si>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</si>
  <si>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</si>
  <si>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</si>
  <si>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</si>
  <si>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</si>
  <si>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</si>
  <si>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</si>
  <si>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</si>
  <si>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</si>
  <si>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</si>
  <si>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</si>
  <si>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</si>
  <si>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</si>
  <si>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</si>
  <si>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</si>
  <si>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</si>
  <si>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</si>
  <si>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</si>
  <si>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</si>
  <si>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</si>
  <si>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</si>
  <si>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</si>
  <si>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</si>
  <si>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</si>
  <si>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</si>
  <si>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</si>
  <si>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</si>
  <si>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</si>
  <si>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</si>
  <si>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</si>
  <si>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</si>
  <si>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</si>
  <si>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</si>
  <si>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</si>
  <si>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</si>
  <si>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</si>
  <si>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</si>
  <si>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</si>
  <si>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</si>
  <si>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</si>
  <si>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</si>
  <si>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</si>
  <si>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</si>
  <si>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</si>
  <si>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</si>
  <si>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</si>
  <si>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</si>
  <si>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</si>
  <si>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</si>
  <si>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</si>
  <si>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</si>
  <si>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</si>
  <si>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</si>
  <si>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</si>
  <si>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</si>
  <si>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</si>
  <si>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</si>
  <si>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</si>
  <si>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</si>
  <si>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</si>
  <si>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</si>
  <si>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</si>
  <si>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</si>
  <si>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</si>
  <si>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</si>
  <si>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</si>
  <si>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</si>
  <si>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</si>
  <si>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</si>
  <si>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</si>
  <si>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</si>
  <si>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</si>
  <si>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</si>
  <si>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</si>
  <si>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</si>
  <si>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</si>
  <si>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</si>
  <si>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</si>
  <si>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</si>
  <si>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</si>
  <si>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</si>
  <si>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</si>
  <si>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</si>
  <si>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</si>
  <si>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</si>
  <si>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</si>
  <si>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</si>
  <si>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</si>
  <si>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</si>
  <si>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</si>
  <si>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</si>
  <si>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</si>
  <si>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</si>
  <si>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</si>
  <si>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</si>
  <si>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</si>
  <si>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</si>
  <si>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</si>
  <si>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</si>
  <si>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</si>
  <si>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</si>
  <si>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</si>
  <si>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</si>
  <si>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</si>
  <si>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</si>
  <si>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</si>
  <si>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</si>
  <si>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</si>
  <si>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</si>
  <si>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</si>
  <si>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</si>
  <si>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</si>
  <si>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</si>
  <si>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</si>
  <si>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</si>
  <si>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</si>
  <si>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</si>
  <si>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</si>
  <si>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</si>
  <si>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</si>
  <si>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</si>
  <si>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</si>
  <si>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</si>
  <si>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</si>
  <si>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</si>
  <si>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</si>
  <si>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</si>
  <si>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</si>
  <si>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</si>
  <si>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</si>
  <si>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</si>
  <si>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</si>
  <si>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</si>
  <si>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</si>
  <si>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</si>
  <si>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</si>
  <si>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</si>
  <si>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</si>
  <si>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</si>
  <si>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</si>
  <si>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</si>
  <si>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</si>
  <si>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</si>
  <si>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</si>
  <si>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</si>
  <si>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</si>
  <si>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</si>
  <si>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</si>
  <si>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</si>
  <si>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</si>
  <si>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</si>
  <si>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</si>
  <si>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</si>
  <si>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</si>
  <si>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</si>
  <si>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</si>
  <si>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</si>
  <si>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</si>
  <si>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</si>
  <si>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</si>
  <si>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</si>
  <si>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</si>
  <si>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</si>
  <si>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</si>
  <si>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</si>
  <si>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</si>
  <si>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</si>
  <si>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</si>
  <si>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</si>
  <si>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</si>
  <si>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</si>
  <si>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</si>
  <si>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</si>
  <si>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</si>
  <si>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</si>
  <si>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</si>
  <si>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</si>
  <si>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</si>
  <si>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</si>
  <si>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</si>
  <si>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</si>
  <si>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</si>
  <si>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</si>
  <si>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</si>
  <si>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</si>
  <si>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</si>
  <si>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</si>
  <si>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</si>
  <si>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</si>
  <si>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</si>
  <si>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</si>
  <si>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</si>
  <si>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</si>
  <si>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</si>
  <si>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</si>
  <si>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</si>
  <si>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</si>
  <si>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</si>
  <si>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</si>
  <si>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</si>
  <si>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</si>
  <si>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</si>
  <si>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</si>
  <si>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</si>
  <si>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</si>
  <si>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</si>
  <si>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</si>
  <si>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</si>
  <si>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</si>
  <si>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</si>
  <si>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</si>
  <si>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</si>
  <si>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</si>
  <si>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</si>
  <si>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</si>
  <si>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</si>
  <si>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</si>
  <si>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</si>
  <si>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</si>
  <si>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</si>
  <si>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</si>
  <si>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</si>
  <si>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</si>
  <si>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</si>
  <si>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</si>
  <si>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</si>
  <si>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</si>
  <si>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</si>
  <si>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</si>
  <si>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</si>
  <si>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</si>
  <si>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</si>
  <si>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</si>
  <si>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</si>
  <si>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</si>
  <si>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</si>
  <si>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</si>
  <si>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</si>
  <si>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</si>
  <si>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</si>
  <si>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</si>
  <si>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</si>
  <si>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</si>
  <si>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</si>
  <si>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</si>
  <si>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</si>
  <si>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</si>
  <si>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</si>
  <si>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</si>
  <si>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</si>
  <si>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</si>
  <si>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</si>
  <si>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</si>
  <si>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</si>
  <si>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</si>
  <si>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</si>
  <si>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</si>
  <si>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</si>
  <si>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</si>
  <si>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</si>
  <si>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</si>
  <si>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</si>
  <si>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</si>
  <si>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</si>
  <si>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</si>
  <si>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</si>
  <si>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</si>
  <si>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</si>
  <si>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</si>
  <si>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</si>
  <si>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</si>
  <si>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</si>
  <si>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</si>
  <si>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</si>
  <si>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</si>
  <si>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</si>
  <si>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</si>
  <si>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</si>
  <si>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</si>
  <si>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</si>
  <si>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</si>
  <si>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</si>
  <si>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</si>
  <si>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</si>
  <si>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</si>
  <si>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</si>
  <si>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</si>
  <si>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</si>
  <si>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</si>
  <si>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</si>
  <si>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</si>
  <si>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</si>
  <si>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</si>
  <si>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</si>
  <si>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</si>
  <si>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</si>
  <si>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</si>
  <si>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</si>
  <si>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</si>
  <si>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</si>
  <si>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</si>
  <si>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</si>
  <si>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</si>
  <si>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</si>
  <si>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</si>
  <si>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</si>
  <si>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</si>
  <si>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</si>
  <si>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</si>
  <si>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</si>
  <si>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</si>
  <si>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</si>
  <si>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</si>
  <si>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</si>
  <si>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</si>
  <si>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</si>
  <si>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</si>
  <si>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</si>
  <si>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</si>
  <si>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</si>
  <si>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</si>
  <si>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</si>
  <si>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</si>
  <si>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</si>
  <si>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</si>
  <si>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</si>
  <si>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</si>
  <si>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</si>
  <si>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</si>
  <si>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</si>
  <si>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</si>
  <si>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</si>
  <si>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</si>
  <si>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</si>
  <si>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</si>
  <si>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</si>
  <si>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</si>
  <si>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</si>
  <si>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</si>
  <si>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</si>
  <si>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</si>
  <si>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</si>
  <si>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</si>
  <si>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</si>
  <si>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</si>
  <si>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</si>
  <si>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</si>
  <si>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</si>
  <si>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</si>
  <si>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</si>
  <si>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</si>
  <si>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</si>
  <si>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</si>
  <si>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</si>
  <si>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</si>
  <si>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</si>
  <si>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</si>
  <si>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</si>
  <si>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</si>
  <si>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</si>
  <si>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</si>
  <si>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</si>
  <si>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</si>
  <si>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</si>
  <si>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</si>
  <si>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</si>
  <si>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</si>
  <si>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</si>
  <si>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</si>
  <si>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</si>
  <si>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</si>
  <si>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</si>
  <si>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</si>
  <si>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</si>
  <si>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</si>
  <si>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</si>
  <si>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</si>
  <si>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</si>
  <si>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</si>
  <si>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</si>
  <si>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</si>
  <si>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</si>
  <si>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</si>
  <si>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</si>
  <si>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</si>
  <si>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</si>
  <si>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</si>
  <si>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</si>
  <si>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</si>
  <si>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</si>
  <si>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</si>
  <si>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</si>
  <si>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</si>
  <si>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</si>
  <si>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</si>
  <si>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</si>
  <si>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</si>
  <si>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</si>
  <si>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</si>
  <si>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</si>
  <si>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</si>
  <si>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</si>
  <si>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</si>
  <si>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</si>
  <si>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</si>
  <si>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</si>
  <si>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</si>
  <si>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</si>
  <si>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</si>
  <si>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</si>
  <si>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</si>
  <si>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</si>
  <si>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</si>
  <si>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</si>
  <si>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</si>
  <si>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</si>
  <si>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</si>
  <si>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</si>
  <si>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</si>
  <si>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</si>
  <si>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</si>
  <si>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</si>
  <si>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</si>
  <si>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</si>
  <si>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</si>
  <si>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</si>
  <si>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</si>
  <si>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</si>
  <si>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</si>
  <si>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</si>
  <si>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</si>
  <si>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</si>
  <si>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</si>
  <si>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</si>
  <si>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</si>
  <si>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</si>
  <si>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</si>
  <si>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</si>
  <si>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</si>
  <si>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</si>
  <si>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</si>
  <si>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</si>
  <si>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</si>
  <si>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</si>
  <si>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</si>
  <si>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</si>
  <si>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</si>
  <si>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</si>
  <si>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</si>
  <si>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</si>
  <si>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</si>
  <si>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</si>
  <si>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</si>
  <si>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</si>
  <si>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</si>
  <si>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</si>
  <si>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</si>
  <si>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</si>
  <si>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</si>
  <si>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</si>
  <si>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</si>
  <si>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</si>
  <si>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</si>
  <si>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</si>
  <si>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</si>
  <si>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</si>
  <si>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</si>
  <si>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</si>
  <si>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</si>
  <si>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</si>
  <si>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</si>
  <si>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</si>
  <si>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</si>
  <si>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</si>
  <si>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</si>
  <si>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</si>
  <si>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</si>
  <si>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</si>
  <si>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</si>
  <si>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</si>
  <si>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</si>
  <si>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</si>
  <si>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</si>
  <si>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</si>
  <si>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</si>
  <si>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</si>
  <si>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</si>
  <si>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</si>
  <si>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</si>
  <si>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</si>
  <si>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</si>
  <si>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</si>
  <si>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</si>
  <si>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</si>
  <si>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</si>
  <si>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</si>
  <si>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</si>
  <si>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</si>
  <si>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</si>
  <si>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</si>
  <si>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</si>
  <si>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</si>
  <si>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</si>
  <si>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</si>
  <si>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</si>
  <si>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</si>
  <si>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</si>
  <si>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</si>
  <si>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</si>
  <si>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</si>
  <si>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</si>
  <si>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</si>
  <si>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</si>
  <si>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</si>
  <si>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</si>
  <si>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</si>
  <si>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</si>
  <si>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</si>
  <si>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</si>
  <si>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</si>
  <si>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</si>
  <si>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</si>
  <si>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</si>
  <si>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</si>
  <si>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</si>
  <si>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</si>
  <si>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</si>
  <si>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</si>
  <si>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</si>
  <si>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</si>
  <si>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</si>
  <si>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</si>
  <si>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</si>
  <si>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</si>
  <si>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</si>
  <si>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</si>
  <si>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</si>
  <si>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</si>
  <si>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</si>
  <si>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</si>
  <si>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</si>
  <si>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</si>
  <si>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</si>
  <si>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</si>
  <si>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</si>
  <si>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</si>
  <si>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</si>
  <si>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</si>
  <si>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</si>
  <si>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</si>
  <si>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</si>
  <si>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</si>
  <si>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</si>
  <si>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</si>
  <si>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</si>
  <si>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</si>
  <si>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</si>
  <si>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</si>
  <si>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</si>
  <si>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</si>
  <si>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</si>
  <si>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</si>
  <si>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</si>
  <si>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</si>
  <si>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</si>
  <si>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</si>
  <si>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</si>
  <si>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</si>
  <si>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</si>
  <si>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</si>
  <si>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</si>
  <si>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</si>
  <si>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</si>
  <si>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</si>
  <si>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</si>
  <si>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</si>
  <si>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</si>
  <si>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</si>
  <si>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</si>
  <si>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</si>
  <si>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</si>
  <si>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</si>
  <si>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</si>
  <si>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</si>
  <si>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</si>
  <si>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</si>
  <si>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</si>
  <si>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</si>
  <si>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</si>
  <si>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</si>
  <si>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</si>
  <si>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</si>
  <si>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</si>
  <si>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</si>
  <si>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</si>
  <si>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</si>
  <si>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</si>
  <si>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</si>
  <si>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</si>
  <si>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</si>
  <si>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</si>
  <si>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</si>
  <si>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</si>
  <si>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</si>
  <si>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</si>
  <si>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</si>
  <si>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</si>
  <si>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</si>
  <si>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</si>
  <si>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</si>
  <si>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</si>
  <si>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</si>
  <si>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</si>
  <si>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</si>
  <si>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</si>
  <si>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</si>
  <si>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</si>
  <si>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</si>
  <si>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</si>
  <si>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</si>
  <si>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</si>
  <si>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</si>
  <si>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</si>
  <si>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</si>
  <si>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</si>
  <si>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</si>
  <si>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</si>
  <si>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</si>
  <si>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</si>
  <si>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</si>
  <si>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</si>
  <si>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</si>
  <si>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</si>
  <si>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</si>
  <si>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</si>
  <si>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</si>
  <si>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</si>
  <si>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</si>
  <si>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</si>
  <si>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</si>
  <si>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</si>
  <si>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</si>
  <si>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</si>
  <si>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</si>
  <si>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</si>
  <si>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</si>
  <si>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</si>
  <si>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</si>
  <si>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</si>
  <si>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</si>
  <si>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</si>
  <si>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</si>
  <si>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</si>
  <si>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</si>
  <si>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</si>
  <si>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</si>
  <si>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</si>
  <si>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</si>
  <si>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</si>
  <si>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</si>
  <si>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</si>
  <si>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</si>
  <si>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</si>
  <si>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</si>
  <si>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</si>
  <si>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</si>
  <si>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</si>
  <si>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</si>
  <si>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</si>
  <si>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</si>
  <si>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</si>
  <si>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</si>
  <si>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</si>
  <si>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</si>
  <si>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</si>
  <si>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</si>
  <si>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</si>
  <si>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</si>
  <si>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</si>
  <si>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</si>
  <si>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</si>
  <si>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</si>
  <si>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</si>
  <si>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</si>
  <si>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</si>
  <si>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</si>
  <si>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</si>
  <si>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</si>
  <si>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</si>
  <si>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</si>
  <si>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</si>
  <si>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</si>
  <si>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</si>
  <si>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</si>
  <si>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</si>
  <si>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</si>
  <si>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</si>
  <si>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</si>
  <si>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</si>
  <si>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</si>
  <si>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</si>
  <si>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</si>
  <si>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</si>
  <si>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</si>
  <si>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</si>
  <si>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</si>
  <si>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</si>
  <si>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</si>
  <si>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</si>
  <si>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</si>
  <si>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</si>
  <si>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</si>
  <si>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</si>
  <si>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</si>
  <si>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</si>
  <si>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</si>
  <si>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</si>
  <si>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</si>
  <si>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</si>
  <si>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</si>
  <si>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</si>
  <si>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</si>
  <si>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</si>
  <si>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</si>
  <si>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</si>
  <si>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</si>
  <si>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</si>
  <si>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</si>
  <si>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</si>
  <si>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</si>
  <si>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</si>
  <si>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</si>
  <si>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</si>
  <si>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</si>
  <si>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</si>
  <si>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</si>
  <si>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</si>
  <si>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</si>
  <si>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</si>
  <si>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</si>
  <si>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</si>
  <si>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</si>
  <si>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</si>
  <si>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</si>
  <si>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</si>
  <si>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</si>
  <si>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</si>
  <si>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</si>
  <si>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</si>
  <si>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</si>
  <si>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</si>
  <si>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</si>
  <si>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</si>
  <si>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</si>
  <si>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</si>
  <si>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</si>
  <si>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</si>
  <si>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</si>
  <si>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</si>
  <si>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</si>
  <si>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</si>
  <si>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</si>
  <si>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</si>
  <si>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</si>
  <si>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</si>
  <si>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</si>
  <si>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</si>
  <si>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</si>
  <si>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</si>
  <si>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</si>
  <si>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</si>
  <si>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</si>
  <si>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</si>
  <si>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</si>
  <si>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</si>
  <si>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</si>
  <si>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</si>
  <si>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</si>
  <si>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</si>
  <si>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</si>
  <si>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</si>
  <si>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</si>
  <si>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</si>
  <si>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</si>
  <si>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</si>
  <si>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</si>
  <si>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</si>
  <si>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</si>
  <si>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</si>
  <si>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</si>
  <si>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</si>
  <si>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</si>
  <si>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</si>
  <si>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</si>
  <si>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</si>
  <si>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</si>
  <si>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</si>
  <si>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</si>
  <si>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</si>
  <si>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</si>
  <si>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</si>
  <si>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</si>
  <si>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</si>
  <si>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</si>
  <si>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</si>
  <si>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</si>
  <si>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</si>
  <si>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</si>
  <si>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</si>
  <si>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</si>
  <si>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</si>
  <si>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</si>
  <si>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</si>
  <si>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</si>
  <si>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</si>
  <si>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</si>
  <si>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</si>
  <si>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</si>
  <si>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</si>
  <si>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</si>
  <si>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</si>
  <si>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</si>
  <si>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</si>
  <si>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</si>
  <si>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</si>
  <si>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</si>
  <si>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</si>
  <si>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</si>
  <si>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</si>
  <si>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</si>
  <si>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</si>
  <si>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</si>
  <si>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</si>
  <si>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</si>
  <si>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</si>
  <si>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</si>
  <si>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</si>
  <si>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</si>
  <si>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</si>
  <si>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</si>
  <si>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</si>
  <si>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</si>
  <si>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</si>
  <si>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</si>
  <si>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</si>
  <si>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</si>
  <si>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</si>
  <si>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</si>
  <si>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</si>
  <si>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</si>
  <si>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</si>
  <si>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</si>
  <si>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</si>
  <si>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</si>
  <si>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</si>
  <si>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</si>
  <si>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</si>
  <si>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</si>
  <si>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</si>
  <si>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</si>
  <si>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</si>
  <si>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</si>
  <si>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</si>
  <si>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</si>
  <si>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</si>
  <si>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</si>
  <si>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</si>
  <si>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</si>
  <si>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</si>
  <si>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</si>
  <si>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</si>
  <si>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</si>
  <si>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</si>
  <si>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</si>
  <si>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</si>
  <si>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</si>
  <si>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</si>
  <si>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</si>
  <si>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</si>
  <si>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</si>
  <si>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</si>
  <si>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</si>
  <si>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</si>
  <si>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</si>
  <si>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</si>
  <si>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</si>
  <si>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</si>
  <si>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</si>
  <si>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</si>
  <si>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</si>
  <si>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</si>
  <si>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</si>
  <si>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</si>
  <si>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</si>
  <si>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</si>
  <si>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</si>
  <si>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</si>
  <si>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</si>
  <si>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</si>
  <si>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</si>
  <si>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</si>
  <si>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</si>
  <si>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</si>
  <si>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</si>
  <si>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</si>
  <si>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</si>
  <si>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</si>
  <si>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</si>
  <si>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</si>
  <si>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</si>
  <si>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</si>
  <si>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</si>
  <si>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</si>
  <si>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</si>
  <si>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</si>
  <si>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</si>
  <si>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</si>
  <si>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</si>
  <si>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</si>
  <si>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</si>
  <si>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</si>
  <si>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</si>
  <si>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</si>
  <si>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</si>
  <si>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</si>
  <si>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</si>
  <si>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</si>
  <si>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</si>
  <si>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</si>
  <si>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</si>
  <si>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</si>
  <si>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</si>
  <si>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</si>
  <si>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</si>
  <si>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</si>
  <si>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</si>
  <si>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</si>
  <si>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</si>
  <si>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</si>
  <si>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</si>
  <si>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</si>
  <si>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</si>
  <si>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</si>
  <si>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</si>
  <si>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</si>
  <si>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</si>
  <si>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</si>
  <si>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</si>
  <si>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</si>
  <si>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</si>
  <si>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</si>
  <si>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</si>
  <si>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</si>
  <si>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</si>
  <si>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</si>
  <si>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</si>
  <si>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</si>
  <si>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</si>
  <si>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</si>
  <si>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</si>
  <si>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</si>
  <si>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</si>
  <si>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</si>
  <si>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</si>
  <si>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</si>
  <si>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</si>
  <si>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</si>
  <si>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</si>
  <si>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</si>
  <si>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</si>
  <si>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</si>
  <si>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</si>
  <si>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</si>
  <si>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</si>
  <si>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</si>
  <si>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</si>
  <si>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</si>
  <si>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</si>
  <si>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</si>
  <si>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</si>
  <si>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</si>
  <si>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</si>
  <si>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</si>
  <si>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</si>
  <si>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</si>
  <si>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</si>
  <si>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</si>
  <si>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</si>
  <si>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</si>
  <si>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</si>
  <si>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</si>
  <si>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</si>
  <si>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</si>
  <si>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</si>
  <si>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</si>
  <si>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</si>
  <si>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</si>
  <si>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</si>
  <si>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</si>
  <si>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</si>
  <si>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</si>
  <si>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</si>
  <si>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</si>
  <si>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</si>
  <si>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</si>
  <si>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</si>
  <si>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</si>
  <si>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</si>
  <si>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</si>
  <si>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</si>
  <si>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</si>
  <si>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</si>
  <si>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</si>
  <si>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</si>
  <si>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</si>
  <si>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</si>
  <si>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</si>
  <si>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</si>
  <si>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</si>
  <si>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</si>
  <si>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</si>
  <si>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</si>
  <si>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</si>
  <si>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</si>
  <si>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</si>
  <si>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</si>
  <si>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</si>
  <si>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</si>
  <si>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</si>
  <si>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</si>
  <si>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</si>
  <si>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</si>
  <si>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</si>
  <si>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</si>
  <si>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</si>
  <si>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</si>
  <si>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</si>
  <si>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</si>
  <si>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</si>
  <si>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</si>
  <si>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</si>
  <si>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</si>
  <si>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</si>
  <si>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</si>
  <si>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</si>
  <si>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</si>
  <si>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</si>
  <si>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</si>
  <si>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</si>
  <si>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</si>
  <si>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</si>
  <si>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</si>
  <si>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</si>
  <si>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</si>
  <si>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</si>
  <si>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</si>
  <si>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</si>
  <si>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</si>
  <si>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</si>
  <si>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</si>
  <si>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</si>
  <si>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</si>
  <si>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</si>
  <si>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</si>
  <si>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</si>
  <si>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</si>
  <si>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</si>
  <si>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</si>
  <si>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</si>
  <si>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</si>
  <si>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</si>
  <si>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</si>
  <si>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</si>
  <si>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</si>
  <si>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</si>
  <si>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</si>
  <si>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</si>
  <si>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</si>
  <si>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</si>
  <si>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</si>
  <si>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</si>
  <si>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</si>
  <si>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</si>
  <si>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</si>
  <si>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</si>
  <si>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</si>
  <si>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</si>
  <si>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</si>
  <si>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</si>
  <si>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</si>
  <si>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</si>
  <si>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</si>
  <si>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</si>
  <si>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</si>
  <si>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</si>
  <si>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</si>
  <si>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</si>
  <si>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</si>
  <si>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</si>
  <si>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</si>
  <si>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</si>
  <si>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</si>
  <si>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</si>
  <si>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</si>
  <si>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</si>
  <si>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</si>
  <si>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</si>
  <si>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</si>
  <si>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</si>
  <si>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</si>
  <si>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</si>
  <si>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</si>
  <si>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</si>
  <si>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</si>
  <si>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</si>
  <si>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</si>
  <si>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</si>
  <si>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</si>
  <si>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</si>
  <si>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</si>
  <si>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</si>
  <si>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</si>
  <si>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</si>
  <si>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</si>
  <si>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</si>
  <si>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</si>
  <si>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</si>
  <si>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</si>
  <si>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</si>
  <si>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</si>
  <si>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</si>
  <si>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</si>
  <si>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</si>
  <si>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</si>
  <si>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</si>
  <si>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</si>
  <si>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</si>
  <si>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</si>
  <si>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</si>
  <si>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</si>
  <si>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</si>
  <si>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</si>
  <si>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</si>
  <si>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</si>
  <si>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</si>
  <si>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</si>
  <si>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</si>
  <si>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</si>
  <si>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</si>
  <si>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</si>
  <si>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</si>
  <si>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</si>
  <si>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</si>
  <si>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</si>
  <si>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</si>
  <si>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</si>
  <si>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</si>
  <si>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</si>
  <si>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</si>
  <si>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</si>
  <si>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</si>
  <si>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</si>
  <si>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</si>
  <si>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</si>
  <si>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</si>
  <si>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</si>
  <si>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</si>
  <si>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</si>
  <si>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</si>
  <si>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</si>
  <si>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</si>
  <si>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</si>
  <si>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</si>
  <si>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</si>
  <si>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</si>
  <si>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</si>
  <si>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</si>
  <si>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</si>
  <si>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</si>
  <si>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</si>
  <si>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</si>
  <si>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</si>
  <si>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</si>
  <si>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</si>
  <si>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</si>
  <si>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</si>
  <si>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</si>
  <si>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</si>
  <si>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</si>
  <si>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</si>
  <si>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</si>
  <si>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</si>
  <si>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</si>
  <si>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</si>
  <si>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</si>
  <si>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</si>
  <si>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</si>
  <si>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</si>
  <si>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</si>
  <si>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</si>
  <si>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</si>
  <si>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</si>
  <si>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</si>
  <si>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</si>
  <si>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</si>
  <si>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</si>
  <si>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</si>
  <si>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</si>
  <si>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</si>
  <si>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</si>
  <si>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</si>
  <si>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</si>
  <si>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</si>
  <si>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</si>
  <si>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</si>
  <si>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</si>
  <si>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</si>
  <si>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</si>
  <si>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</si>
  <si>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</si>
  <si>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</si>
  <si>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</si>
  <si>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</si>
  <si>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</si>
  <si>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</si>
  <si>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</si>
  <si>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</si>
  <si>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</si>
  <si>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</si>
  <si>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</si>
  <si>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</si>
  <si>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</si>
  <si>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</si>
  <si>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</si>
  <si>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</si>
  <si>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</si>
  <si>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</si>
  <si>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</si>
  <si>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</si>
  <si>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</si>
  <si>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</si>
  <si>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</si>
  <si>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</si>
  <si>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</si>
  <si>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</si>
  <si>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</si>
  <si>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</si>
  <si>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</si>
  <si>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</si>
  <si>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</si>
  <si>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</si>
  <si>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</si>
  <si>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</si>
  <si>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</si>
  <si>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</si>
  <si>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</si>
  <si>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</si>
  <si>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</si>
  <si>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</si>
  <si>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</si>
  <si>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</si>
  <si>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</si>
  <si>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</si>
  <si>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</si>
  <si>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</si>
  <si>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</si>
  <si>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</si>
  <si>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</si>
  <si>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</si>
  <si>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</si>
  <si>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</si>
  <si>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</si>
  <si>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</si>
  <si>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</si>
  <si>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</si>
  <si>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</si>
  <si>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</si>
  <si>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</si>
  <si>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</si>
  <si>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</si>
  <si>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</si>
  <si>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</si>
  <si>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</si>
  <si>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</si>
  <si>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</si>
  <si>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</si>
  <si>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</si>
  <si>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</si>
  <si>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</si>
  <si>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</si>
  <si>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</si>
  <si>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</si>
  <si>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</si>
  <si>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</si>
  <si>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</si>
  <si>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</si>
  <si>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</si>
  <si>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</si>
  <si>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</si>
  <si>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</si>
  <si>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</si>
  <si>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</si>
  <si>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</si>
  <si>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</si>
  <si>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</si>
  <si>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</si>
  <si>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</si>
  <si>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</si>
  <si>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</si>
  <si>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</si>
  <si>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</si>
  <si>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</si>
  <si>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</si>
  <si>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</si>
  <si>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</si>
  <si>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</si>
  <si>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</si>
  <si>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</si>
  <si>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</si>
  <si>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</si>
  <si>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</si>
  <si>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</si>
  <si>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</si>
  <si>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</si>
  <si>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</si>
  <si>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</si>
  <si>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</si>
  <si>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</si>
  <si>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</si>
  <si>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</si>
  <si>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</si>
  <si>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</si>
  <si>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</si>
  <si>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</si>
  <si>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</si>
  <si>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</si>
  <si>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</si>
  <si>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</si>
  <si>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</si>
  <si>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</si>
  <si>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</si>
  <si>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</si>
  <si>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</si>
  <si>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</si>
  <si>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</si>
  <si>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</si>
  <si>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</si>
  <si>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</si>
  <si>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</si>
  <si>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</si>
  <si>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</si>
  <si>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</si>
  <si>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</si>
  <si>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</si>
  <si>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</si>
  <si>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</si>
  <si>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</si>
  <si>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</si>
  <si>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</si>
  <si>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</si>
  <si>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</si>
  <si>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</si>
  <si>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</si>
  <si>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</si>
  <si>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</si>
  <si>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</si>
  <si>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</si>
  <si>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</si>
  <si>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</si>
  <si>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</si>
  <si>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</si>
  <si>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</si>
  <si>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</si>
  <si>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</si>
  <si>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</si>
  <si>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</si>
  <si>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</si>
  <si>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</si>
  <si>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</si>
  <si>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</si>
  <si>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</si>
  <si>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</si>
  <si>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</si>
  <si>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</si>
  <si>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</si>
  <si>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</si>
  <si>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</si>
  <si>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</si>
  <si>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</si>
  <si>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</si>
  <si>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</si>
  <si>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</si>
  <si>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</si>
  <si>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</si>
  <si>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</si>
  <si>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</si>
  <si>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</si>
  <si>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</si>
  <si>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</si>
  <si>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</si>
  <si>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</si>
  <si>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</si>
  <si>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</si>
  <si>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</si>
  <si>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</si>
  <si>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</si>
  <si>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</si>
  <si>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</si>
  <si>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</si>
  <si>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</si>
  <si>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</si>
  <si>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</si>
  <si>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</si>
  <si>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</si>
  <si>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</si>
  <si>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</si>
  <si>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</si>
  <si>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</si>
  <si>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</si>
  <si>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</si>
  <si>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</si>
  <si>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</si>
  <si>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</si>
  <si>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</si>
  <si>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</si>
  <si>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</si>
  <si>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</si>
  <si>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</si>
  <si>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</si>
  <si>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</si>
  <si>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</si>
  <si>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</si>
  <si>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</si>
  <si>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</si>
  <si>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</si>
  <si>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</si>
  <si>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</si>
  <si>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</si>
  <si>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</si>
  <si>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</si>
  <si>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</si>
  <si>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</si>
  <si>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</si>
  <si>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</si>
  <si>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</si>
  <si>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</si>
  <si>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</si>
  <si>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</si>
  <si>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</si>
  <si>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</si>
  <si>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</si>
  <si>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</si>
  <si>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</si>
  <si>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</si>
  <si>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</si>
  <si>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</si>
  <si>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</si>
  <si>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</si>
  <si>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</si>
  <si>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</si>
  <si>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</si>
  <si>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</si>
  <si>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</si>
  <si>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</si>
  <si>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</si>
  <si>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</si>
  <si>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</si>
  <si>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</si>
  <si>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</si>
  <si>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</si>
  <si>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</si>
  <si>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</si>
  <si>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</si>
  <si>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</si>
  <si>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</si>
  <si>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</si>
  <si>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</si>
  <si>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</si>
  <si>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</si>
  <si>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</si>
  <si>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</si>
  <si>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</si>
  <si>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</si>
  <si>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</si>
  <si>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</si>
  <si>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</si>
  <si>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</si>
  <si>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</si>
  <si>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</si>
  <si>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</si>
  <si>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</si>
  <si>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</si>
  <si>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</si>
  <si>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</si>
  <si>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</si>
  <si>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</si>
  <si>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</si>
  <si>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</si>
  <si>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</si>
  <si>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</si>
  <si>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</si>
  <si>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</si>
  <si>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</si>
  <si>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</si>
  <si>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</si>
  <si>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</si>
  <si>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</si>
  <si>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</si>
  <si>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</si>
  <si>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</si>
  <si>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</si>
  <si>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</si>
  <si>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</si>
  <si>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</si>
  <si>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</si>
  <si>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</si>
  <si>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</si>
  <si>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</si>
  <si>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</si>
  <si>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</si>
  <si>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</si>
  <si>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</si>
  <si>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</si>
  <si>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</si>
  <si>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</si>
  <si>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</si>
  <si>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</si>
  <si>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</si>
  <si>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</si>
  <si>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</si>
  <si>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</si>
  <si>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</si>
  <si>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</si>
  <si>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</si>
  <si>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</si>
  <si>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</si>
  <si>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</si>
  <si>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</si>
  <si>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</si>
  <si>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</si>
  <si>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</si>
  <si>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</si>
  <si>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</si>
  <si>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</si>
  <si>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</si>
  <si>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</si>
  <si>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</si>
  <si>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</si>
  <si>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</si>
  <si>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</si>
  <si>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</si>
  <si>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</si>
  <si>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</si>
  <si>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</si>
  <si>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</si>
  <si>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</si>
  <si>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</si>
  <si>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</si>
  <si>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</si>
  <si>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</si>
  <si>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</si>
  <si>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</si>
  <si>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</si>
  <si>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</si>
  <si>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</si>
  <si>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</si>
  <si>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</si>
  <si>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</si>
  <si>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</si>
  <si>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</si>
  <si>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</si>
  <si>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</si>
  <si>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</si>
  <si>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</si>
  <si>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</si>
  <si>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</si>
  <si>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</si>
  <si>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</si>
  <si>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</si>
  <si>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</si>
  <si>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</si>
  <si>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</si>
  <si>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</si>
  <si>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</si>
  <si>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</si>
  <si>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</si>
  <si>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</si>
  <si>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</si>
  <si>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</si>
  <si>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</si>
  <si>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</si>
  <si>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</si>
  <si>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</si>
  <si>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</si>
  <si>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</si>
  <si>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</si>
  <si>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</si>
  <si>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</si>
  <si>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</si>
  <si>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</si>
  <si>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</si>
  <si>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</si>
  <si>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</si>
  <si>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</si>
  <si>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</si>
  <si>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</si>
  <si>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</si>
  <si>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</si>
  <si>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</si>
  <si>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</si>
  <si>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</si>
  <si>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</si>
  <si>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</si>
  <si>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</si>
  <si>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</si>
  <si>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</si>
  <si>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</si>
  <si>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</si>
  <si>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</si>
  <si>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</si>
  <si>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</si>
  <si>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</si>
  <si>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</si>
  <si>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</si>
  <si>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</si>
  <si>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</si>
  <si>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</si>
  <si>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</si>
  <si>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</si>
  <si>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</si>
  <si>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</si>
  <si>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</si>
  <si>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</si>
  <si>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</si>
  <si>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</si>
  <si>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</si>
  <si>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</si>
  <si>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</si>
  <si>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</si>
  <si>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</si>
  <si>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</si>
  <si>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</si>
  <si>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</si>
  <si>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</si>
  <si>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</si>
  <si>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</si>
  <si>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</si>
  <si>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</si>
  <si>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</si>
  <si>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</si>
  <si>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</si>
  <si>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</si>
  <si>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</si>
  <si>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</si>
  <si>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</si>
  <si>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</si>
  <si>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</si>
  <si>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</si>
  <si>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</si>
  <si>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</si>
  <si>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</si>
  <si>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</si>
  <si>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</si>
  <si>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</si>
  <si>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</si>
  <si>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</si>
  <si>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</si>
  <si>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</si>
  <si>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</si>
  <si>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</si>
  <si>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</si>
  <si>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</si>
  <si>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</si>
  <si>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</si>
  <si>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</si>
  <si>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</si>
  <si>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</si>
  <si>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</si>
  <si>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</si>
  <si>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</si>
  <si>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</si>
  <si>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</si>
  <si>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</si>
  <si>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</si>
  <si>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</si>
  <si>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</si>
  <si>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</si>
  <si>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</si>
  <si>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</si>
  <si>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</si>
  <si>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</si>
  <si>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</si>
  <si>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</si>
  <si>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</si>
  <si>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</si>
  <si>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</si>
  <si>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</si>
  <si>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</si>
  <si>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</si>
  <si>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</si>
  <si>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</si>
  <si>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</si>
  <si>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</si>
  <si>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</si>
  <si>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</si>
  <si>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</si>
  <si>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</si>
  <si>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</si>
  <si>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</si>
  <si>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</si>
  <si>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</si>
  <si>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</si>
  <si>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</si>
  <si>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</si>
  <si>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</si>
  <si>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</si>
  <si>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</si>
  <si>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</si>
  <si>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</si>
  <si>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</si>
  <si>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</si>
  <si>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</si>
  <si>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</si>
  <si>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</si>
  <si>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</si>
  <si>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</si>
  <si>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</si>
  <si>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</si>
  <si>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</si>
  <si>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</si>
  <si>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</si>
  <si>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</si>
  <si>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</si>
  <si>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</si>
  <si>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</si>
  <si>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</si>
  <si>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</si>
  <si>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</si>
  <si>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</si>
  <si>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</si>
  <si>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</si>
  <si>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</si>
  <si>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</si>
  <si>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</si>
  <si>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</si>
  <si>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</si>
  <si>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</si>
  <si>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</si>
  <si>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</si>
  <si>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</si>
  <si>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</si>
  <si>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</si>
  <si>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</si>
  <si>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</si>
  <si>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</si>
  <si>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</si>
  <si>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</si>
  <si>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</si>
  <si>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</si>
  <si>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</si>
  <si>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</si>
  <si>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</si>
  <si>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</si>
  <si>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</si>
  <si>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</si>
  <si>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</si>
  <si>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</si>
  <si>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</si>
  <si>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</si>
  <si>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</si>
  <si>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</si>
  <si>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</si>
  <si>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</si>
  <si>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</si>
  <si>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</si>
  <si>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</si>
  <si>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</si>
  <si>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</si>
  <si>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</si>
  <si>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</si>
  <si>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</si>
  <si>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</si>
  <si>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</si>
  <si>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</si>
  <si>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</si>
  <si>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</si>
  <si>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</si>
  <si>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</si>
  <si>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</si>
  <si>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</si>
  <si>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</si>
  <si>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</si>
  <si>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</si>
  <si>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</si>
  <si>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</si>
  <si>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</si>
  <si>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</si>
  <si>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</si>
  <si>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</si>
  <si>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</si>
  <si>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</si>
  <si>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</si>
  <si>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</si>
  <si>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</si>
  <si>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</si>
  <si>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</si>
  <si>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</si>
  <si>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</si>
  <si>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</si>
  <si>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</si>
  <si>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</si>
  <si>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</si>
  <si>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</si>
  <si>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</si>
  <si>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</si>
  <si>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</si>
  <si>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</si>
  <si>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</si>
  <si>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</si>
  <si>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</si>
  <si>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</si>
  <si>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</si>
  <si>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</si>
  <si>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</si>
  <si>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</si>
  <si>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</si>
  <si>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</si>
  <si>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</si>
  <si>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</si>
  <si>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</si>
  <si>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</si>
  <si>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</si>
  <si>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</si>
  <si>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</si>
  <si>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</si>
  <si>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</si>
  <si>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</si>
  <si>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</si>
  <si>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</si>
  <si>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</si>
  <si>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</si>
  <si>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</si>
  <si>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</si>
  <si>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</si>
  <si>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</si>
  <si>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</si>
  <si>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</si>
  <si>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</si>
  <si>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</si>
  <si>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</si>
  <si>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</si>
  <si>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</si>
  <si>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</si>
  <si>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</si>
  <si>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</si>
  <si>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</si>
  <si>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</si>
  <si>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</si>
  <si>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</si>
  <si>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</si>
  <si>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</si>
  <si>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</si>
  <si>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</si>
  <si>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</si>
  <si>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</si>
  <si>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</si>
  <si>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</si>
  <si>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</si>
  <si>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</si>
  <si>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</si>
  <si>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</si>
  <si>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</si>
  <si>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</si>
  <si>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</si>
  <si>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</si>
  <si>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</si>
  <si>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</si>
  <si>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</si>
  <si>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</si>
  <si>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</si>
  <si>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</si>
  <si>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</si>
  <si>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</si>
  <si>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</si>
  <si>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</si>
  <si>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</si>
  <si>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</si>
  <si>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</si>
  <si>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</si>
  <si>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</si>
  <si>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</si>
  <si>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</si>
  <si>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</si>
  <si>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</si>
  <si>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</si>
  <si>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</si>
  <si>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</si>
  <si>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</si>
  <si>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</si>
  <si>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</si>
  <si>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</si>
  <si>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</si>
  <si>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</si>
  <si>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</si>
  <si>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</si>
  <si>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</si>
  <si>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</si>
  <si>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</si>
  <si>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</si>
  <si>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</si>
  <si>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</si>
  <si>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</si>
  <si>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</si>
  <si>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</si>
  <si>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</si>
  <si>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</si>
  <si>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</si>
  <si>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</si>
  <si>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</si>
  <si>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</si>
  <si>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</si>
  <si>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</si>
  <si>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</si>
  <si>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</si>
  <si>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</si>
  <si>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</si>
  <si>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</si>
  <si>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</si>
  <si>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</si>
  <si>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</si>
  <si>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</si>
  <si>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</si>
  <si>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</si>
  <si>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</si>
  <si>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</si>
  <si>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</si>
  <si>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</si>
  <si>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</si>
  <si>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</si>
  <si>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</si>
  <si>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</si>
  <si>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</si>
  <si>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</si>
  <si>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</si>
  <si>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</si>
  <si>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</si>
  <si>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</si>
  <si>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</si>
  <si>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</si>
  <si>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</si>
  <si>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</si>
  <si>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</si>
  <si>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</si>
  <si>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</si>
  <si>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</si>
  <si>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</si>
  <si>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</si>
  <si>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</si>
  <si>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</si>
  <si>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</si>
  <si>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</si>
  <si>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</si>
  <si>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</si>
  <si>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</si>
  <si>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</si>
  <si>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</si>
  <si>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</si>
  <si>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</si>
  <si>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</si>
  <si>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</si>
  <si>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</si>
  <si>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</si>
  <si>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</si>
  <si>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</si>
  <si>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</si>
  <si>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</si>
  <si>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</si>
  <si>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</si>
  <si>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</si>
  <si>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</si>
  <si>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</si>
  <si>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</si>
  <si>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</si>
  <si>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</si>
  <si>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</si>
  <si>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</si>
  <si>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</si>
  <si>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</si>
  <si>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</si>
  <si>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</si>
  <si>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</si>
  <si>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</si>
  <si>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</si>
  <si>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</si>
  <si>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</si>
  <si>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</si>
  <si>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</si>
  <si>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</si>
  <si>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</si>
  <si>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</si>
  <si>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</si>
  <si>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</si>
  <si>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</si>
  <si>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</si>
  <si>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</si>
  <si>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</si>
  <si>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</si>
  <si>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</si>
  <si>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</si>
  <si>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</si>
  <si>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</si>
  <si>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</si>
  <si>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</si>
  <si>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</si>
  <si>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</si>
  <si>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</si>
  <si>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</si>
  <si>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</si>
  <si>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</si>
  <si>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</si>
  <si>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</si>
  <si>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</si>
  <si>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</si>
  <si>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</si>
  <si>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</si>
  <si>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</si>
  <si>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</si>
  <si>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</si>
  <si>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</si>
  <si>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</si>
  <si>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</si>
  <si>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</si>
  <si>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</si>
  <si>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</si>
  <si>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</si>
  <si>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</si>
  <si>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</si>
  <si>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</si>
  <si>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</si>
  <si>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</si>
  <si>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</si>
  <si>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</si>
  <si>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</si>
  <si>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</si>
  <si>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</si>
  <si>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</si>
  <si>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</si>
  <si>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</si>
  <si>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</si>
  <si>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</si>
  <si>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</si>
  <si>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</si>
  <si>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</si>
  <si>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</si>
  <si>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</si>
  <si>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</si>
  <si>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</si>
  <si>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</si>
  <si>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</si>
  <si>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</si>
  <si>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</si>
  <si>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</si>
  <si>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</si>
  <si>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</si>
  <si>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</si>
  <si>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</si>
  <si>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</si>
  <si>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</si>
  <si>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</si>
  <si>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</si>
  <si>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</si>
  <si>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</si>
  <si>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</si>
  <si>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</si>
  <si>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</si>
  <si>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</si>
  <si>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</si>
  <si>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</si>
  <si>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</si>
  <si>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</si>
  <si>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</si>
  <si>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</si>
  <si>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</si>
  <si>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</si>
  <si>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</si>
  <si>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</si>
  <si>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</si>
  <si>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</si>
  <si>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</si>
  <si>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</si>
  <si>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</si>
  <si>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</si>
  <si>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</si>
  <si>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</si>
  <si>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</si>
  <si>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</si>
  <si>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</si>
  <si>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</si>
  <si>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</si>
  <si>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</si>
  <si>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</si>
  <si>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</si>
  <si>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</si>
  <si>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</si>
  <si>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</si>
  <si>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</si>
  <si>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</si>
  <si>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</si>
  <si>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</si>
  <si>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</si>
  <si>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</si>
  <si>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</si>
  <si>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</si>
  <si>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</si>
  <si>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</si>
  <si>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</si>
  <si>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</si>
  <si>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</si>
  <si>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</si>
  <si>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</si>
  <si>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</si>
  <si>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</si>
  <si>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</si>
  <si>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</si>
  <si>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</si>
  <si>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</si>
  <si>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</si>
  <si>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</si>
  <si>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</si>
  <si>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</si>
  <si>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</si>
  <si>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</si>
  <si>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</si>
  <si>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</si>
  <si>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</si>
  <si>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</si>
  <si>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</si>
  <si>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</si>
  <si>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</si>
  <si>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</si>
  <si>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</si>
  <si>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</si>
  <si>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</si>
  <si>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</si>
  <si>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</si>
  <si>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</si>
  <si>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</si>
  <si>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</si>
  <si>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</si>
  <si>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</si>
  <si>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</si>
  <si>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</si>
  <si>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</si>
  <si>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</si>
  <si>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</si>
  <si>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</si>
  <si>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</si>
  <si>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</si>
  <si>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</si>
  <si>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</si>
  <si>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</si>
  <si>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</si>
  <si>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</si>
  <si>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</si>
  <si>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</si>
  <si>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</si>
  <si>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</si>
  <si>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</si>
  <si>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</si>
  <si>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</si>
  <si>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</si>
  <si>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</si>
  <si>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</si>
  <si>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</si>
  <si>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</si>
  <si>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</si>
  <si>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</si>
  <si>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</si>
  <si>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</si>
  <si>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</si>
  <si>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</si>
  <si>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</si>
  <si>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</si>
  <si>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</si>
  <si>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</si>
  <si>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</si>
  <si>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</si>
  <si>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</si>
  <si>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</si>
  <si>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</si>
  <si>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</si>
  <si>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</si>
  <si>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</si>
  <si>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</si>
  <si>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</si>
  <si>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</si>
  <si>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</si>
  <si>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</si>
  <si>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</si>
  <si>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</si>
  <si>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</si>
  <si>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</si>
  <si>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</si>
  <si>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</si>
  <si>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</si>
  <si>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</si>
  <si>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</si>
  <si>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</si>
  <si>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</si>
  <si>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</si>
  <si>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</si>
  <si>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</si>
  <si>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</si>
  <si>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</si>
  <si>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</si>
  <si>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</si>
  <si>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</si>
  <si>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</si>
  <si>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</si>
  <si>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</si>
  <si>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</si>
  <si>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</si>
  <si>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</si>
  <si>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</si>
  <si>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</si>
  <si>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</si>
  <si>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</si>
  <si>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</si>
  <si>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</si>
  <si>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</si>
  <si>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</si>
  <si>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</si>
  <si>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</si>
  <si>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</si>
  <si>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</si>
  <si>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</si>
  <si>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</si>
  <si>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</si>
  <si>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</si>
  <si>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</si>
  <si>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</si>
  <si>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</si>
  <si>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</si>
  <si>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</si>
  <si>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</si>
  <si>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</si>
  <si>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</si>
  <si>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</si>
  <si>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</si>
  <si>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</si>
  <si>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</si>
  <si>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</si>
  <si>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</si>
  <si>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</si>
  <si>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</si>
  <si>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</si>
  <si>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</si>
  <si>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</si>
  <si>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</si>
  <si>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</si>
  <si>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</si>
  <si>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</si>
  <si>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</si>
  <si>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</si>
  <si>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</si>
  <si>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</si>
  <si>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</si>
  <si>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</si>
  <si>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</si>
  <si>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</si>
  <si>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</si>
  <si>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</si>
  <si>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</si>
  <si>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</si>
  <si>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</si>
  <si>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</si>
  <si>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</si>
  <si>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</si>
  <si>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</si>
  <si>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</si>
  <si>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</si>
  <si>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</si>
  <si>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</si>
  <si>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</si>
  <si>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</si>
  <si>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</si>
  <si>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</si>
  <si>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</si>
  <si>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</si>
  <si>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</si>
  <si>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</si>
  <si>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</si>
  <si>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</si>
  <si>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</si>
  <si>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</si>
  <si>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</si>
  <si>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</si>
  <si>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</si>
  <si>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</si>
  <si>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</si>
  <si>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</si>
  <si>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</si>
  <si>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</si>
  <si>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</si>
  <si>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</si>
  <si>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</si>
  <si>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</si>
  <si>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</si>
  <si>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</si>
  <si>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</si>
  <si>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</si>
  <si>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</si>
  <si>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</si>
  <si>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</si>
  <si>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</si>
  <si>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</si>
  <si>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</si>
  <si>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</si>
  <si>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</si>
  <si>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</si>
  <si>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</si>
  <si>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</si>
  <si>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</si>
  <si>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</si>
  <si>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</si>
  <si>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</si>
  <si>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</si>
  <si>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</si>
  <si>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</si>
  <si>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</si>
  <si>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</si>
  <si>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</si>
  <si>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</si>
  <si>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</si>
  <si>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</si>
  <si>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</si>
  <si>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</si>
  <si>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</si>
  <si>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</si>
  <si>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</si>
  <si>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</si>
  <si>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</si>
  <si>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</si>
  <si>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</si>
  <si>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</si>
  <si>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</si>
  <si>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</si>
  <si>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</si>
  <si>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</si>
  <si>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</si>
  <si>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</si>
  <si>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</si>
  <si>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</si>
  <si>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</si>
  <si>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</si>
  <si>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</si>
  <si>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</si>
  <si>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</si>
  <si>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</si>
  <si>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</si>
  <si>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</si>
  <si>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</si>
  <si>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</si>
  <si>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</si>
  <si>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</si>
  <si>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</si>
  <si>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</si>
  <si>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</si>
  <si>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</si>
  <si>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</si>
  <si>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</si>
  <si>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</si>
  <si>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</si>
  <si>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</si>
  <si>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</si>
  <si>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</si>
  <si>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</si>
  <si>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</si>
  <si>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</si>
  <si>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</si>
  <si>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</si>
  <si>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</si>
  <si>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</si>
  <si>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</si>
  <si>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</si>
  <si>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</si>
  <si>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</si>
  <si>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</si>
  <si>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</si>
  <si>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</si>
  <si>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</si>
  <si>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</si>
  <si>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</si>
  <si>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</si>
  <si>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</si>
  <si>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</si>
  <si>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</si>
  <si>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</si>
  <si>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</si>
  <si>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</si>
  <si>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</si>
  <si>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</si>
  <si>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</si>
  <si>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</si>
  <si>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</si>
  <si>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</si>
  <si>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</si>
  <si>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</si>
  <si>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</si>
  <si>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</si>
  <si>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</si>
  <si>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</si>
  <si>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</si>
  <si>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</si>
  <si>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</si>
  <si>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</si>
  <si>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</si>
  <si>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</si>
  <si>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</si>
  <si>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</si>
  <si>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</si>
  <si>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</si>
  <si>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</si>
  <si>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</si>
  <si>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</si>
  <si>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</si>
  <si>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</si>
  <si>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</si>
  <si>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</si>
  <si>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</si>
  <si>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</si>
  <si>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</si>
  <si>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</si>
  <si>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</si>
  <si>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</si>
  <si>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</si>
  <si>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</si>
  <si>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</si>
  <si>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</si>
  <si>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</si>
  <si>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</si>
  <si>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</si>
  <si>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</si>
  <si>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</si>
  <si>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</si>
  <si>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</si>
  <si>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</si>
  <si>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</si>
  <si>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</si>
  <si>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</si>
  <si>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</si>
  <si>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</si>
  <si>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</si>
  <si>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</si>
  <si>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</si>
  <si>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</si>
  <si>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</si>
  <si>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</si>
  <si>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</si>
  <si>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</si>
  <si>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</si>
  <si>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</si>
  <si>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</si>
  <si>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</si>
  <si>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</si>
  <si>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</si>
  <si>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</si>
  <si>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</si>
  <si>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</si>
  <si>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</si>
  <si>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</si>
  <si>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</si>
  <si>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</si>
  <si>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</si>
  <si>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</si>
  <si>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</si>
  <si>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</si>
  <si>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</si>
  <si>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</si>
  <si>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</si>
  <si>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</si>
  <si>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</si>
  <si>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</si>
  <si>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</si>
  <si>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</si>
  <si>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</si>
  <si>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</si>
  <si>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</si>
  <si>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</si>
  <si>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</si>
  <si>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</si>
  <si>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</si>
  <si>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</si>
  <si>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</si>
  <si>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</si>
  <si>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</si>
  <si>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</si>
  <si>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</si>
  <si>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</si>
  <si>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</si>
  <si>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</si>
  <si>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</si>
  <si>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</si>
  <si>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</si>
  <si>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</si>
  <si>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</si>
  <si>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</si>
  <si>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</si>
  <si>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</si>
  <si>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</si>
  <si>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</si>
  <si>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</si>
  <si>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</si>
  <si>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</si>
  <si>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</si>
  <si>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</si>
  <si>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</si>
  <si>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</si>
  <si>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</si>
  <si>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</si>
  <si>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</si>
  <si>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</si>
  <si>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</si>
  <si>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</si>
  <si>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</si>
  <si>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</si>
  <si>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</si>
  <si>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</si>
  <si>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</si>
  <si>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</si>
  <si>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</si>
  <si>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</si>
  <si>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</si>
  <si>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</si>
  <si>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</si>
  <si>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</si>
  <si>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</si>
  <si>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</si>
  <si>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</si>
  <si>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</si>
  <si>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</si>
  <si>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</si>
  <si>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</si>
  <si>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</si>
  <si>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</si>
  <si>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</si>
  <si>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</si>
  <si>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</si>
  <si>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</si>
  <si>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</si>
  <si>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</si>
  <si>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</si>
  <si>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</si>
  <si>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</si>
  <si>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</si>
  <si>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</si>
  <si>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</si>
  <si>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</si>
  <si>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</si>
  <si>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</si>
  <si>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</si>
  <si>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</si>
  <si>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</si>
  <si>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</si>
  <si>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</si>
  <si>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</si>
  <si>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</si>
  <si>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</si>
  <si>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</si>
  <si>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</si>
  <si>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</si>
  <si>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</si>
  <si>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</si>
  <si>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</si>
  <si>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</si>
  <si>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</si>
  <si>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</si>
  <si>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</si>
  <si>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</si>
  <si>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</si>
  <si>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</si>
  <si>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</si>
  <si>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</si>
  <si>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</si>
  <si>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</si>
  <si>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</si>
  <si>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</si>
  <si>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</si>
  <si>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</si>
  <si>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</si>
  <si>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</si>
  <si>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</si>
  <si>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</si>
  <si>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</si>
  <si>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</si>
  <si>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</si>
  <si>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</si>
  <si>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</si>
  <si>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</si>
  <si>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</si>
  <si>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</si>
  <si>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</si>
  <si>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</si>
  <si>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</si>
  <si>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</si>
  <si>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</si>
  <si>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</si>
  <si>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</si>
  <si>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</si>
  <si>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</si>
  <si>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</si>
  <si>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</si>
  <si>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</si>
  <si>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</si>
  <si>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</si>
  <si>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</si>
  <si>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</si>
  <si>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</si>
  <si>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</si>
  <si>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</si>
  <si>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</si>
  <si>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</si>
  <si>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</si>
  <si>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</si>
  <si>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</si>
  <si>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</si>
  <si>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</si>
  <si>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</si>
  <si>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</si>
  <si>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</si>
  <si>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</si>
  <si>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</si>
  <si>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</si>
  <si>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</si>
  <si>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</si>
  <si>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</si>
  <si>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</si>
  <si>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</si>
  <si>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</si>
  <si>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</si>
  <si>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</si>
  <si>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</si>
  <si>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</si>
  <si>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</si>
  <si>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</si>
  <si>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</si>
  <si>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</si>
  <si>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</si>
  <si>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</si>
  <si>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</si>
  <si>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</si>
  <si>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</si>
  <si>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</si>
  <si>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</si>
  <si>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</si>
  <si>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</si>
  <si>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</si>
  <si>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</si>
  <si>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</si>
  <si>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</si>
  <si>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</si>
  <si>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</si>
  <si>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</si>
  <si>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</si>
  <si>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</si>
  <si>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</si>
  <si>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</si>
  <si>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</si>
  <si>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</si>
  <si>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</si>
  <si>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</si>
  <si>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</si>
  <si>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</si>
  <si>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</si>
  <si>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</si>
  <si>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</si>
  <si>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</si>
  <si>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</si>
  <si>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</si>
  <si>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</si>
  <si>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</si>
  <si>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</si>
  <si>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</si>
  <si>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</si>
  <si>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</si>
  <si>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</si>
  <si>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</si>
  <si>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</si>
  <si>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</si>
  <si>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</si>
  <si>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</si>
  <si>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</si>
  <si>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</si>
  <si>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</si>
  <si>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</si>
  <si>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</si>
  <si>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</si>
  <si>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</si>
  <si>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</si>
  <si>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</si>
  <si>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</si>
  <si>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</si>
  <si>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</si>
  <si>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</si>
  <si>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</si>
  <si>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</si>
  <si>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</si>
  <si>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</si>
  <si>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</si>
  <si>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</si>
  <si>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</si>
  <si>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</si>
  <si>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</si>
  <si>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</si>
  <si>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</si>
  <si>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</si>
  <si>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</si>
  <si>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</si>
  <si>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</si>
  <si>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</si>
  <si>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</si>
  <si>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</si>
  <si>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</si>
  <si>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</si>
  <si>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</si>
  <si>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</si>
  <si>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</si>
  <si>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</si>
  <si>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</si>
  <si>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</si>
  <si>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</si>
  <si>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</si>
  <si>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</si>
  <si>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</si>
  <si>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</si>
  <si>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</si>
  <si>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</si>
  <si>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</si>
  <si>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</si>
  <si>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</si>
  <si>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</si>
  <si>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</si>
  <si>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</si>
  <si>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</si>
  <si>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</si>
  <si>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</si>
  <si>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</si>
  <si>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</si>
  <si>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</si>
  <si>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</si>
  <si>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</si>
  <si>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</si>
  <si>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</si>
  <si>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</si>
  <si>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</si>
  <si>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</si>
  <si>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</si>
  <si>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</si>
  <si>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</si>
  <si>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</si>
  <si>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</si>
  <si>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</si>
  <si>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</si>
  <si>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</si>
  <si>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</si>
  <si>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</si>
  <si>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</si>
  <si>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</si>
  <si>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</si>
  <si>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</si>
  <si>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</si>
  <si>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</si>
  <si>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</si>
  <si>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</si>
  <si>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</si>
  <si>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</si>
  <si>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</si>
  <si>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</si>
  <si>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</si>
  <si>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</si>
  <si>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</si>
  <si>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</si>
  <si>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</si>
  <si>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</si>
  <si>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</si>
  <si>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</si>
  <si>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</si>
  <si>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</si>
  <si>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</si>
  <si>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</si>
  <si>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</si>
  <si>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</si>
  <si>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</si>
  <si>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</si>
  <si>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</si>
  <si>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</si>
  <si>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</si>
  <si>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</si>
  <si>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</si>
  <si>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</si>
  <si>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</si>
  <si>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</si>
  <si>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</si>
  <si>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</si>
  <si>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</si>
  <si>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</si>
  <si>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</si>
  <si>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</si>
  <si>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</si>
  <si>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</si>
  <si>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</si>
  <si>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</si>
  <si>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</si>
  <si>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</si>
  <si>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</si>
  <si>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</si>
  <si>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</si>
  <si>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</si>
  <si>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</si>
  <si>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</si>
  <si>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</si>
  <si>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</si>
  <si>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</si>
  <si>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</si>
  <si>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</si>
  <si>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</si>
  <si>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</si>
  <si>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</si>
  <si>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</si>
  <si>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</si>
  <si>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</si>
  <si>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</si>
  <si>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</si>
  <si>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</si>
  <si>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</si>
  <si>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</si>
  <si>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</si>
  <si>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</si>
  <si>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</si>
  <si>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</si>
  <si>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</si>
  <si>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</si>
  <si>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</si>
  <si>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</si>
  <si>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</si>
  <si>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</si>
  <si>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</si>
  <si>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</si>
  <si>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</si>
  <si>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</si>
  <si>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</si>
  <si>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</si>
  <si>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</si>
  <si>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</si>
  <si>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</si>
  <si>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</si>
  <si>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</si>
  <si>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</si>
  <si>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</si>
  <si>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</si>
  <si>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</si>
  <si>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</si>
  <si>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</si>
  <si>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</si>
  <si>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</si>
  <si>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</si>
  <si>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</si>
  <si>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</si>
  <si>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</si>
  <si>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</si>
  <si>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</si>
  <si>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</si>
  <si>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</si>
  <si>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</si>
  <si>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</si>
  <si>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</si>
  <si>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</si>
  <si>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</si>
  <si>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</si>
  <si>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</si>
  <si>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</si>
  <si>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</si>
  <si>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</si>
  <si>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</si>
  <si>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</si>
  <si>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</si>
  <si>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</si>
  <si>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</si>
  <si>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</si>
  <si>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</si>
  <si>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</si>
  <si>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</si>
  <si>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</si>
  <si>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</si>
  <si>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</si>
  <si>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</si>
  <si>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</si>
  <si>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</si>
  <si>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</si>
  <si>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</si>
  <si>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</si>
  <si>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</si>
  <si>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</si>
  <si>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</si>
  <si>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</si>
  <si>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</si>
  <si>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</si>
  <si>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</si>
  <si>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</si>
  <si>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</si>
  <si>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</si>
  <si>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</si>
  <si>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</si>
  <si>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</si>
  <si>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</si>
  <si>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</si>
  <si>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</si>
  <si>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</si>
  <si>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</si>
  <si>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</si>
  <si>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</si>
  <si>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</si>
  <si>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</si>
  <si>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</si>
  <si>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</si>
  <si>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</si>
  <si>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</si>
  <si>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</si>
  <si>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</si>
  <si>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</si>
  <si>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</si>
  <si>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</si>
  <si>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</si>
  <si>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</si>
  <si>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</si>
  <si>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</si>
  <si>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</si>
  <si>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</si>
  <si>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</si>
  <si>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</si>
  <si>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</si>
  <si>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</si>
  <si>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</si>
  <si>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</si>
  <si>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</si>
  <si>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</si>
  <si>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</si>
  <si>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</si>
  <si>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</si>
  <si>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</si>
  <si>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</si>
  <si>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</si>
  <si>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</si>
  <si>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</si>
  <si>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</si>
  <si>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</si>
  <si>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</si>
  <si>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</si>
  <si>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</si>
  <si>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</si>
  <si>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</si>
  <si>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</si>
  <si>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</si>
  <si>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</si>
  <si>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</si>
  <si>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</si>
  <si>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</si>
  <si>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</si>
  <si>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</si>
  <si>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</si>
  <si>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</si>
  <si>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</si>
  <si>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</si>
  <si>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</si>
  <si>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</si>
  <si>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</si>
  <si>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</si>
  <si>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</si>
  <si>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</si>
  <si>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</si>
  <si>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</si>
  <si>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</si>
  <si>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</si>
  <si>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</si>
  <si>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</si>
  <si>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</si>
  <si>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</si>
  <si>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</si>
  <si>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</si>
  <si>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</si>
  <si>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</si>
  <si>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</si>
  <si>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</si>
  <si>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</si>
  <si>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</si>
  <si>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</si>
  <si>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</si>
  <si>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</si>
  <si>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</si>
  <si>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</si>
  <si>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</si>
  <si>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</si>
  <si>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</si>
  <si>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</si>
  <si>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</si>
  <si>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</si>
  <si>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</si>
  <si>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</si>
  <si>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</si>
  <si>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</si>
  <si>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</si>
  <si>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</si>
  <si>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</si>
  <si>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</si>
  <si>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</si>
  <si>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</si>
  <si>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</si>
  <si>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</si>
  <si>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</si>
  <si>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</si>
  <si>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</si>
  <si>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</si>
  <si>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</si>
  <si>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</si>
  <si>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</si>
  <si>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</si>
  <si>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</si>
  <si>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</si>
  <si>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</si>
  <si>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</si>
  <si>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</si>
  <si>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</si>
  <si>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</si>
  <si>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</si>
  <si>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</si>
  <si>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</si>
  <si>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</si>
  <si>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</si>
  <si>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</si>
  <si>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</si>
  <si>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</si>
  <si>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</si>
  <si>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</si>
  <si>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</si>
  <si>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</si>
  <si>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</si>
  <si>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</si>
  <si>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</si>
  <si>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</si>
  <si>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</si>
  <si>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</si>
  <si>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</si>
  <si>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</si>
  <si>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</si>
  <si>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</si>
  <si>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</si>
  <si>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</si>
  <si>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</si>
  <si>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</si>
  <si>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</si>
  <si>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</si>
  <si>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</si>
  <si>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</si>
  <si>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</si>
  <si>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</si>
  <si>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</si>
  <si>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</si>
  <si>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</si>
  <si>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</si>
  <si>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</si>
  <si>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</si>
  <si>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</si>
  <si>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</si>
  <si>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</si>
  <si>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</si>
  <si>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</si>
  <si>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</si>
  <si>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</si>
  <si>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</si>
  <si>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</si>
  <si>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</si>
  <si>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</si>
  <si>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</si>
  <si>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</si>
  <si>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</si>
  <si>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</si>
  <si>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</si>
  <si>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</si>
  <si>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</si>
  <si>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</si>
  <si>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</si>
  <si>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</si>
  <si>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</si>
  <si>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</si>
  <si>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</si>
  <si>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</si>
  <si>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</si>
  <si>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</si>
  <si>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</si>
  <si>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</si>
  <si>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</si>
  <si>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</si>
  <si>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</si>
  <si>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</si>
  <si>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</si>
  <si>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</si>
  <si>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</si>
  <si>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</si>
  <si>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</si>
  <si>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</si>
  <si>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</si>
  <si>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</si>
  <si>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</si>
  <si>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</si>
  <si>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</si>
  <si>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</si>
  <si>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</si>
  <si>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</si>
  <si>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</si>
  <si>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</si>
  <si>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</si>
  <si>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</si>
  <si>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</si>
  <si>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</si>
  <si>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</si>
  <si>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</si>
  <si>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</si>
  <si>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</si>
  <si>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</si>
  <si>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</si>
  <si>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</si>
  <si>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</si>
  <si>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</si>
  <si>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</si>
  <si>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</si>
  <si>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</si>
  <si>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</si>
  <si>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</si>
  <si>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</si>
  <si>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</si>
  <si>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</si>
  <si>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</si>
  <si>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</si>
  <si>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</si>
  <si>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</si>
  <si>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</si>
  <si>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</si>
  <si>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</si>
  <si>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</si>
  <si>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</si>
  <si>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</si>
  <si>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</si>
  <si>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</si>
  <si>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</si>
  <si>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</si>
  <si>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</si>
  <si>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</si>
  <si>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</si>
  <si>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</si>
  <si>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</si>
  <si>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</si>
  <si>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</si>
  <si>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</si>
  <si>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</si>
  <si>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</si>
  <si>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</si>
  <si>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</si>
  <si>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</si>
  <si>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</si>
  <si>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</si>
  <si>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</si>
  <si>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</si>
  <si>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</si>
  <si>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</si>
  <si>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</si>
  <si>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</si>
  <si>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</si>
  <si>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</si>
  <si>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</si>
  <si>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</si>
  <si>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</si>
  <si>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</si>
  <si>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</si>
  <si>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</si>
  <si>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</si>
  <si>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</si>
  <si>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</si>
  <si>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</si>
  <si>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</si>
  <si>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</si>
  <si>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</si>
  <si>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</si>
  <si>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</si>
  <si>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</si>
  <si>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</si>
  <si>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</si>
  <si>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</si>
  <si>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</si>
  <si>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</si>
  <si>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</si>
  <si>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</si>
  <si>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</si>
  <si>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</si>
  <si>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</si>
  <si>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</si>
  <si>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</si>
  <si>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</si>
  <si>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</si>
  <si>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</si>
  <si>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</si>
  <si>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</si>
  <si>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</si>
  <si>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</si>
  <si>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</si>
  <si>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</si>
  <si>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</si>
  <si>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</si>
  <si>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</si>
  <si>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</si>
  <si>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</si>
  <si>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</si>
  <si>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</si>
  <si>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</si>
  <si>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</si>
  <si>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</si>
  <si>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</si>
  <si>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</si>
  <si>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</si>
  <si>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</si>
  <si>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</si>
  <si>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</si>
  <si>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</si>
  <si>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</si>
  <si>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</si>
  <si>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</si>
  <si>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</si>
  <si>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</si>
  <si>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</si>
  <si>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</si>
  <si>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</si>
  <si>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</si>
  <si>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</si>
  <si>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</si>
  <si>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</si>
  <si>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</si>
  <si>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</si>
  <si>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</si>
  <si>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</si>
  <si>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</si>
  <si>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</si>
  <si>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</si>
  <si>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</si>
  <si>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</si>
  <si>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</si>
  <si>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</si>
  <si>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</si>
  <si>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</si>
  <si>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</si>
  <si>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</si>
  <si>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</si>
  <si>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</si>
  <si>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</si>
  <si>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</si>
  <si>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</si>
  <si>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</si>
  <si>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</si>
  <si>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</si>
  <si>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</si>
  <si>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</si>
  <si>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</si>
  <si>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</si>
  <si>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</si>
  <si>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</si>
  <si>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</si>
  <si>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</si>
  <si>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</si>
  <si>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</si>
  <si>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</si>
  <si>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</si>
  <si>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</si>
  <si>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</si>
  <si>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</si>
  <si>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</si>
  <si>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</si>
  <si>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</si>
  <si>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</si>
  <si>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</si>
  <si>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</si>
  <si>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</si>
  <si>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</si>
  <si>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</si>
  <si>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</si>
  <si>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</si>
  <si>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</si>
  <si>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</si>
  <si>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</si>
  <si>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</si>
  <si>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</si>
  <si>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</si>
  <si>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</si>
  <si>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</si>
  <si>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</si>
  <si>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</si>
  <si>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</si>
  <si>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</si>
  <si>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</si>
  <si>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</si>
  <si>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</si>
  <si>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</si>
  <si>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</si>
  <si>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</si>
  <si>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</si>
  <si>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</si>
  <si>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</si>
  <si>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</si>
  <si>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</si>
  <si>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</si>
  <si>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</si>
  <si>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</si>
  <si>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</si>
  <si>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</si>
  <si>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</si>
  <si>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</si>
  <si>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</si>
  <si>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</si>
  <si>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</si>
  <si>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</si>
  <si>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</si>
  <si>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</si>
  <si>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</si>
  <si>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</si>
  <si>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</si>
  <si>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</si>
  <si>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</si>
  <si>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</si>
  <si>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</si>
  <si>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</si>
  <si>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</si>
  <si>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</si>
  <si>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</si>
  <si>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</si>
  <si>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</si>
  <si>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</si>
  <si>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</si>
  <si>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</si>
  <si>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</si>
  <si>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</si>
  <si>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</si>
  <si>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</si>
  <si>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</si>
  <si>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</si>
  <si>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</si>
  <si>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</si>
  <si>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</si>
  <si>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</si>
  <si>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</si>
  <si>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</si>
  <si>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</si>
  <si>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</si>
  <si>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</si>
  <si>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</si>
  <si>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</si>
  <si>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</si>
  <si>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</si>
  <si>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</si>
  <si>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</si>
  <si>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</si>
  <si>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</si>
  <si>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</si>
  <si>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</si>
  <si>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</si>
  <si>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</si>
  <si>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</si>
  <si>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</si>
  <si>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</si>
  <si>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</si>
  <si>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</si>
  <si>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</si>
  <si>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</si>
  <si>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</si>
  <si>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</si>
  <si>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</si>
  <si>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</si>
  <si>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</si>
  <si>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</si>
  <si>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</si>
  <si>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</si>
  <si>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</si>
  <si>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</si>
  <si>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</si>
  <si>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</si>
  <si>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</si>
  <si>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</si>
  <si>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</si>
  <si>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</si>
  <si>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</si>
  <si>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</si>
  <si>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</si>
  <si>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</si>
  <si>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</si>
  <si>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</si>
  <si>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</si>
  <si>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</si>
  <si>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</si>
  <si>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</si>
  <si>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</si>
  <si>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</si>
  <si>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</si>
  <si>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</si>
  <si>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</si>
  <si>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</si>
  <si>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</si>
  <si>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</si>
  <si>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</si>
  <si>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</si>
  <si>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</si>
  <si>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</si>
  <si>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</si>
  <si>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</si>
  <si>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</si>
  <si>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</si>
  <si>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</si>
  <si>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</si>
  <si>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</si>
  <si>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</si>
  <si>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</si>
  <si>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</si>
  <si>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</si>
  <si>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</si>
  <si>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</si>
  <si>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</si>
  <si>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</si>
  <si>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</si>
  <si>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</si>
  <si>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</si>
  <si>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</si>
  <si>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</si>
  <si>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</si>
  <si>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</si>
  <si>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</si>
  <si>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</si>
  <si>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</si>
  <si>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</si>
  <si>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</si>
  <si>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</si>
  <si>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</si>
  <si>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</si>
  <si>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</si>
  <si>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</si>
  <si>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</si>
  <si>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</si>
  <si>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</si>
  <si>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</si>
  <si>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</si>
  <si>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</si>
  <si>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</si>
  <si>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</si>
  <si>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</si>
  <si>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</si>
  <si>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</si>
  <si>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</si>
  <si>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</si>
  <si>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</si>
  <si>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</si>
  <si>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</si>
  <si>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</si>
  <si>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</si>
  <si>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</si>
  <si>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</si>
  <si>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</si>
  <si>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</si>
  <si>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</si>
  <si>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</si>
  <si>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</si>
  <si>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</si>
  <si>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</si>
  <si>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</si>
  <si>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</si>
  <si>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</si>
  <si>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</si>
  <si>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</si>
  <si>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</si>
  <si>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</si>
  <si>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</si>
  <si>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</si>
  <si>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</si>
  <si>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</si>
  <si>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</si>
  <si>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</si>
  <si>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</si>
  <si>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</si>
  <si>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</si>
  <si>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</si>
  <si>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</si>
  <si>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</si>
  <si>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</si>
  <si>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</si>
  <si>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</si>
  <si>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</si>
  <si>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</si>
  <si>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</si>
  <si>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</si>
  <si>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</si>
  <si>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</si>
  <si>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</si>
  <si>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</si>
  <si>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</si>
  <si>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</si>
  <si>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</si>
  <si>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</si>
  <si>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</si>
  <si>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</si>
  <si>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</si>
  <si>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</si>
  <si>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</si>
  <si>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</si>
  <si>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</si>
  <si>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</si>
  <si>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</si>
  <si>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</si>
  <si>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</si>
  <si>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</si>
  <si>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</si>
  <si>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</si>
  <si>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</si>
  <si>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</si>
  <si>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</si>
  <si>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</si>
  <si>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</si>
  <si>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</si>
  <si>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</si>
  <si>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</si>
  <si>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</si>
  <si>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</si>
  <si>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</si>
  <si>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</si>
  <si>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</si>
  <si>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</si>
  <si>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</si>
  <si>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</si>
  <si>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</si>
  <si>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</si>
  <si>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</si>
  <si>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</si>
  <si>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</si>
  <si>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</si>
  <si>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</si>
  <si>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</si>
  <si>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</si>
  <si>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</si>
  <si>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</si>
  <si>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</si>
  <si>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</si>
  <si>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</si>
  <si>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</si>
  <si>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</si>
  <si>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</si>
  <si>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</si>
  <si>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</si>
  <si>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</si>
  <si>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</si>
  <si>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</si>
  <si>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</si>
  <si>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</si>
  <si>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</si>
  <si>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</si>
  <si>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</si>
  <si>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</si>
  <si>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</si>
  <si>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</si>
  <si>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</si>
  <si>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</si>
  <si>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</si>
  <si>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</si>
  <si>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</si>
  <si>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</si>
  <si>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</si>
  <si>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</si>
  <si>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</si>
  <si>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</si>
  <si>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</si>
  <si>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</si>
  <si>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</si>
  <si>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</si>
  <si>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</si>
  <si>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</si>
  <si>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</si>
  <si>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</si>
  <si>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</si>
  <si>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</si>
  <si>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</si>
  <si>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</si>
  <si>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</si>
  <si>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</si>
  <si>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</si>
  <si>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</si>
  <si>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</si>
  <si>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</si>
  <si>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</si>
  <si>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</si>
  <si>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</si>
  <si>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</si>
  <si>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</si>
  <si>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</si>
  <si>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</si>
  <si>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</si>
  <si>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</si>
  <si>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</si>
  <si>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</si>
  <si>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</si>
  <si>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</si>
  <si>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</si>
  <si>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</si>
  <si>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</si>
  <si>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</si>
  <si>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</si>
  <si>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</si>
  <si>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</si>
  <si>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</si>
  <si>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</si>
  <si>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</si>
  <si>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</si>
  <si>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</si>
  <si>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</si>
  <si>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</si>
  <si>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</si>
  <si>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</si>
  <si>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</si>
  <si>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</si>
  <si>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</si>
  <si>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</si>
  <si>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</si>
  <si>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</si>
  <si>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</si>
  <si>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</si>
  <si>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</si>
  <si>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</si>
  <si>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</si>
  <si>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</si>
  <si>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</si>
  <si>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</si>
  <si>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</si>
  <si>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</si>
  <si>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</si>
  <si>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</si>
  <si>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</si>
  <si>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</si>
  <si>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</si>
  <si>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</si>
  <si>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</si>
  <si>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</si>
  <si>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</si>
  <si>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</si>
  <si>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</si>
  <si>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</si>
  <si>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</si>
  <si>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</si>
  <si>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</si>
  <si>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</si>
  <si>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</si>
  <si>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</si>
  <si>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</si>
  <si>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</si>
  <si>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</si>
  <si>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</si>
  <si>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</si>
  <si>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</si>
  <si>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</si>
  <si>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</si>
  <si>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</si>
  <si>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</si>
  <si>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</si>
  <si>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</si>
  <si>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</si>
  <si>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</si>
  <si>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</si>
  <si>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</si>
  <si>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</si>
  <si>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</si>
  <si>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</si>
  <si>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</si>
  <si>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</si>
  <si>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</si>
  <si>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</si>
  <si>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</si>
  <si>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</si>
  <si>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</si>
  <si>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</si>
  <si>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</si>
  <si>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</si>
  <si>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</si>
  <si>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</si>
  <si>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</si>
  <si>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</si>
  <si>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</si>
  <si>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</si>
  <si>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</si>
  <si>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</si>
  <si>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</si>
  <si>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</si>
  <si>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</si>
  <si>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</si>
  <si>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</si>
  <si>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</si>
  <si>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</si>
  <si>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</si>
  <si>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</si>
  <si>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</si>
  <si>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</si>
  <si>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</si>
  <si>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</si>
  <si>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</si>
  <si>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</si>
  <si>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</si>
  <si>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</si>
  <si>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</si>
  <si>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</si>
  <si>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</si>
  <si>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</si>
  <si>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</si>
  <si>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</si>
  <si>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</si>
  <si>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</si>
  <si>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</si>
  <si>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</si>
  <si>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</si>
  <si>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</si>
  <si>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</si>
  <si>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</si>
  <si>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</si>
  <si>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</si>
  <si>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</si>
  <si>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</si>
  <si>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</si>
  <si>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</si>
  <si>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</si>
  <si>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</si>
  <si>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</si>
  <si>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</si>
  <si>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</si>
  <si>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</si>
  <si>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</si>
  <si>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</si>
  <si>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</si>
  <si>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</si>
  <si>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</si>
  <si>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</si>
  <si>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</si>
  <si>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</si>
  <si>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</si>
  <si>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</si>
  <si>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</si>
  <si>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</si>
  <si>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</si>
  <si>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</si>
  <si>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</si>
  <si>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</si>
  <si>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</si>
  <si>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</si>
  <si>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</si>
  <si>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</si>
  <si>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</si>
  <si>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</si>
  <si>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</si>
  <si>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</si>
  <si>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</si>
  <si>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</si>
  <si>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</si>
  <si>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</si>
  <si>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</si>
  <si>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</si>
  <si>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</si>
  <si>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</si>
  <si>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</si>
  <si>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</si>
  <si>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</si>
  <si>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</si>
  <si>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</si>
  <si>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</si>
  <si>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</si>
  <si>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</si>
  <si>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</si>
  <si>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</si>
  <si>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</si>
  <si>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</si>
  <si>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</si>
  <si>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</si>
  <si>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</si>
  <si>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</si>
  <si>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</si>
  <si>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</si>
  <si>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</si>
  <si>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</si>
  <si>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</si>
  <si>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</si>
  <si>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</si>
  <si>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</si>
  <si>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</si>
  <si>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</si>
  <si>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</si>
  <si>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</si>
  <si>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</si>
  <si>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</si>
  <si>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</si>
  <si>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</si>
  <si>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</si>
  <si>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</si>
  <si>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</si>
  <si>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</si>
  <si>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</si>
  <si>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</si>
  <si>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</si>
  <si>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</si>
  <si>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</si>
  <si>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</si>
  <si>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</si>
  <si>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</si>
  <si>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</si>
  <si>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</si>
  <si>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</si>
  <si>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</si>
  <si>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</si>
  <si>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</si>
  <si>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</si>
  <si>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</si>
  <si>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</si>
  <si>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</si>
  <si>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</si>
  <si>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</si>
  <si>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</si>
  <si>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</si>
  <si>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</si>
  <si>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</si>
  <si>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</si>
  <si>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</si>
  <si>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</si>
  <si>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</si>
  <si>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</si>
  <si>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</si>
  <si>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</si>
  <si>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</si>
  <si>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</si>
  <si>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</si>
  <si>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</si>
  <si>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</si>
  <si>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</si>
  <si>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</si>
  <si>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</si>
  <si>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</si>
  <si>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</si>
  <si>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</si>
  <si>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</si>
  <si>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</si>
  <si>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</si>
  <si>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</si>
  <si>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</si>
  <si>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</si>
  <si>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</si>
  <si>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</si>
  <si>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</si>
  <si>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</si>
  <si>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</si>
  <si>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</si>
  <si>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</si>
  <si>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</si>
  <si>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</si>
  <si>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</si>
  <si>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</si>
  <si>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</si>
  <si>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</si>
  <si>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</si>
  <si>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</si>
  <si>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</si>
  <si>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</si>
  <si>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</si>
  <si>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</si>
  <si>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</si>
  <si>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</si>
  <si>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</si>
  <si>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</si>
  <si>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</si>
  <si>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</si>
  <si>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</si>
  <si>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</si>
  <si>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</si>
  <si>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</si>
  <si>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</si>
  <si>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</si>
  <si>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</si>
  <si>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</si>
  <si>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</si>
  <si>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</si>
  <si>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</si>
  <si>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</si>
  <si>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</si>
  <si>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</si>
  <si>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</si>
  <si>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</si>
  <si>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</si>
  <si>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</si>
  <si>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</si>
  <si>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</si>
  <si>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</si>
  <si>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</si>
  <si>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</si>
  <si>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</si>
  <si>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</si>
  <si>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</si>
  <si>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</si>
  <si>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</si>
  <si>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</si>
  <si>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</si>
  <si>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</si>
  <si>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</si>
  <si>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</si>
  <si>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</si>
  <si>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</si>
  <si>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</si>
  <si>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</si>
  <si>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</si>
  <si>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</si>
  <si>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</si>
  <si>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</si>
  <si>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</si>
  <si>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</si>
  <si>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</si>
  <si>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</si>
  <si>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</si>
  <si>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</si>
  <si>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</si>
  <si>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</si>
  <si>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</si>
  <si>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</si>
  <si>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</si>
  <si>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</si>
  <si>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</si>
  <si>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</si>
  <si>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</si>
  <si>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</si>
  <si>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</si>
  <si>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</si>
  <si>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</si>
  <si>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</si>
  <si>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</si>
  <si>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</si>
  <si>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</si>
  <si>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</si>
  <si>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</si>
  <si>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</si>
  <si>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</si>
  <si>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</si>
  <si>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</si>
  <si>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</si>
  <si>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</si>
  <si>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</si>
  <si>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</si>
  <si>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</si>
  <si>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</si>
  <si>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</si>
  <si>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</si>
  <si>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</si>
  <si>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</si>
  <si>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</si>
  <si>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</si>
  <si>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</si>
  <si>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</si>
  <si>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</si>
  <si>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</si>
  <si>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</si>
  <si>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</si>
  <si>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</si>
  <si>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</si>
  <si>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</si>
  <si>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</si>
  <si>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</si>
  <si>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</si>
  <si>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</si>
  <si>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</si>
  <si>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</si>
  <si>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</si>
  <si>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</si>
  <si>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</si>
  <si>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</si>
  <si>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</si>
  <si>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</si>
  <si>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</si>
  <si>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</si>
  <si>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</si>
  <si>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</si>
  <si>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</si>
  <si>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</si>
  <si>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</si>
  <si>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</si>
  <si>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</si>
  <si>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</si>
  <si>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</si>
  <si>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</si>
  <si>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</si>
  <si>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</si>
  <si>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</si>
  <si>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</si>
  <si>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</si>
  <si>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</si>
  <si>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</si>
  <si>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</si>
  <si>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</si>
  <si>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</si>
  <si>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</si>
  <si>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</si>
  <si>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</si>
  <si>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</si>
  <si>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</si>
  <si>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</si>
  <si>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</si>
  <si>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</si>
  <si>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</si>
  <si>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</si>
  <si>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</si>
  <si>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</si>
  <si>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</si>
  <si>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</si>
  <si>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</si>
  <si>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</si>
  <si>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</si>
  <si>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</si>
  <si>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</si>
  <si>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</si>
  <si>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</si>
  <si>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</si>
  <si>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</si>
  <si>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</si>
  <si>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</si>
  <si>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</si>
  <si>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</si>
  <si>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</si>
  <si>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</si>
  <si>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</si>
  <si>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</si>
  <si>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</si>
  <si>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</si>
  <si>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</si>
  <si>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</si>
  <si>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</si>
  <si>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</si>
  <si>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</si>
  <si>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</si>
  <si>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</si>
  <si>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</si>
  <si>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</si>
  <si>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</si>
  <si>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</si>
  <si>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</si>
  <si>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</si>
  <si>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</si>
  <si>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</si>
  <si>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</si>
  <si>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</si>
  <si>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</si>
  <si>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</si>
  <si>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</si>
  <si>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</si>
  <si>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</si>
  <si>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</si>
  <si>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</si>
  <si>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</si>
  <si>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</si>
  <si>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</si>
  <si>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</si>
  <si>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</si>
  <si>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</si>
  <si>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</si>
  <si>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</si>
  <si>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</si>
  <si>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</si>
  <si>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</si>
  <si>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</si>
  <si>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</si>
  <si>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</si>
  <si>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</si>
  <si>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</si>
  <si>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</si>
  <si>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</si>
  <si>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</si>
  <si>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</si>
  <si>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</si>
  <si>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</si>
  <si>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</si>
  <si>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</si>
  <si>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</si>
  <si>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</si>
  <si>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</si>
  <si>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</si>
  <si>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</si>
  <si>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</si>
  <si>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</si>
  <si>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</si>
  <si>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</si>
  <si>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</si>
  <si>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</si>
  <si>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</si>
  <si>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</si>
  <si>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</si>
  <si>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</si>
  <si>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</si>
  <si>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</si>
  <si>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</si>
  <si>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</si>
  <si>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</si>
  <si>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</si>
  <si>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</si>
  <si>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</si>
  <si>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</si>
  <si>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</si>
  <si>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</si>
  <si>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</si>
  <si>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</si>
  <si>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</si>
  <si>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</si>
  <si>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</si>
  <si>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</si>
  <si>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</si>
  <si>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</si>
  <si>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</si>
  <si>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</si>
  <si>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</si>
  <si>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</si>
  <si>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</si>
  <si>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</si>
  <si>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</si>
  <si>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</si>
  <si>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</si>
  <si>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</si>
  <si>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</si>
  <si>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</si>
  <si>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</si>
  <si>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</si>
  <si>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</si>
  <si>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</si>
  <si>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</si>
  <si>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</si>
  <si>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</si>
  <si>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</si>
  <si>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</si>
  <si>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</si>
  <si>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</si>
  <si>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</si>
  <si>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</si>
  <si>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</si>
  <si>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</si>
  <si>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</si>
  <si>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</si>
  <si>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</si>
  <si>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</si>
  <si>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</si>
  <si>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</si>
  <si>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</si>
  <si>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</si>
  <si>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</si>
  <si>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</si>
  <si>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</si>
  <si>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</si>
  <si>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</si>
  <si>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</si>
  <si>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</si>
  <si>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</si>
  <si>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</si>
  <si>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</si>
  <si>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</si>
  <si>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</si>
  <si>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</si>
  <si>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</si>
  <si>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</si>
  <si>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</si>
  <si>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</si>
  <si>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</si>
  <si>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</si>
  <si>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</si>
  <si>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</si>
  <si>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</si>
  <si>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</si>
  <si>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</si>
  <si>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</si>
  <si>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</si>
  <si>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</si>
  <si>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</si>
  <si>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</si>
  <si>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</si>
  <si>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</si>
  <si>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</si>
  <si>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</si>
  <si>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</si>
  <si>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</si>
  <si>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</si>
  <si>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</si>
  <si>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</si>
  <si>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</si>
  <si>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</si>
  <si>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</si>
  <si>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</si>
  <si>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</si>
  <si>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</si>
  <si>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</si>
  <si>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</si>
  <si>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</si>
  <si>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</si>
  <si>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</si>
  <si>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</si>
  <si>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</si>
  <si>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</si>
  <si>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</si>
  <si>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</si>
  <si>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</si>
  <si>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</si>
  <si>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</si>
  <si>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</si>
  <si>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</si>
  <si>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</si>
  <si>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</si>
  <si>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</si>
  <si>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</si>
  <si>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</si>
  <si>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</si>
  <si>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</si>
  <si>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</si>
  <si>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</si>
  <si>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</si>
  <si>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</si>
  <si>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</si>
  <si>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</si>
  <si>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</si>
  <si>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</si>
  <si>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</si>
  <si>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</si>
  <si>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</si>
  <si>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</si>
  <si>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</si>
  <si>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</si>
  <si>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</si>
  <si>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</si>
  <si>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</si>
  <si>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</si>
  <si>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</si>
  <si>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</si>
  <si>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</si>
  <si>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</si>
  <si>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</si>
  <si>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</si>
  <si>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</si>
  <si>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</si>
  <si>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</si>
  <si>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</si>
  <si>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</si>
  <si>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</si>
  <si>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</si>
  <si>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</si>
  <si>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</si>
  <si>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</si>
  <si>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</si>
  <si>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</si>
  <si>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</si>
  <si>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</si>
  <si>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</si>
  <si>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</si>
  <si>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</si>
  <si>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</si>
  <si>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</si>
  <si>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</si>
  <si>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</si>
  <si>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</si>
  <si>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</si>
  <si>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</si>
  <si>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</si>
  <si>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</si>
  <si>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</si>
  <si>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</si>
  <si>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</si>
  <si>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</si>
  <si>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</si>
  <si>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</si>
  <si>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</si>
  <si>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</si>
  <si>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</si>
  <si>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</si>
  <si>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</si>
  <si>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</si>
  <si>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</si>
  <si>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</si>
  <si>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</si>
  <si>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</si>
  <si>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</si>
  <si>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</si>
  <si>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</si>
  <si>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</si>
  <si>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</si>
  <si>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</si>
  <si>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</si>
  <si>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</si>
  <si>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</si>
  <si>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</si>
  <si>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</si>
  <si>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</si>
  <si>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</si>
  <si>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</si>
  <si>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</si>
  <si>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</si>
  <si>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</si>
  <si>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</si>
  <si>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</si>
  <si>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</si>
  <si>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</si>
  <si>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</si>
  <si>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</si>
  <si>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</si>
  <si>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</si>
  <si>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</si>
  <si>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</si>
  <si>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</si>
  <si>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</si>
  <si>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</si>
  <si>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</si>
  <si>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</si>
  <si>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</si>
  <si>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</si>
  <si>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</si>
  <si>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</si>
  <si>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</si>
  <si>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</si>
  <si>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</si>
  <si>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</si>
  <si>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</si>
  <si>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</si>
  <si>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</si>
  <si>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</si>
  <si>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</si>
  <si>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</si>
  <si>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</si>
  <si>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</si>
  <si>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</si>
  <si>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</si>
  <si>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</si>
  <si>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</si>
  <si>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</si>
  <si>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</si>
  <si>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</si>
  <si>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</si>
  <si>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</si>
  <si>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</si>
  <si>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</si>
  <si>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</si>
  <si>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</si>
  <si>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</si>
  <si>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</si>
  <si>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</si>
  <si>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</si>
  <si>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</si>
  <si>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</si>
  <si>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</si>
  <si>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</si>
  <si>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</si>
  <si>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</si>
  <si>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</si>
  <si>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</si>
  <si>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</si>
  <si>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</si>
  <si>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</si>
  <si>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</si>
  <si>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</si>
  <si>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</si>
  <si>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</si>
  <si>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</si>
  <si>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</si>
  <si>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</si>
  <si>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</si>
  <si>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</si>
  <si>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</si>
  <si>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</si>
  <si>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</si>
  <si>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</si>
  <si>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</si>
  <si>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</si>
  <si>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</si>
  <si>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</si>
  <si>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</si>
  <si>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</si>
  <si>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</si>
  <si>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</si>
  <si>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</si>
  <si>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</si>
  <si>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</si>
  <si>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</si>
  <si>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</si>
  <si>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</si>
  <si>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</si>
  <si>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</si>
  <si>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</si>
  <si>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</si>
  <si>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</si>
  <si>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</si>
  <si>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</si>
  <si>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</si>
  <si>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</si>
  <si>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</si>
  <si>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</si>
  <si>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</si>
  <si>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</si>
  <si>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</si>
  <si>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</si>
  <si>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</si>
  <si>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</si>
  <si>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</si>
  <si>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</si>
  <si>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</si>
  <si>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</si>
  <si>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</si>
  <si>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</si>
  <si>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</si>
  <si>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</si>
  <si>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</si>
  <si>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</si>
  <si>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</si>
  <si>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</si>
  <si>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</si>
  <si>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</si>
  <si>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</si>
  <si>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</si>
  <si>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</si>
  <si>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</si>
  <si>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</si>
  <si>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</si>
  <si>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</si>
  <si>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</si>
  <si>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</si>
  <si>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</si>
  <si>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</si>
  <si>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</si>
  <si>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</si>
  <si>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</si>
  <si>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</si>
  <si>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</si>
  <si>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</si>
  <si>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</si>
  <si>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</si>
  <si>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</si>
  <si>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</si>
  <si>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</si>
  <si>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</si>
  <si>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</si>
  <si>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</si>
  <si>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</si>
  <si>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</si>
  <si>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</si>
  <si>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</si>
  <si>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</si>
  <si>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</si>
  <si>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</si>
  <si>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</si>
  <si>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</si>
  <si>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</si>
  <si>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</si>
  <si>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</si>
  <si>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</si>
  <si>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</si>
  <si>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</si>
  <si>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</si>
  <si>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</si>
  <si>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</si>
  <si>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</si>
  <si>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</si>
  <si>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</si>
  <si>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</si>
  <si>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</si>
  <si>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</si>
  <si>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</si>
  <si>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</si>
  <si>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</si>
  <si>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</si>
  <si>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</si>
  <si>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</si>
  <si>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</si>
  <si>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</si>
  <si>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</si>
  <si>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</si>
  <si>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</si>
  <si>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</si>
  <si>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</si>
  <si>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</si>
  <si>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</si>
  <si>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</si>
  <si>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</si>
  <si>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</si>
  <si>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</si>
  <si>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</si>
  <si>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</si>
  <si>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</si>
  <si>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</si>
  <si>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</si>
  <si>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</si>
  <si>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</si>
  <si>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</si>
  <si>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</si>
  <si>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</si>
  <si>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</si>
  <si>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</si>
  <si>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</si>
  <si>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</si>
  <si>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</si>
  <si>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</si>
  <si>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</si>
  <si>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</si>
  <si>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</si>
  <si>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</si>
  <si>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</si>
  <si>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</si>
  <si>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</si>
  <si>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</si>
  <si>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</si>
  <si>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</si>
  <si>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</si>
  <si>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</si>
  <si>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</si>
  <si>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</si>
  <si>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</si>
  <si>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</si>
  <si>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</si>
  <si>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</si>
  <si>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</si>
  <si>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</si>
  <si>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</si>
  <si>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</si>
  <si>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</si>
  <si>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</si>
  <si>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</si>
  <si>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</si>
  <si>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</si>
  <si>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</si>
  <si>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</si>
  <si>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</si>
  <si>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</si>
  <si>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</si>
  <si>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</si>
  <si>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</si>
  <si>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</si>
  <si>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</si>
  <si>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</si>
  <si>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</si>
  <si>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</si>
  <si>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</si>
  <si>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</si>
  <si>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</si>
  <si>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</si>
  <si>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</si>
  <si>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</si>
  <si>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</si>
  <si>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</si>
  <si>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</si>
  <si>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</si>
  <si>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</si>
  <si>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</si>
  <si>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</si>
  <si>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</si>
  <si>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</si>
  <si>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</si>
  <si>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</si>
  <si>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</si>
  <si>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</si>
  <si>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</si>
  <si>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</si>
  <si>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</si>
  <si>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</si>
  <si>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</si>
  <si>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</si>
  <si>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</si>
  <si>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</si>
  <si>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</si>
  <si>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</si>
  <si>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</si>
  <si>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</si>
  <si>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</si>
  <si>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</si>
  <si>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</si>
  <si>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</si>
  <si>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</si>
  <si>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</si>
  <si>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</si>
  <si>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</si>
  <si>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</si>
  <si>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</si>
  <si>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</si>
  <si>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</si>
  <si>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</si>
  <si>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</si>
  <si>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</si>
  <si>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</si>
  <si>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</si>
  <si>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</si>
  <si>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</si>
  <si>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</si>
  <si>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</si>
  <si>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</si>
  <si>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</si>
  <si>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</si>
  <si>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</si>
  <si>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</si>
  <si>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</si>
  <si>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</si>
  <si>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</si>
  <si>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</si>
  <si>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</si>
  <si>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</si>
  <si>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</si>
  <si>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</si>
  <si>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</si>
  <si>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</si>
  <si>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</si>
  <si>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</si>
  <si>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</si>
  <si>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</si>
  <si>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</si>
  <si>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</si>
  <si>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</si>
  <si>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 xml:space="preserve">Successful 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</si>
  <si>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</si>
  <si>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</si>
  <si>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</si>
  <si>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</si>
  <si>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</si>
  <si>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</si>
  <si>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</si>
  <si>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</si>
  <si>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</si>
  <si>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</si>
  <si>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</si>
  <si>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</si>
  <si>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</si>
  <si>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</si>
  <si>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</si>
  <si>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</si>
  <si>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</si>
  <si>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</si>
  <si>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</si>
  <si>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</si>
  <si>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</si>
  <si>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</si>
  <si>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</si>
  <si>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</si>
  <si>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</si>
  <si>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</si>
  <si>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</si>
  <si>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</si>
  <si>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</si>
  <si>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</si>
  <si>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</si>
  <si>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</si>
  <si>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35000 to 39999</t>
  </si>
  <si>
    <t>Successful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</si>
</sst>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0" applyNumberFormat="1" applyFont="1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52-4AEB-9495-38A91712893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52-4AEB-9495-38A91712893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52-4AEB-9495-38A91712893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52-4AEB-9495-38A917128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170719"/>
        <c:axId val="490169887"/>
      </c:barChart>
      <c:catAx>
        <c:axId val="49017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69887"/>
        <c:crosses val="autoZero"/>
        <c:auto val="1"/>
        <c:lblAlgn val="ctr"/>
        <c:lblOffset val="100"/>
        <c:noMultiLvlLbl val="0"/>
      </c:catAx>
      <c:valAx>
        <c:axId val="49016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17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'Subcategory Statistics'!$B$6:$B$27</c:f>
              <c:numCache>
                <c:formatCode>General</c:formatCode>
                <c:ptCount val="21"/>
                <c:pt idx="0">
                  <c:v>33</c:v>
                </c:pt>
                <c:pt idx="1">
                  <c:v>164</c:v>
                </c:pt>
                <c:pt idx="2">
                  <c:v>30</c:v>
                </c:pt>
                <c:pt idx="3">
                  <c:v>103</c:v>
                </c:pt>
                <c:pt idx="4">
                  <c:v>138</c:v>
                </c:pt>
                <c:pt idx="5">
                  <c:v>7</c:v>
                </c:pt>
                <c:pt idx="6">
                  <c:v>14</c:v>
                </c:pt>
                <c:pt idx="7">
                  <c:v>45</c:v>
                </c:pt>
                <c:pt idx="8">
                  <c:v>49</c:v>
                </c:pt>
                <c:pt idx="9">
                  <c:v>62</c:v>
                </c:pt>
                <c:pt idx="10">
                  <c:v>412</c:v>
                </c:pt>
                <c:pt idx="11">
                  <c:v>35</c:v>
                </c:pt>
                <c:pt idx="12">
                  <c:v>20</c:v>
                </c:pt>
                <c:pt idx="13">
                  <c:v>240</c:v>
                </c:pt>
                <c:pt idx="14">
                  <c:v>48</c:v>
                </c:pt>
                <c:pt idx="15">
                  <c:v>34</c:v>
                </c:pt>
                <c:pt idx="16">
                  <c:v>31</c:v>
                </c:pt>
                <c:pt idx="17">
                  <c:v>68</c:v>
                </c:pt>
                <c:pt idx="18">
                  <c:v>52</c:v>
                </c:pt>
                <c:pt idx="19">
                  <c:v>49</c:v>
                </c:pt>
                <c:pt idx="2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E-487C-AE5B-314F3ACA6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005839"/>
        <c:axId val="2053005007"/>
      </c:barChart>
      <c:catAx>
        <c:axId val="205300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05007"/>
        <c:crosses val="autoZero"/>
        <c:auto val="1"/>
        <c:lblAlgn val="ctr"/>
        <c:lblOffset val="100"/>
        <c:noMultiLvlLbl val="0"/>
      </c:catAx>
      <c:valAx>
        <c:axId val="20530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00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A-48EC-91F9-170C783537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AA-46B5-8797-E0BACA70F6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AA-46B5-8797-E0BACA70F6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AA-46B5-8797-E0BACA70F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4744591"/>
        <c:axId val="814747503"/>
      </c:lineChart>
      <c:catAx>
        <c:axId val="81474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7503"/>
        <c:crosses val="autoZero"/>
        <c:auto val="1"/>
        <c:lblAlgn val="ctr"/>
        <c:lblOffset val="100"/>
        <c:noMultiLvlLbl val="0"/>
      </c:catAx>
      <c:valAx>
        <c:axId val="81474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7-4D96-8777-42B76BA0C76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7-4D96-8777-42B76BA0C76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7-4D96-8777-42B76BA0C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5119792"/>
        <c:axId val="1655117296"/>
      </c:lineChart>
      <c:catAx>
        <c:axId val="16551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7296"/>
        <c:crosses val="autoZero"/>
        <c:auto val="1"/>
        <c:lblAlgn val="ctr"/>
        <c:lblOffset val="100"/>
        <c:noMultiLvlLbl val="0"/>
      </c:catAx>
      <c:valAx>
        <c:axId val="165511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1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percentage vs Goals amount</a:t>
            </a:r>
          </a:p>
        </c:rich>
      </c:tx>
      <c:layout>
        <c:manualLayout>
          <c:xMode val="edge"/>
          <c:yMode val="edge"/>
          <c:x val="0.1992084426946631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54-4467-AFD0-04FEB5263036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54-4467-AFD0-04FEB5263036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54-4467-AFD0-04FEB526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1809248"/>
        <c:axId val="1551808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54-4467-AFD0-04FEB526303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54-4467-AFD0-04FEB526303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54-4467-AFD0-04FEB526303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54-4467-AFD0-04FEB5263036}"/>
                  </c:ext>
                </c:extLst>
              </c15:ser>
            </c15:filteredLineSeries>
          </c:ext>
        </c:extLst>
      </c:lineChart>
      <c:catAx>
        <c:axId val="155180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08416"/>
        <c:crosses val="autoZero"/>
        <c:auto val="1"/>
        <c:lblAlgn val="ctr"/>
        <c:lblOffset val="100"/>
        <c:noMultiLvlLbl val="0"/>
      </c:catAx>
      <c:valAx>
        <c:axId val="155180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80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7BF5365-054F-47AF-B554-1B08F13AF01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68284A-D481-49BE-B8E7-85D035F371D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15462</xdr:colOff>
      <xdr:row>4117</xdr:row>
      <xdr:rowOff>247</xdr:rowOff>
    </xdr:from>
    <xdr:to>
      <xdr:col>14</xdr:col>
      <xdr:colOff>1225260</xdr:colOff>
      <xdr:row>4148</xdr:row>
      <xdr:rowOff>57211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2B8A4F-B010-414F-8A7C-F62180734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74462" y="2694813247"/>
              <a:ext cx="8867898" cy="59624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17</xdr:row>
      <xdr:rowOff>66675</xdr:rowOff>
    </xdr:from>
    <xdr:to>
      <xdr:col>13</xdr:col>
      <xdr:colOff>123825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934669-6395-4A2E-9E6C-BC2CB9344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1</xdr:row>
      <xdr:rowOff>38100</xdr:rowOff>
    </xdr:from>
    <xdr:to>
      <xdr:col>18</xdr:col>
      <xdr:colOff>485775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29F5D-B680-4787-827D-80F42751C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14</xdr:row>
      <xdr:rowOff>57150</xdr:rowOff>
    </xdr:from>
    <xdr:to>
      <xdr:col>18</xdr:col>
      <xdr:colOff>19050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C84FA2-6C22-43B7-9550-AB7698EC8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13</xdr:row>
      <xdr:rowOff>185737</xdr:rowOff>
    </xdr:from>
    <xdr:to>
      <xdr:col>16</xdr:col>
      <xdr:colOff>495300</xdr:colOff>
      <xdr:row>31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A76D1-A40B-4D98-A820-4850784AF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223837</xdr:colOff>
      <xdr:row>17</xdr:row>
      <xdr:rowOff>157162</xdr:rowOff>
    </xdr:from>
    <xdr:to>
      <xdr:col>5</xdr:col>
      <xdr:colOff>1290637</xdr:colOff>
      <xdr:row>32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E8EE6F-CFD7-4AF9-80FF-2668EF895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88.025043171299" createdVersion="7" refreshedVersion="7" minRefreshableVersion="3" recordCount="4114" xr:uid="{ADB1E329-8136-48AB-AC3A-9433BB6369E3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88.044407870373" createdVersion="7" refreshedVersion="7" minRefreshableVersion="3" recordCount="4114" xr:uid="{C2AB564D-F81A-452D-B081-35181DD88DF3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hui huang" refreshedDate="44493.947856481478" createdVersion="7" refreshedVersion="7" minRefreshableVersion="3" recordCount="4114" xr:uid="{EBE5A0D9-9C6A-43FB-8A32-685506FF90CC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A8708-5794-425C-A59D-751F21488D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0ADF2-68D6-4D18-B685-B5990C965C9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E07E7-FEF7-4B01-AA05-D4E4080E61F5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ED5F23-3584-4246-9A4A-DA807CA2BF5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K1" zoomScale="85" zoomScaleNormal="85" workbookViewId="0">
      <pane ySplit="1" topLeftCell="A1479" activePane="bottomLeft" state="frozen"/>
      <selection pane="bottomLeft" activeCell="AD1484" sqref="AD148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2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8.5703125" customWidth="1"/>
    <col min="15" max="15" width="27.85546875" customWidth="1"/>
    <col min="16" max="16" width="23.85546875" customWidth="1"/>
    <col min="17" max="17" width="32.42578125" customWidth="1"/>
    <col min="18" max="18" width="56.28515625" customWidth="1"/>
    <col min="19" max="19" width="23.28515625" customWidth="1"/>
    <col min="20" max="20" width="31.28515625" customWidth="1"/>
    <col min="21" max="21" width="20.5703125" customWidth="1"/>
  </cols>
  <sheetData>
    <row r="1" spans="1:21" s="13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  <c r="U1" s="13" t="s">
        <v>8399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2017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2017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2015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YEAR(T2819)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2017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2017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2015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2015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2016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YEAR(T2883)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2015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2015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2016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YEAR(S:S)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9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9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9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9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9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9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9" t="s">
        <v>8315</v>
      </c>
      <c r="R3203" t="s">
        <v>8357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9" t="s">
        <v>8315</v>
      </c>
      <c r="R3266" t="s">
        <v>8316</v>
      </c>
      <c r="S3266" s="14">
        <f t="shared" si="249"/>
        <v>42016.800208333334</v>
      </c>
      <c r="T3266" s="14">
        <f t="shared" si="250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9" t="s">
        <v>8315</v>
      </c>
      <c r="R3267" t="s">
        <v>8316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9" t="s">
        <v>8315</v>
      </c>
      <c r="R3330" t="s">
        <v>8316</v>
      </c>
      <c r="S3330" s="14">
        <f t="shared" si="253"/>
        <v>41822.57503472222</v>
      </c>
      <c r="T3330" s="14">
        <f t="shared" si="254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9" t="s">
        <v>8315</v>
      </c>
      <c r="R3331" t="s">
        <v>8316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9" t="s">
        <v>8315</v>
      </c>
      <c r="R3394" t="s">
        <v>8316</v>
      </c>
      <c r="S3394" s="14">
        <f t="shared" si="257"/>
        <v>42446.845543981486</v>
      </c>
      <c r="T3394" s="14">
        <f t="shared" si="258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9" t="s">
        <v>8315</v>
      </c>
      <c r="R3395" t="s">
        <v>8316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9" t="s">
        <v>8315</v>
      </c>
      <c r="R3458" t="s">
        <v>8316</v>
      </c>
      <c r="S3458" s="14">
        <f t="shared" si="261"/>
        <v>41821.205636574072</v>
      </c>
      <c r="T3458" s="14">
        <f t="shared" si="262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9" t="s">
        <v>8315</v>
      </c>
      <c r="R3459" t="s">
        <v>8316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9" t="s">
        <v>8315</v>
      </c>
      <c r="R3522" t="s">
        <v>8316</v>
      </c>
      <c r="S3522" s="14">
        <f t="shared" si="265"/>
        <v>42227.824212962965</v>
      </c>
      <c r="T3522" s="14">
        <f t="shared" si="266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9" t="s">
        <v>8315</v>
      </c>
      <c r="R3523" t="s">
        <v>8316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9" t="s">
        <v>8315</v>
      </c>
      <c r="R3586" t="s">
        <v>8316</v>
      </c>
      <c r="S3586" s="14">
        <f t="shared" si="269"/>
        <v>42168.316481481481</v>
      </c>
      <c r="T3586" s="14">
        <f t="shared" si="270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9" t="s">
        <v>8315</v>
      </c>
      <c r="R3587" t="s">
        <v>8316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9" t="s">
        <v>8315</v>
      </c>
      <c r="R3650" t="s">
        <v>8316</v>
      </c>
      <c r="S3650" s="14">
        <f t="shared" si="273"/>
        <v>41887.292187500003</v>
      </c>
      <c r="T3650" s="14">
        <f t="shared" si="27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9" t="s">
        <v>8315</v>
      </c>
      <c r="R3651" t="s">
        <v>8316</v>
      </c>
      <c r="S3651" s="14">
        <f t="shared" ref="S3651:S3714" si="277">(((J3651/60)/60)/24)+DATE(1970,1,1)</f>
        <v>41780.712893518517</v>
      </c>
      <c r="T3651" s="14">
        <f t="shared" ref="T3651:T3714" si="278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8315</v>
      </c>
      <c r="R3652" t="s">
        <v>8316</v>
      </c>
      <c r="S3652" s="14">
        <f t="shared" si="277"/>
        <v>42381.478981481487</v>
      </c>
      <c r="T3652" s="14">
        <f t="shared" si="278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8315</v>
      </c>
      <c r="R3653" t="s">
        <v>8316</v>
      </c>
      <c r="S3653" s="14">
        <f t="shared" si="277"/>
        <v>41828.646319444444</v>
      </c>
      <c r="T3653" s="14">
        <f t="shared" si="278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8315</v>
      </c>
      <c r="R3654" t="s">
        <v>8316</v>
      </c>
      <c r="S3654" s="14">
        <f t="shared" si="277"/>
        <v>42596.644699074073</v>
      </c>
      <c r="T3654" s="14">
        <f t="shared" si="278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8315</v>
      </c>
      <c r="R3655" t="s">
        <v>8316</v>
      </c>
      <c r="S3655" s="14">
        <f t="shared" si="277"/>
        <v>42191.363506944443</v>
      </c>
      <c r="T3655" s="14">
        <f t="shared" si="278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8315</v>
      </c>
      <c r="R3656" t="s">
        <v>8316</v>
      </c>
      <c r="S3656" s="14">
        <f t="shared" si="277"/>
        <v>42440.416504629626</v>
      </c>
      <c r="T3656" s="14">
        <f t="shared" si="278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8315</v>
      </c>
      <c r="R3657" t="s">
        <v>8316</v>
      </c>
      <c r="S3657" s="14">
        <f t="shared" si="277"/>
        <v>42173.803217592591</v>
      </c>
      <c r="T3657" s="14">
        <f t="shared" si="278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8315</v>
      </c>
      <c r="R3658" t="s">
        <v>8316</v>
      </c>
      <c r="S3658" s="14">
        <f t="shared" si="277"/>
        <v>42737.910138888896</v>
      </c>
      <c r="T3658" s="14">
        <f t="shared" si="278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8315</v>
      </c>
      <c r="R3659" t="s">
        <v>8316</v>
      </c>
      <c r="S3659" s="14">
        <f t="shared" si="277"/>
        <v>42499.629849537043</v>
      </c>
      <c r="T3659" s="14">
        <f t="shared" si="278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8315</v>
      </c>
      <c r="R3660" t="s">
        <v>8316</v>
      </c>
      <c r="S3660" s="14">
        <f t="shared" si="277"/>
        <v>41775.858564814815</v>
      </c>
      <c r="T3660" s="14">
        <f t="shared" si="278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8315</v>
      </c>
      <c r="R3661" t="s">
        <v>8316</v>
      </c>
      <c r="S3661" s="14">
        <f t="shared" si="277"/>
        <v>42055.277199074073</v>
      </c>
      <c r="T3661" s="14">
        <f t="shared" si="278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8315</v>
      </c>
      <c r="R3662" t="s">
        <v>8316</v>
      </c>
      <c r="S3662" s="14">
        <f t="shared" si="277"/>
        <v>41971.881076388891</v>
      </c>
      <c r="T3662" s="14">
        <f t="shared" si="278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8315</v>
      </c>
      <c r="R3663" t="s">
        <v>8316</v>
      </c>
      <c r="S3663" s="14">
        <f t="shared" si="277"/>
        <v>42447.896666666667</v>
      </c>
      <c r="T3663" s="14">
        <f t="shared" si="278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8315</v>
      </c>
      <c r="R3664" t="s">
        <v>8316</v>
      </c>
      <c r="S3664" s="14">
        <f t="shared" si="277"/>
        <v>42064.220069444447</v>
      </c>
      <c r="T3664" s="14">
        <f t="shared" si="278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8315</v>
      </c>
      <c r="R3665" t="s">
        <v>8316</v>
      </c>
      <c r="S3665" s="14">
        <f t="shared" si="277"/>
        <v>42665.451736111107</v>
      </c>
      <c r="T3665" s="14">
        <f t="shared" si="278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8315</v>
      </c>
      <c r="R3666" t="s">
        <v>8316</v>
      </c>
      <c r="S3666" s="14">
        <f t="shared" si="277"/>
        <v>42523.248715277776</v>
      </c>
      <c r="T3666" s="14">
        <f t="shared" si="278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8315</v>
      </c>
      <c r="R3667" t="s">
        <v>8316</v>
      </c>
      <c r="S3667" s="14">
        <f t="shared" si="277"/>
        <v>42294.808124999996</v>
      </c>
      <c r="T3667" s="14">
        <f t="shared" si="278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8315</v>
      </c>
      <c r="R3668" t="s">
        <v>8316</v>
      </c>
      <c r="S3668" s="14">
        <f t="shared" si="277"/>
        <v>41822.90488425926</v>
      </c>
      <c r="T3668" s="14">
        <f t="shared" si="278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8315</v>
      </c>
      <c r="R3669" t="s">
        <v>8316</v>
      </c>
      <c r="S3669" s="14">
        <f t="shared" si="277"/>
        <v>42173.970127314817</v>
      </c>
      <c r="T3669" s="14">
        <f t="shared" si="278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8315</v>
      </c>
      <c r="R3670" t="s">
        <v>8316</v>
      </c>
      <c r="S3670" s="14">
        <f t="shared" si="277"/>
        <v>42185.556157407409</v>
      </c>
      <c r="T3670" s="14">
        <f t="shared" si="278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8315</v>
      </c>
      <c r="R3671" t="s">
        <v>8316</v>
      </c>
      <c r="S3671" s="14">
        <f t="shared" si="277"/>
        <v>42136.675196759257</v>
      </c>
      <c r="T3671" s="14">
        <f t="shared" si="278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8315</v>
      </c>
      <c r="R3672" t="s">
        <v>8316</v>
      </c>
      <c r="S3672" s="14">
        <f t="shared" si="277"/>
        <v>42142.514016203699</v>
      </c>
      <c r="T3672" s="14">
        <f t="shared" si="278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8315</v>
      </c>
      <c r="R3673" t="s">
        <v>8316</v>
      </c>
      <c r="S3673" s="14">
        <f t="shared" si="277"/>
        <v>41820.62809027778</v>
      </c>
      <c r="T3673" s="14">
        <f t="shared" si="278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8315</v>
      </c>
      <c r="R3674" t="s">
        <v>8316</v>
      </c>
      <c r="S3674" s="14">
        <f t="shared" si="277"/>
        <v>41878.946574074071</v>
      </c>
      <c r="T3674" s="14">
        <f t="shared" si="278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8315</v>
      </c>
      <c r="R3675" t="s">
        <v>8316</v>
      </c>
      <c r="S3675" s="14">
        <f t="shared" si="277"/>
        <v>41914.295104166667</v>
      </c>
      <c r="T3675" s="14">
        <f t="shared" si="278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8315</v>
      </c>
      <c r="R3676" t="s">
        <v>8316</v>
      </c>
      <c r="S3676" s="14">
        <f t="shared" si="277"/>
        <v>42556.873020833329</v>
      </c>
      <c r="T3676" s="14">
        <f t="shared" si="278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8315</v>
      </c>
      <c r="R3677" t="s">
        <v>8316</v>
      </c>
      <c r="S3677" s="14">
        <f t="shared" si="277"/>
        <v>42493.597013888888</v>
      </c>
      <c r="T3677" s="14">
        <f t="shared" si="278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8315</v>
      </c>
      <c r="R3678" t="s">
        <v>8316</v>
      </c>
      <c r="S3678" s="14">
        <f t="shared" si="277"/>
        <v>41876.815787037034</v>
      </c>
      <c r="T3678" s="14">
        <f t="shared" si="278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8315</v>
      </c>
      <c r="R3679" t="s">
        <v>8316</v>
      </c>
      <c r="S3679" s="14">
        <f t="shared" si="277"/>
        <v>41802.574282407404</v>
      </c>
      <c r="T3679" s="14">
        <f t="shared" si="278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8315</v>
      </c>
      <c r="R3680" t="s">
        <v>8316</v>
      </c>
      <c r="S3680" s="14">
        <f t="shared" si="277"/>
        <v>42120.531226851846</v>
      </c>
      <c r="T3680" s="14">
        <f t="shared" si="278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8315</v>
      </c>
      <c r="R3681" t="s">
        <v>8316</v>
      </c>
      <c r="S3681" s="14">
        <f t="shared" si="277"/>
        <v>41786.761354166665</v>
      </c>
      <c r="T3681" s="14">
        <f t="shared" si="278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8315</v>
      </c>
      <c r="R3682" t="s">
        <v>8316</v>
      </c>
      <c r="S3682" s="14">
        <f t="shared" si="277"/>
        <v>42627.454097222217</v>
      </c>
      <c r="T3682" s="14">
        <f t="shared" si="278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8315</v>
      </c>
      <c r="R3683" t="s">
        <v>8316</v>
      </c>
      <c r="S3683" s="14">
        <f t="shared" si="277"/>
        <v>42374.651504629626</v>
      </c>
      <c r="T3683" s="14">
        <f t="shared" si="278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8315</v>
      </c>
      <c r="R3684" t="s">
        <v>8316</v>
      </c>
      <c r="S3684" s="14">
        <f t="shared" si="277"/>
        <v>41772.685393518521</v>
      </c>
      <c r="T3684" s="14">
        <f t="shared" si="278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8315</v>
      </c>
      <c r="R3685" t="s">
        <v>8316</v>
      </c>
      <c r="S3685" s="14">
        <f t="shared" si="277"/>
        <v>42633.116851851853</v>
      </c>
      <c r="T3685" s="14">
        <f t="shared" si="278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8315</v>
      </c>
      <c r="R3686" t="s">
        <v>8316</v>
      </c>
      <c r="S3686" s="14">
        <f t="shared" si="277"/>
        <v>42219.180393518516</v>
      </c>
      <c r="T3686" s="14">
        <f t="shared" si="278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8315</v>
      </c>
      <c r="R3687" t="s">
        <v>8316</v>
      </c>
      <c r="S3687" s="14">
        <f t="shared" si="277"/>
        <v>41753.593275462961</v>
      </c>
      <c r="T3687" s="14">
        <f t="shared" si="278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8315</v>
      </c>
      <c r="R3688" t="s">
        <v>8316</v>
      </c>
      <c r="S3688" s="14">
        <f t="shared" si="277"/>
        <v>42230.662731481483</v>
      </c>
      <c r="T3688" s="14">
        <f t="shared" si="278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8315</v>
      </c>
      <c r="R3689" t="s">
        <v>8316</v>
      </c>
      <c r="S3689" s="14">
        <f t="shared" si="277"/>
        <v>41787.218229166669</v>
      </c>
      <c r="T3689" s="14">
        <f t="shared" si="278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8315</v>
      </c>
      <c r="R3690" t="s">
        <v>8316</v>
      </c>
      <c r="S3690" s="14">
        <f t="shared" si="277"/>
        <v>41829.787083333329</v>
      </c>
      <c r="T3690" s="14">
        <f t="shared" si="278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8315</v>
      </c>
      <c r="R3691" t="s">
        <v>8316</v>
      </c>
      <c r="S3691" s="14">
        <f t="shared" si="277"/>
        <v>42147.826840277776</v>
      </c>
      <c r="T3691" s="14">
        <f t="shared" si="278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8315</v>
      </c>
      <c r="R3692" t="s">
        <v>8316</v>
      </c>
      <c r="S3692" s="14">
        <f t="shared" si="277"/>
        <v>41940.598182870373</v>
      </c>
      <c r="T3692" s="14">
        <f t="shared" si="278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8315</v>
      </c>
      <c r="R3693" t="s">
        <v>8316</v>
      </c>
      <c r="S3693" s="14">
        <f t="shared" si="277"/>
        <v>42020.700567129628</v>
      </c>
      <c r="T3693" s="14">
        <f t="shared" si="278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8315</v>
      </c>
      <c r="R3694" t="s">
        <v>8316</v>
      </c>
      <c r="S3694" s="14">
        <f t="shared" si="277"/>
        <v>41891.96503472222</v>
      </c>
      <c r="T3694" s="14">
        <f t="shared" si="278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8315</v>
      </c>
      <c r="R3695" t="s">
        <v>8316</v>
      </c>
      <c r="S3695" s="14">
        <f t="shared" si="277"/>
        <v>42309.191307870366</v>
      </c>
      <c r="T3695" s="14">
        <f t="shared" si="278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8315</v>
      </c>
      <c r="R3696" t="s">
        <v>8316</v>
      </c>
      <c r="S3696" s="14">
        <f t="shared" si="277"/>
        <v>42490.133877314816</v>
      </c>
      <c r="T3696" s="14">
        <f t="shared" si="278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8315</v>
      </c>
      <c r="R3697" t="s">
        <v>8316</v>
      </c>
      <c r="S3697" s="14">
        <f t="shared" si="277"/>
        <v>41995.870486111111</v>
      </c>
      <c r="T3697" s="14">
        <f t="shared" si="278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8315</v>
      </c>
      <c r="R3698" t="s">
        <v>8316</v>
      </c>
      <c r="S3698" s="14">
        <f t="shared" si="277"/>
        <v>41988.617083333331</v>
      </c>
      <c r="T3698" s="14">
        <f t="shared" si="278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8315</v>
      </c>
      <c r="R3699" t="s">
        <v>8316</v>
      </c>
      <c r="S3699" s="14">
        <f t="shared" si="277"/>
        <v>42479.465833333335</v>
      </c>
      <c r="T3699" s="14">
        <f t="shared" si="278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8315</v>
      </c>
      <c r="R3700" t="s">
        <v>8316</v>
      </c>
      <c r="S3700" s="14">
        <f t="shared" si="277"/>
        <v>42401.806562500002</v>
      </c>
      <c r="T3700" s="14">
        <f t="shared" si="278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8315</v>
      </c>
      <c r="R3701" t="s">
        <v>8316</v>
      </c>
      <c r="S3701" s="14">
        <f t="shared" si="277"/>
        <v>41897.602037037039</v>
      </c>
      <c r="T3701" s="14">
        <f t="shared" si="278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8315</v>
      </c>
      <c r="R3702" t="s">
        <v>8316</v>
      </c>
      <c r="S3702" s="14">
        <f t="shared" si="277"/>
        <v>41882.585648148146</v>
      </c>
      <c r="T3702" s="14">
        <f t="shared" si="278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8315</v>
      </c>
      <c r="R3703" t="s">
        <v>8316</v>
      </c>
      <c r="S3703" s="14">
        <f t="shared" si="277"/>
        <v>42129.541585648149</v>
      </c>
      <c r="T3703" s="14">
        <f t="shared" si="278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8315</v>
      </c>
      <c r="R3704" t="s">
        <v>8316</v>
      </c>
      <c r="S3704" s="14">
        <f t="shared" si="277"/>
        <v>42524.53800925926</v>
      </c>
      <c r="T3704" s="14">
        <f t="shared" si="278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8315</v>
      </c>
      <c r="R3705" t="s">
        <v>8316</v>
      </c>
      <c r="S3705" s="14">
        <f t="shared" si="277"/>
        <v>42556.504490740743</v>
      </c>
      <c r="T3705" s="14">
        <f t="shared" si="278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8315</v>
      </c>
      <c r="R3706" t="s">
        <v>8316</v>
      </c>
      <c r="S3706" s="14">
        <f t="shared" si="277"/>
        <v>42461.689745370371</v>
      </c>
      <c r="T3706" s="14">
        <f t="shared" si="278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8315</v>
      </c>
      <c r="R3707" t="s">
        <v>8316</v>
      </c>
      <c r="S3707" s="14">
        <f t="shared" si="277"/>
        <v>41792.542986111112</v>
      </c>
      <c r="T3707" s="14">
        <f t="shared" si="278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8315</v>
      </c>
      <c r="R3708" t="s">
        <v>8316</v>
      </c>
      <c r="S3708" s="14">
        <f t="shared" si="277"/>
        <v>41879.913761574076</v>
      </c>
      <c r="T3708" s="14">
        <f t="shared" si="278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8315</v>
      </c>
      <c r="R3709" t="s">
        <v>8316</v>
      </c>
      <c r="S3709" s="14">
        <f t="shared" si="277"/>
        <v>42552.048356481479</v>
      </c>
      <c r="T3709" s="14">
        <f t="shared" si="278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8315</v>
      </c>
      <c r="R3710" t="s">
        <v>8316</v>
      </c>
      <c r="S3710" s="14">
        <f t="shared" si="277"/>
        <v>41810.142199074071</v>
      </c>
      <c r="T3710" s="14">
        <f t="shared" si="278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8315</v>
      </c>
      <c r="R3711" t="s">
        <v>8316</v>
      </c>
      <c r="S3711" s="14">
        <f t="shared" si="277"/>
        <v>41785.707708333335</v>
      </c>
      <c r="T3711" s="14">
        <f t="shared" si="278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8315</v>
      </c>
      <c r="R3712" t="s">
        <v>8316</v>
      </c>
      <c r="S3712" s="14">
        <f t="shared" si="277"/>
        <v>42072.576249999998</v>
      </c>
      <c r="T3712" s="14">
        <f t="shared" si="278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8315</v>
      </c>
      <c r="R3713" t="s">
        <v>8316</v>
      </c>
      <c r="S3713" s="14">
        <f t="shared" si="277"/>
        <v>41779.724224537036</v>
      </c>
      <c r="T3713" s="14">
        <f t="shared" si="278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9" t="s">
        <v>8315</v>
      </c>
      <c r="R3714" t="s">
        <v>8316</v>
      </c>
      <c r="S3714" s="14">
        <f t="shared" si="277"/>
        <v>42134.172071759262</v>
      </c>
      <c r="T3714" s="14">
        <f t="shared" si="278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9" t="s">
        <v>8315</v>
      </c>
      <c r="R3715" t="s">
        <v>8316</v>
      </c>
      <c r="S3715" s="14">
        <f t="shared" ref="S3715:S3778" si="281">(((J3715/60)/60)/24)+DATE(1970,1,1)</f>
        <v>42505.738032407404</v>
      </c>
      <c r="T3715" s="14">
        <f t="shared" ref="T3715:T3778" si="282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8315</v>
      </c>
      <c r="R3716" t="s">
        <v>8316</v>
      </c>
      <c r="S3716" s="14">
        <f t="shared" si="281"/>
        <v>42118.556331018524</v>
      </c>
      <c r="T3716" s="14">
        <f t="shared" si="282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8315</v>
      </c>
      <c r="R3717" t="s">
        <v>8316</v>
      </c>
      <c r="S3717" s="14">
        <f t="shared" si="281"/>
        <v>42036.995590277773</v>
      </c>
      <c r="T3717" s="14">
        <f t="shared" si="282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8315</v>
      </c>
      <c r="R3718" t="s">
        <v>8316</v>
      </c>
      <c r="S3718" s="14">
        <f t="shared" si="281"/>
        <v>42360.887835648144</v>
      </c>
      <c r="T3718" s="14">
        <f t="shared" si="282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8315</v>
      </c>
      <c r="R3719" t="s">
        <v>8316</v>
      </c>
      <c r="S3719" s="14">
        <f t="shared" si="281"/>
        <v>42102.866307870368</v>
      </c>
      <c r="T3719" s="14">
        <f t="shared" si="282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8315</v>
      </c>
      <c r="R3720" t="s">
        <v>8316</v>
      </c>
      <c r="S3720" s="14">
        <f t="shared" si="281"/>
        <v>42032.716145833328</v>
      </c>
      <c r="T3720" s="14">
        <f t="shared" si="282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8315</v>
      </c>
      <c r="R3721" t="s">
        <v>8316</v>
      </c>
      <c r="S3721" s="14">
        <f t="shared" si="281"/>
        <v>42147.729930555557</v>
      </c>
      <c r="T3721" s="14">
        <f t="shared" si="282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8315</v>
      </c>
      <c r="R3722" t="s">
        <v>8316</v>
      </c>
      <c r="S3722" s="14">
        <f t="shared" si="281"/>
        <v>42165.993125000001</v>
      </c>
      <c r="T3722" s="14">
        <f t="shared" si="282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8315</v>
      </c>
      <c r="R3723" t="s">
        <v>8316</v>
      </c>
      <c r="S3723" s="14">
        <f t="shared" si="281"/>
        <v>41927.936157407406</v>
      </c>
      <c r="T3723" s="14">
        <f t="shared" si="282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8315</v>
      </c>
      <c r="R3724" t="s">
        <v>8316</v>
      </c>
      <c r="S3724" s="14">
        <f t="shared" si="281"/>
        <v>42381.671840277777</v>
      </c>
      <c r="T3724" s="14">
        <f t="shared" si="282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8315</v>
      </c>
      <c r="R3725" t="s">
        <v>8316</v>
      </c>
      <c r="S3725" s="14">
        <f t="shared" si="281"/>
        <v>41943.753032407411</v>
      </c>
      <c r="T3725" s="14">
        <f t="shared" si="282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8315</v>
      </c>
      <c r="R3726" t="s">
        <v>8316</v>
      </c>
      <c r="S3726" s="14">
        <f t="shared" si="281"/>
        <v>42465.491435185191</v>
      </c>
      <c r="T3726" s="14">
        <f t="shared" si="282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8315</v>
      </c>
      <c r="R3727" t="s">
        <v>8316</v>
      </c>
      <c r="S3727" s="14">
        <f t="shared" si="281"/>
        <v>42401.945219907408</v>
      </c>
      <c r="T3727" s="14">
        <f t="shared" si="282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8315</v>
      </c>
      <c r="R3728" t="s">
        <v>8316</v>
      </c>
      <c r="S3728" s="14">
        <f t="shared" si="281"/>
        <v>42462.140868055561</v>
      </c>
      <c r="T3728" s="14">
        <f t="shared" si="282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8315</v>
      </c>
      <c r="R3729" t="s">
        <v>8316</v>
      </c>
      <c r="S3729" s="14">
        <f t="shared" si="281"/>
        <v>42632.348310185189</v>
      </c>
      <c r="T3729" s="14">
        <f t="shared" si="282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8315</v>
      </c>
      <c r="R3730" t="s">
        <v>8316</v>
      </c>
      <c r="S3730" s="14">
        <f t="shared" si="281"/>
        <v>42205.171018518522</v>
      </c>
      <c r="T3730" s="14">
        <f t="shared" si="282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8315</v>
      </c>
      <c r="R3731" t="s">
        <v>8316</v>
      </c>
      <c r="S3731" s="14">
        <f t="shared" si="281"/>
        <v>42041.205000000002</v>
      </c>
      <c r="T3731" s="14">
        <f t="shared" si="282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8315</v>
      </c>
      <c r="R3732" t="s">
        <v>8316</v>
      </c>
      <c r="S3732" s="14">
        <f t="shared" si="281"/>
        <v>42203.677766203706</v>
      </c>
      <c r="T3732" s="14">
        <f t="shared" si="282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8315</v>
      </c>
      <c r="R3733" t="s">
        <v>8316</v>
      </c>
      <c r="S3733" s="14">
        <f t="shared" si="281"/>
        <v>41983.752847222218</v>
      </c>
      <c r="T3733" s="14">
        <f t="shared" si="282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8315</v>
      </c>
      <c r="R3734" t="s">
        <v>8316</v>
      </c>
      <c r="S3734" s="14">
        <f t="shared" si="281"/>
        <v>41968.677465277782</v>
      </c>
      <c r="T3734" s="14">
        <f t="shared" si="282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8315</v>
      </c>
      <c r="R3735" t="s">
        <v>8316</v>
      </c>
      <c r="S3735" s="14">
        <f t="shared" si="281"/>
        <v>42103.024398148147</v>
      </c>
      <c r="T3735" s="14">
        <f t="shared" si="282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8315</v>
      </c>
      <c r="R3736" t="s">
        <v>8316</v>
      </c>
      <c r="S3736" s="14">
        <f t="shared" si="281"/>
        <v>42089.901574074072</v>
      </c>
      <c r="T3736" s="14">
        <f t="shared" si="282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8315</v>
      </c>
      <c r="R3737" t="s">
        <v>8316</v>
      </c>
      <c r="S3737" s="14">
        <f t="shared" si="281"/>
        <v>42122.693159722221</v>
      </c>
      <c r="T3737" s="14">
        <f t="shared" si="282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8315</v>
      </c>
      <c r="R3738" t="s">
        <v>8316</v>
      </c>
      <c r="S3738" s="14">
        <f t="shared" si="281"/>
        <v>42048.711724537032</v>
      </c>
      <c r="T3738" s="14">
        <f t="shared" si="282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8315</v>
      </c>
      <c r="R3739" t="s">
        <v>8316</v>
      </c>
      <c r="S3739" s="14">
        <f t="shared" si="281"/>
        <v>42297.691006944442</v>
      </c>
      <c r="T3739" s="14">
        <f t="shared" si="282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8315</v>
      </c>
      <c r="R3740" t="s">
        <v>8316</v>
      </c>
      <c r="S3740" s="14">
        <f t="shared" si="281"/>
        <v>41813.938715277778</v>
      </c>
      <c r="T3740" s="14">
        <f t="shared" si="282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8315</v>
      </c>
      <c r="R3741" t="s">
        <v>8316</v>
      </c>
      <c r="S3741" s="14">
        <f t="shared" si="281"/>
        <v>42548.449861111112</v>
      </c>
      <c r="T3741" s="14">
        <f t="shared" si="282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8315</v>
      </c>
      <c r="R3742" t="s">
        <v>8316</v>
      </c>
      <c r="S3742" s="14">
        <f t="shared" si="281"/>
        <v>41833.089756944442</v>
      </c>
      <c r="T3742" s="14">
        <f t="shared" si="282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8315</v>
      </c>
      <c r="R3743" t="s">
        <v>8316</v>
      </c>
      <c r="S3743" s="14">
        <f t="shared" si="281"/>
        <v>42325.920717592591</v>
      </c>
      <c r="T3743" s="14">
        <f t="shared" si="282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8315</v>
      </c>
      <c r="R3744" t="s">
        <v>8316</v>
      </c>
      <c r="S3744" s="14">
        <f t="shared" si="281"/>
        <v>41858.214629629627</v>
      </c>
      <c r="T3744" s="14">
        <f t="shared" si="282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8315</v>
      </c>
      <c r="R3745" t="s">
        <v>8316</v>
      </c>
      <c r="S3745" s="14">
        <f t="shared" si="281"/>
        <v>41793.710231481484</v>
      </c>
      <c r="T3745" s="14">
        <f t="shared" si="282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8315</v>
      </c>
      <c r="R3746" t="s">
        <v>8316</v>
      </c>
      <c r="S3746" s="14">
        <f t="shared" si="281"/>
        <v>41793.814259259263</v>
      </c>
      <c r="T3746" s="14">
        <f t="shared" si="282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8315</v>
      </c>
      <c r="R3747" t="s">
        <v>8316</v>
      </c>
      <c r="S3747" s="14">
        <f t="shared" si="281"/>
        <v>41831.697939814818</v>
      </c>
      <c r="T3747" s="14">
        <f t="shared" si="282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8315</v>
      </c>
      <c r="R3748" t="s">
        <v>8316</v>
      </c>
      <c r="S3748" s="14">
        <f t="shared" si="281"/>
        <v>42621.389340277776</v>
      </c>
      <c r="T3748" s="14">
        <f t="shared" si="282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8315</v>
      </c>
      <c r="R3749" t="s">
        <v>8316</v>
      </c>
      <c r="S3749" s="14">
        <f t="shared" si="281"/>
        <v>42164.299722222218</v>
      </c>
      <c r="T3749" s="14">
        <f t="shared" si="282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8315</v>
      </c>
      <c r="R3750" t="s">
        <v>8357</v>
      </c>
      <c r="S3750" s="14">
        <f t="shared" si="281"/>
        <v>42395.706435185188</v>
      </c>
      <c r="T3750" s="14">
        <f t="shared" si="282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8315</v>
      </c>
      <c r="R3751" t="s">
        <v>8357</v>
      </c>
      <c r="S3751" s="14">
        <f t="shared" si="281"/>
        <v>42458.127175925925</v>
      </c>
      <c r="T3751" s="14">
        <f t="shared" si="282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8315</v>
      </c>
      <c r="R3752" t="s">
        <v>8357</v>
      </c>
      <c r="S3752" s="14">
        <f t="shared" si="281"/>
        <v>42016.981574074074</v>
      </c>
      <c r="T3752" s="14">
        <f t="shared" si="282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8315</v>
      </c>
      <c r="R3753" t="s">
        <v>8357</v>
      </c>
      <c r="S3753" s="14">
        <f t="shared" si="281"/>
        <v>42403.035567129627</v>
      </c>
      <c r="T3753" s="14">
        <f t="shared" si="282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8315</v>
      </c>
      <c r="R3754" t="s">
        <v>8357</v>
      </c>
      <c r="S3754" s="14">
        <f t="shared" si="281"/>
        <v>42619.802488425921</v>
      </c>
      <c r="T3754" s="14">
        <f t="shared" si="282"/>
        <v>42659.875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8315</v>
      </c>
      <c r="R3755" t="s">
        <v>8357</v>
      </c>
      <c r="S3755" s="14">
        <f t="shared" si="281"/>
        <v>42128.824074074073</v>
      </c>
      <c r="T3755" s="14">
        <f t="shared" si="282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8315</v>
      </c>
      <c r="R3756" t="s">
        <v>8357</v>
      </c>
      <c r="S3756" s="14">
        <f t="shared" si="281"/>
        <v>41808.881215277775</v>
      </c>
      <c r="T3756" s="14">
        <f t="shared" si="282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8315</v>
      </c>
      <c r="R3757" t="s">
        <v>8357</v>
      </c>
      <c r="S3757" s="14">
        <f t="shared" si="281"/>
        <v>42445.866979166662</v>
      </c>
      <c r="T3757" s="14">
        <f t="shared" si="282"/>
        <v>42475.866979166662</v>
      </c>
      <c r="U3757">
        <f>YEAR(S:S)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8315</v>
      </c>
      <c r="R3758" t="s">
        <v>8357</v>
      </c>
      <c r="S3758" s="14">
        <f t="shared" si="281"/>
        <v>41771.814791666664</v>
      </c>
      <c r="T3758" s="14">
        <f t="shared" si="282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8315</v>
      </c>
      <c r="R3759" t="s">
        <v>8357</v>
      </c>
      <c r="S3759" s="14">
        <f t="shared" si="281"/>
        <v>41954.850868055553</v>
      </c>
      <c r="T3759" s="14">
        <f t="shared" si="282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8315</v>
      </c>
      <c r="R3760" t="s">
        <v>8357</v>
      </c>
      <c r="S3760" s="14">
        <f t="shared" si="281"/>
        <v>41747.471504629626</v>
      </c>
      <c r="T3760" s="14">
        <f t="shared" si="282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8315</v>
      </c>
      <c r="R3761" t="s">
        <v>8357</v>
      </c>
      <c r="S3761" s="14">
        <f t="shared" si="281"/>
        <v>42182.108252314814</v>
      </c>
      <c r="T3761" s="14">
        <f t="shared" si="282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8315</v>
      </c>
      <c r="R3762" t="s">
        <v>8357</v>
      </c>
      <c r="S3762" s="14">
        <f t="shared" si="281"/>
        <v>41739.525300925925</v>
      </c>
      <c r="T3762" s="14">
        <f t="shared" si="282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8315</v>
      </c>
      <c r="R3763" t="s">
        <v>8357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YEAR(S:S)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8315</v>
      </c>
      <c r="R3764" t="s">
        <v>8357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8315</v>
      </c>
      <c r="R3765" t="s">
        <v>8357</v>
      </c>
      <c r="S3765" s="14">
        <f t="shared" si="281"/>
        <v>42065.750300925924</v>
      </c>
      <c r="T3765" s="14">
        <f t="shared" si="282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8315</v>
      </c>
      <c r="R3766" t="s">
        <v>8357</v>
      </c>
      <c r="S3766" s="14">
        <f t="shared" si="281"/>
        <v>42499.842962962968</v>
      </c>
      <c r="T3766" s="14">
        <f t="shared" si="282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8315</v>
      </c>
      <c r="R3767" t="s">
        <v>8357</v>
      </c>
      <c r="S3767" s="14">
        <f t="shared" si="281"/>
        <v>41820.776412037041</v>
      </c>
      <c r="T3767" s="14">
        <f t="shared" si="282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8315</v>
      </c>
      <c r="R3768" t="s">
        <v>8357</v>
      </c>
      <c r="S3768" s="14">
        <f t="shared" si="281"/>
        <v>41788.167187500003</v>
      </c>
      <c r="T3768" s="14">
        <f t="shared" si="282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8315</v>
      </c>
      <c r="R3769" t="s">
        <v>8357</v>
      </c>
      <c r="S3769" s="14">
        <f t="shared" si="281"/>
        <v>42050.019641203704</v>
      </c>
      <c r="T3769" s="14">
        <f t="shared" si="282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8315</v>
      </c>
      <c r="R3770" t="s">
        <v>8357</v>
      </c>
      <c r="S3770" s="14">
        <f t="shared" si="281"/>
        <v>41772.727893518517</v>
      </c>
      <c r="T3770" s="14">
        <f t="shared" si="282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8315</v>
      </c>
      <c r="R3771" t="s">
        <v>8357</v>
      </c>
      <c r="S3771" s="14">
        <f t="shared" si="281"/>
        <v>42445.598136574074</v>
      </c>
      <c r="T3771" s="14">
        <f t="shared" si="282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8315</v>
      </c>
      <c r="R3772" t="s">
        <v>8357</v>
      </c>
      <c r="S3772" s="14">
        <f t="shared" si="281"/>
        <v>42138.930671296301</v>
      </c>
      <c r="T3772" s="14">
        <f t="shared" si="282"/>
        <v>42168.930671296301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8315</v>
      </c>
      <c r="R3773" t="s">
        <v>8357</v>
      </c>
      <c r="S3773" s="14">
        <f t="shared" si="281"/>
        <v>42493.857083333336</v>
      </c>
      <c r="T3773" s="14">
        <f t="shared" si="282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8315</v>
      </c>
      <c r="R3774" t="s">
        <v>8357</v>
      </c>
      <c r="S3774" s="14">
        <f t="shared" si="281"/>
        <v>42682.616967592592</v>
      </c>
      <c r="T3774" s="14">
        <f t="shared" si="282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8315</v>
      </c>
      <c r="R3775" t="s">
        <v>8357</v>
      </c>
      <c r="S3775" s="14">
        <f t="shared" si="281"/>
        <v>42656.005173611105</v>
      </c>
      <c r="T3775" s="14">
        <f t="shared" si="282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8315</v>
      </c>
      <c r="R3776" t="s">
        <v>8357</v>
      </c>
      <c r="S3776" s="14">
        <f t="shared" si="281"/>
        <v>42087.792303240742</v>
      </c>
      <c r="T3776" s="14">
        <f t="shared" si="282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8315</v>
      </c>
      <c r="R3777" t="s">
        <v>8357</v>
      </c>
      <c r="S3777" s="14">
        <f t="shared" si="281"/>
        <v>42075.942627314813</v>
      </c>
      <c r="T3777" s="14">
        <f t="shared" si="282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9" t="s">
        <v>8315</v>
      </c>
      <c r="R3778" t="s">
        <v>8357</v>
      </c>
      <c r="S3778" s="14">
        <f t="shared" si="281"/>
        <v>41814.367800925924</v>
      </c>
      <c r="T3778" s="14">
        <f t="shared" si="282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9" t="s">
        <v>8315</v>
      </c>
      <c r="R3779" t="s">
        <v>8357</v>
      </c>
      <c r="S3779" s="14">
        <f t="shared" ref="S3779:S3842" si="286">(((J3779/60)/60)/24)+DATE(1970,1,1)</f>
        <v>41887.111354166671</v>
      </c>
      <c r="T3779" s="14">
        <f t="shared" ref="T3779:T3842" si="287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8315</v>
      </c>
      <c r="R3780" t="s">
        <v>8357</v>
      </c>
      <c r="S3780" s="14">
        <f t="shared" si="286"/>
        <v>41989.819212962961</v>
      </c>
      <c r="T3780" s="14">
        <f t="shared" si="287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8315</v>
      </c>
      <c r="R3781" t="s">
        <v>8357</v>
      </c>
      <c r="S3781" s="14">
        <f t="shared" si="286"/>
        <v>42425.735416666663</v>
      </c>
      <c r="T3781" s="14">
        <f t="shared" si="287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8315</v>
      </c>
      <c r="R3782" t="s">
        <v>8357</v>
      </c>
      <c r="S3782" s="14">
        <f t="shared" si="286"/>
        <v>42166.219733796301</v>
      </c>
      <c r="T3782" s="14">
        <f t="shared" si="287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8315</v>
      </c>
      <c r="R3783" t="s">
        <v>8357</v>
      </c>
      <c r="S3783" s="14">
        <f t="shared" si="286"/>
        <v>41865.882928240739</v>
      </c>
      <c r="T3783" s="14">
        <f t="shared" si="287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8315</v>
      </c>
      <c r="R3784" t="s">
        <v>8357</v>
      </c>
      <c r="S3784" s="14">
        <f t="shared" si="286"/>
        <v>42546.862233796302</v>
      </c>
      <c r="T3784" s="14">
        <f t="shared" si="287"/>
        <v>42575.958333333328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8315</v>
      </c>
      <c r="R3785" t="s">
        <v>8357</v>
      </c>
      <c r="S3785" s="14">
        <f t="shared" si="286"/>
        <v>42420.140277777777</v>
      </c>
      <c r="T3785" s="14">
        <f t="shared" si="287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8315</v>
      </c>
      <c r="R3786" t="s">
        <v>8357</v>
      </c>
      <c r="S3786" s="14">
        <f t="shared" si="286"/>
        <v>42531.980694444443</v>
      </c>
      <c r="T3786" s="14">
        <f t="shared" si="287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8315</v>
      </c>
      <c r="R3787" t="s">
        <v>8357</v>
      </c>
      <c r="S3787" s="14">
        <f t="shared" si="286"/>
        <v>42548.63853009259</v>
      </c>
      <c r="T3787" s="14">
        <f t="shared" si="287"/>
        <v>42584.418749999997</v>
      </c>
      <c r="U3787">
        <f>YEAR(S:S)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8315</v>
      </c>
      <c r="R3788" t="s">
        <v>8357</v>
      </c>
      <c r="S3788" s="14">
        <f t="shared" si="286"/>
        <v>42487.037905092591</v>
      </c>
      <c r="T3788" s="14">
        <f t="shared" si="287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8315</v>
      </c>
      <c r="R3789" t="s">
        <v>8357</v>
      </c>
      <c r="S3789" s="14">
        <f t="shared" si="286"/>
        <v>42167.534791666665</v>
      </c>
      <c r="T3789" s="14">
        <f t="shared" si="287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8315</v>
      </c>
      <c r="R3790" t="s">
        <v>8357</v>
      </c>
      <c r="S3790" s="14">
        <f t="shared" si="286"/>
        <v>42333.695821759262</v>
      </c>
      <c r="T3790" s="14">
        <f t="shared" si="287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8315</v>
      </c>
      <c r="R3791" t="s">
        <v>8357</v>
      </c>
      <c r="S3791" s="14">
        <f t="shared" si="286"/>
        <v>42138.798819444448</v>
      </c>
      <c r="T3791" s="14">
        <f t="shared" si="287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8315</v>
      </c>
      <c r="R3792" t="s">
        <v>8357</v>
      </c>
      <c r="S3792" s="14">
        <f t="shared" si="286"/>
        <v>42666.666932870372</v>
      </c>
      <c r="T3792" s="14">
        <f t="shared" si="287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8315</v>
      </c>
      <c r="R3793" t="s">
        <v>8357</v>
      </c>
      <c r="S3793" s="14">
        <f t="shared" si="286"/>
        <v>41766.692037037035</v>
      </c>
      <c r="T3793" s="14">
        <f t="shared" si="287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8315</v>
      </c>
      <c r="R3794" t="s">
        <v>8357</v>
      </c>
      <c r="S3794" s="14">
        <f t="shared" si="286"/>
        <v>42170.447013888886</v>
      </c>
      <c r="T3794" s="14">
        <f t="shared" si="287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8315</v>
      </c>
      <c r="R3795" t="s">
        <v>8357</v>
      </c>
      <c r="S3795" s="14">
        <f t="shared" si="286"/>
        <v>41968.938993055555</v>
      </c>
      <c r="T3795" s="14">
        <f t="shared" si="287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8315</v>
      </c>
      <c r="R3796" t="s">
        <v>8357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8315</v>
      </c>
      <c r="R3797" t="s">
        <v>8357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8315</v>
      </c>
      <c r="R3798" t="s">
        <v>8357</v>
      </c>
      <c r="S3798" s="14">
        <f t="shared" si="286"/>
        <v>42689.029583333337</v>
      </c>
      <c r="T3798" s="14">
        <f t="shared" si="287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8315</v>
      </c>
      <c r="R3799" t="s">
        <v>8357</v>
      </c>
      <c r="S3799" s="14">
        <f t="shared" si="286"/>
        <v>42084.881539351853</v>
      </c>
      <c r="T3799" s="14">
        <f t="shared" si="287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8315</v>
      </c>
      <c r="R3800" t="s">
        <v>8357</v>
      </c>
      <c r="S3800" s="14">
        <f t="shared" si="286"/>
        <v>41831.722777777781</v>
      </c>
      <c r="T3800" s="14">
        <f t="shared" si="287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8315</v>
      </c>
      <c r="R3801" t="s">
        <v>8357</v>
      </c>
      <c r="S3801" s="14">
        <f t="shared" si="286"/>
        <v>42410.93105324074</v>
      </c>
      <c r="T3801" s="14">
        <f t="shared" si="287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8315</v>
      </c>
      <c r="R3802" t="s">
        <v>8357</v>
      </c>
      <c r="S3802" s="14">
        <f t="shared" si="286"/>
        <v>41982.737071759257</v>
      </c>
      <c r="T3802" s="14">
        <f t="shared" si="287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8315</v>
      </c>
      <c r="R3803" t="s">
        <v>8357</v>
      </c>
      <c r="S3803" s="14">
        <f t="shared" si="286"/>
        <v>41975.676111111112</v>
      </c>
      <c r="T3803" s="14">
        <f t="shared" si="287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8315</v>
      </c>
      <c r="R3804" t="s">
        <v>8357</v>
      </c>
      <c r="S3804" s="14">
        <f t="shared" si="286"/>
        <v>42269.126226851848</v>
      </c>
      <c r="T3804" s="14">
        <f t="shared" si="287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8315</v>
      </c>
      <c r="R3805" t="s">
        <v>8357</v>
      </c>
      <c r="S3805" s="14">
        <f t="shared" si="286"/>
        <v>42403.971851851849</v>
      </c>
      <c r="T3805" s="14">
        <f t="shared" si="287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8315</v>
      </c>
      <c r="R3806" t="s">
        <v>8357</v>
      </c>
      <c r="S3806" s="14">
        <f t="shared" si="286"/>
        <v>42527.00953703704</v>
      </c>
      <c r="T3806" s="14">
        <f t="shared" si="287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8315</v>
      </c>
      <c r="R3807" t="s">
        <v>8357</v>
      </c>
      <c r="S3807" s="14">
        <f t="shared" si="286"/>
        <v>41849.887037037035</v>
      </c>
      <c r="T3807" s="14">
        <f t="shared" si="287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8315</v>
      </c>
      <c r="R3808" t="s">
        <v>8357</v>
      </c>
      <c r="S3808" s="14">
        <f t="shared" si="286"/>
        <v>41799.259039351848</v>
      </c>
      <c r="T3808" s="14">
        <f t="shared" si="287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8315</v>
      </c>
      <c r="R3809" t="s">
        <v>8357</v>
      </c>
      <c r="S3809" s="14">
        <f t="shared" si="286"/>
        <v>42090.909016203703</v>
      </c>
      <c r="T3809" s="14">
        <f t="shared" si="287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8315</v>
      </c>
      <c r="R3810" t="s">
        <v>8316</v>
      </c>
      <c r="S3810" s="14">
        <f t="shared" si="286"/>
        <v>42059.453923611116</v>
      </c>
      <c r="T3810" s="14">
        <f t="shared" si="287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8315</v>
      </c>
      <c r="R3811" t="s">
        <v>8316</v>
      </c>
      <c r="S3811" s="14">
        <f t="shared" si="286"/>
        <v>41800.526701388888</v>
      </c>
      <c r="T3811" s="14">
        <f t="shared" si="287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8315</v>
      </c>
      <c r="R3812" t="s">
        <v>8316</v>
      </c>
      <c r="S3812" s="14">
        <f t="shared" si="286"/>
        <v>42054.849050925928</v>
      </c>
      <c r="T3812" s="14">
        <f t="shared" si="287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8315</v>
      </c>
      <c r="R3813" t="s">
        <v>8316</v>
      </c>
      <c r="S3813" s="14">
        <f t="shared" si="286"/>
        <v>42487.62700231481</v>
      </c>
      <c r="T3813" s="14">
        <f t="shared" si="287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8315</v>
      </c>
      <c r="R3814" t="s">
        <v>8316</v>
      </c>
      <c r="S3814" s="14">
        <f t="shared" si="286"/>
        <v>42109.751250000001</v>
      </c>
      <c r="T3814" s="14">
        <f t="shared" si="287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8315</v>
      </c>
      <c r="R3815" t="s">
        <v>8316</v>
      </c>
      <c r="S3815" s="14">
        <f t="shared" si="286"/>
        <v>42497.275706018518</v>
      </c>
      <c r="T3815" s="14">
        <f t="shared" si="287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8315</v>
      </c>
      <c r="R3816" t="s">
        <v>8316</v>
      </c>
      <c r="S3816" s="14">
        <f t="shared" si="286"/>
        <v>42058.904074074075</v>
      </c>
      <c r="T3816" s="14">
        <f t="shared" si="287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8315</v>
      </c>
      <c r="R3817" t="s">
        <v>8316</v>
      </c>
      <c r="S3817" s="14">
        <f t="shared" si="286"/>
        <v>42207.259918981479</v>
      </c>
      <c r="T3817" s="14">
        <f t="shared" si="287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8315</v>
      </c>
      <c r="R3818" t="s">
        <v>8316</v>
      </c>
      <c r="S3818" s="14">
        <f t="shared" si="286"/>
        <v>41807.690081018518</v>
      </c>
      <c r="T3818" s="14">
        <f t="shared" si="287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8315</v>
      </c>
      <c r="R3819" t="s">
        <v>8316</v>
      </c>
      <c r="S3819" s="14">
        <f t="shared" si="286"/>
        <v>42284.69694444444</v>
      </c>
      <c r="T3819" s="14">
        <f t="shared" si="287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8315</v>
      </c>
      <c r="R3820" t="s">
        <v>8316</v>
      </c>
      <c r="S3820" s="14">
        <f t="shared" si="286"/>
        <v>42045.84238425926</v>
      </c>
      <c r="T3820" s="14">
        <f t="shared" si="287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8315</v>
      </c>
      <c r="R3821" t="s">
        <v>8316</v>
      </c>
      <c r="S3821" s="14">
        <f t="shared" si="286"/>
        <v>42184.209537037037</v>
      </c>
      <c r="T3821" s="14">
        <f t="shared" si="287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8315</v>
      </c>
      <c r="R3822" t="s">
        <v>8316</v>
      </c>
      <c r="S3822" s="14">
        <f t="shared" si="286"/>
        <v>42160.651817129634</v>
      </c>
      <c r="T3822" s="14">
        <f t="shared" si="287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8315</v>
      </c>
      <c r="R3823" t="s">
        <v>8316</v>
      </c>
      <c r="S3823" s="14">
        <f t="shared" si="286"/>
        <v>42341.180636574078</v>
      </c>
      <c r="T3823" s="14">
        <f t="shared" si="287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8315</v>
      </c>
      <c r="R3824" t="s">
        <v>8316</v>
      </c>
      <c r="S3824" s="14">
        <f t="shared" si="286"/>
        <v>42329.838159722218</v>
      </c>
      <c r="T3824" s="14">
        <f t="shared" si="287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8315</v>
      </c>
      <c r="R3825" t="s">
        <v>8316</v>
      </c>
      <c r="S3825" s="14">
        <f t="shared" si="286"/>
        <v>42170.910231481481</v>
      </c>
      <c r="T3825" s="14">
        <f t="shared" si="287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8315</v>
      </c>
      <c r="R3826" t="s">
        <v>8316</v>
      </c>
      <c r="S3826" s="14">
        <f t="shared" si="286"/>
        <v>42571.626192129625</v>
      </c>
      <c r="T3826" s="14">
        <f t="shared" si="287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8315</v>
      </c>
      <c r="R3827" t="s">
        <v>8316</v>
      </c>
      <c r="S3827" s="14">
        <f t="shared" si="286"/>
        <v>42151.069606481484</v>
      </c>
      <c r="T3827" s="14">
        <f t="shared" si="287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8315</v>
      </c>
      <c r="R3828" t="s">
        <v>8316</v>
      </c>
      <c r="S3828" s="14">
        <f t="shared" si="286"/>
        <v>42101.423541666663</v>
      </c>
      <c r="T3828" s="14">
        <f t="shared" si="287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8315</v>
      </c>
      <c r="R3829" t="s">
        <v>8316</v>
      </c>
      <c r="S3829" s="14">
        <f t="shared" si="286"/>
        <v>42034.928252314814</v>
      </c>
      <c r="T3829" s="14">
        <f t="shared" si="287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8315</v>
      </c>
      <c r="R3830" t="s">
        <v>8316</v>
      </c>
      <c r="S3830" s="14">
        <f t="shared" si="286"/>
        <v>41944.527627314819</v>
      </c>
      <c r="T3830" s="14">
        <f t="shared" si="287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8315</v>
      </c>
      <c r="R3831" t="s">
        <v>8316</v>
      </c>
      <c r="S3831" s="14">
        <f t="shared" si="286"/>
        <v>42593.865405092598</v>
      </c>
      <c r="T3831" s="14">
        <f t="shared" si="287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8315</v>
      </c>
      <c r="R3832" t="s">
        <v>8316</v>
      </c>
      <c r="S3832" s="14">
        <f t="shared" si="286"/>
        <v>42503.740868055553</v>
      </c>
      <c r="T3832" s="14">
        <f t="shared" si="287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8315</v>
      </c>
      <c r="R3833" t="s">
        <v>8316</v>
      </c>
      <c r="S3833" s="14">
        <f t="shared" si="286"/>
        <v>41927.848900462966</v>
      </c>
      <c r="T3833" s="14">
        <f t="shared" si="287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8315</v>
      </c>
      <c r="R3834" t="s">
        <v>8316</v>
      </c>
      <c r="S3834" s="14">
        <f t="shared" si="286"/>
        <v>42375.114988425921</v>
      </c>
      <c r="T3834" s="14">
        <f t="shared" si="287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8315</v>
      </c>
      <c r="R3835" t="s">
        <v>8316</v>
      </c>
      <c r="S3835" s="14">
        <f t="shared" si="286"/>
        <v>41963.872361111105</v>
      </c>
      <c r="T3835" s="14">
        <f t="shared" si="287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8315</v>
      </c>
      <c r="R3836" t="s">
        <v>8316</v>
      </c>
      <c r="S3836" s="14">
        <f t="shared" si="286"/>
        <v>42143.445219907408</v>
      </c>
      <c r="T3836" s="14">
        <f t="shared" si="287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8315</v>
      </c>
      <c r="R3837" t="s">
        <v>8316</v>
      </c>
      <c r="S3837" s="14">
        <f t="shared" si="286"/>
        <v>42460.94222222222</v>
      </c>
      <c r="T3837" s="14">
        <f t="shared" si="287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8315</v>
      </c>
      <c r="R3838" t="s">
        <v>8316</v>
      </c>
      <c r="S3838" s="14">
        <f t="shared" si="286"/>
        <v>42553.926527777774</v>
      </c>
      <c r="T3838" s="14">
        <f t="shared" si="287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8315</v>
      </c>
      <c r="R3839" t="s">
        <v>8316</v>
      </c>
      <c r="S3839" s="14">
        <f t="shared" si="286"/>
        <v>42152.765717592592</v>
      </c>
      <c r="T3839" s="14">
        <f t="shared" si="287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8315</v>
      </c>
      <c r="R3840" t="s">
        <v>8316</v>
      </c>
      <c r="S3840" s="14">
        <f t="shared" si="286"/>
        <v>42116.710752314815</v>
      </c>
      <c r="T3840" s="14">
        <f t="shared" si="287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8315</v>
      </c>
      <c r="R3841" t="s">
        <v>8316</v>
      </c>
      <c r="S3841" s="14">
        <f t="shared" si="286"/>
        <v>42155.142638888887</v>
      </c>
      <c r="T3841" s="14">
        <f t="shared" si="287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9" t="s">
        <v>8315</v>
      </c>
      <c r="R3842" t="s">
        <v>8316</v>
      </c>
      <c r="S3842" s="14">
        <f t="shared" si="286"/>
        <v>42432.701724537037</v>
      </c>
      <c r="T3842" s="14">
        <f t="shared" si="287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9" t="s">
        <v>8315</v>
      </c>
      <c r="R3843" t="s">
        <v>8316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9" t="s">
        <v>8315</v>
      </c>
      <c r="R3906" t="s">
        <v>8316</v>
      </c>
      <c r="S3906" s="14">
        <f t="shared" si="291"/>
        <v>42095.229166666672</v>
      </c>
      <c r="T3906" s="14">
        <f t="shared" si="29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9" t="s">
        <v>8315</v>
      </c>
      <c r="R3907" t="s">
        <v>8316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9" t="s">
        <v>8315</v>
      </c>
      <c r="R3970" t="s">
        <v>8316</v>
      </c>
      <c r="S3970" s="14">
        <f t="shared" si="296"/>
        <v>42452.815659722226</v>
      </c>
      <c r="T3970" s="14">
        <f t="shared" si="29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9" t="s">
        <v>8315</v>
      </c>
      <c r="R3971" t="s">
        <v>8316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9" t="s">
        <v>8315</v>
      </c>
      <c r="R4034" t="s">
        <v>8316</v>
      </c>
      <c r="S4034" s="14">
        <f t="shared" si="300"/>
        <v>42293.809212962966</v>
      </c>
      <c r="T4034" s="14">
        <f t="shared" si="30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9" t="s">
        <v>8315</v>
      </c>
      <c r="R4035" t="s">
        <v>8316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9" t="s">
        <v>8315</v>
      </c>
      <c r="R4098" t="s">
        <v>8316</v>
      </c>
      <c r="S4098" s="14">
        <f t="shared" si="304"/>
        <v>42750.530312499999</v>
      </c>
      <c r="T4098" s="14">
        <f t="shared" si="30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9" t="s">
        <v>8315</v>
      </c>
      <c r="R4099" t="s">
        <v>8316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autoFilter ref="A1:U4115" xr:uid="{00000000-0001-0000-0000-000000000000}"/>
  <conditionalFormatting sqref="F1:F1048576">
    <cfRule type="cellIs" dxfId="14" priority="7" operator="equal">
      <formula>"canceled"</formula>
    </cfRule>
    <cfRule type="cellIs" dxfId="13" priority="8" operator="equal">
      <formula>"failed"</formula>
    </cfRule>
    <cfRule type="cellIs" dxfId="12" priority="9" operator="equal">
      <formula>"successful"</formula>
    </cfRule>
    <cfRule type="cellIs" dxfId="11" priority="10" operator="equal">
      <formula>"sucessful"</formula>
    </cfRule>
    <cfRule type="cellIs" dxfId="10" priority="11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 P1">
    <cfRule type="colorScale" priority="12">
      <colorScale>
        <cfvo type="min"/>
        <cfvo type="percentile" val="90"/>
        <color rgb="FFFF0000"/>
        <color rgb="FF00B0F0"/>
      </colorScale>
    </cfRule>
    <cfRule type="colorScale" priority="13">
      <colorScale>
        <cfvo type="percent" val="0"/>
        <cfvo type="num" val="0"/>
        <color rgb="FFFF0000"/>
        <color rgb="FF00B0F0"/>
      </colorScale>
    </cfRule>
    <cfRule type="colorScale" priority="1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BD2AE-56AD-4081-BC3C-6125BA126AE7}">
  <sheetPr codeName="Sheet2"/>
  <dimension ref="A1:D6"/>
  <sheetViews>
    <sheetView zoomScale="70" zoomScaleNormal="70" workbookViewId="0">
      <selection activeCell="I3" sqref="I3"/>
    </sheetView>
  </sheetViews>
  <sheetFormatPr defaultRowHeight="15" x14ac:dyDescent="0.25"/>
  <cols>
    <col min="1" max="1" width="36.85546875" customWidth="1"/>
    <col min="2" max="2" width="26.7109375" customWidth="1"/>
  </cols>
  <sheetData>
    <row r="1" spans="1:4" x14ac:dyDescent="0.25">
      <c r="A1" t="s">
        <v>8381</v>
      </c>
      <c r="B1" t="s">
        <v>8382</v>
      </c>
      <c r="C1" t="s">
        <v>8383</v>
      </c>
      <c r="D1" t="s">
        <v>8384</v>
      </c>
    </row>
    <row r="2" spans="1:4" ht="255" x14ac:dyDescent="0.25">
      <c r="A2" t="s">
        <v>3473</v>
      </c>
      <c r="B2" s="3" t="str">
        <f>VLOOKUP(A2,Kickstarters!B:C,2,)</f>
        <v>Help us get actor-writer Ian Bonar's debut play - a hilarious, heartbreaking story of grief and loss - to the 2016 Edinburgh Fringe.</v>
      </c>
      <c r="C2">
        <f>VLOOKUP(A2,Kickstarters!B:E,3,FALSE)</f>
        <v>2000</v>
      </c>
      <c r="D2">
        <f>VLOOKUP(A2,Kickstarters!B:E,4,FALSE)</f>
        <v>2020</v>
      </c>
    </row>
    <row r="3" spans="1:4" ht="255" x14ac:dyDescent="0.25">
      <c r="A3" t="s">
        <v>3616</v>
      </c>
      <c r="B3" s="3" t="str">
        <f>VLOOKUP(A3,Kickstarters!B:C,2,)</f>
        <v>The play yet to be described as "A surefire Edinburgh Fringe Festival Cult Hit". Coming to the Underbelly, Edinburgh, 5th-30th August.</v>
      </c>
      <c r="C3">
        <f>VLOOKUP(A3,Kickstarters!B:E,3,FALSE)</f>
        <v>2000</v>
      </c>
      <c r="D3">
        <f>VLOOKUP(A3,Kickstarters!B:E,4,FALSE)</f>
        <v>2020</v>
      </c>
    </row>
    <row r="4" spans="1:4" ht="285" x14ac:dyDescent="0.25">
      <c r="A4" t="s">
        <v>3178</v>
      </c>
      <c r="B4" s="3" t="str">
        <f>VLOOKUP(A4,Kickstarters!B:C,2,)</f>
        <v>Cutting Off Kate Bush is a one-woman show written &amp; performed by Lucy Benson-Brown, premiering at the Edinburgh Fringe Festival 2014</v>
      </c>
      <c r="C4">
        <f>VLOOKUP(A4,Kickstarters!B:E,3,FALSE)</f>
        <v>1500</v>
      </c>
      <c r="D4">
        <f>VLOOKUP(A4,Kickstarters!B:E,4,FALSE)</f>
        <v>2576</v>
      </c>
    </row>
    <row r="5" spans="1:4" ht="60" x14ac:dyDescent="0.25">
      <c r="A5" t="s">
        <v>3329</v>
      </c>
      <c r="B5" s="3" t="str">
        <f>VLOOKUP(A5,Kickstarters!B:C,2,)</f>
        <v>Jestia and Raedon is a brand new romantic comedy play going to the Edinburgh Fringe Festival this summer.</v>
      </c>
      <c r="C5">
        <f>VLOOKUP(A5,Kickstarters!B:E,3,FALSE)</f>
        <v>1000</v>
      </c>
      <c r="D5">
        <f>VLOOKUP(A5,Kickstarters!B:E,4,FALSE)</f>
        <v>1168</v>
      </c>
    </row>
    <row r="6" spans="1:4" ht="90" x14ac:dyDescent="0.25">
      <c r="A6" t="s">
        <v>3221</v>
      </c>
      <c r="B6" s="3" t="str">
        <f>VLOOKUP(A6,Kickstarters!B:C,2,)</f>
        <v>A one-man show about love, loss, and motorways, written &amp; performed by Ben Norris. Help us get to the 2015 Edinburgh Fringe and beyond!</v>
      </c>
      <c r="C6">
        <f>VLOOKUP(A6,Kickstarters!B:E,3,FALSE)</f>
        <v>4000</v>
      </c>
      <c r="D6">
        <f>VLOOKUP(A6,Kickstarters!B:E,4,FALSE)</f>
        <v>4137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A26E-B31F-40D4-A3B7-2739214ABC98}">
  <sheetPr codeName="Sheet3"/>
  <dimension ref="A1:F6"/>
  <sheetViews>
    <sheetView workbookViewId="0">
      <selection activeCell="E39" sqref="E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8360</v>
      </c>
    </row>
    <row r="3" spans="1:6" x14ac:dyDescent="0.25">
      <c r="A3" s="10" t="s">
        <v>8364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1" t="s">
        <v>8362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5DB0-C130-4C74-8209-4C8C51E398B1}">
  <sheetPr codeName="Sheet4"/>
  <dimension ref="A1:C27"/>
  <sheetViews>
    <sheetView workbookViewId="0">
      <selection activeCell="K45" sqref="K4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10" bestFit="1" customWidth="1"/>
    <col min="5" max="6" width="11.28515625" bestFit="1" customWidth="1"/>
  </cols>
  <sheetData>
    <row r="1" spans="1:3" x14ac:dyDescent="0.25">
      <c r="A1" s="10" t="s">
        <v>8222</v>
      </c>
      <c r="B1" t="s">
        <v>8223</v>
      </c>
    </row>
    <row r="2" spans="1:3" x14ac:dyDescent="0.25">
      <c r="A2" s="10" t="s">
        <v>8358</v>
      </c>
      <c r="B2" t="s">
        <v>8360</v>
      </c>
    </row>
    <row r="4" spans="1:3" x14ac:dyDescent="0.25">
      <c r="A4" s="10" t="s">
        <v>8364</v>
      </c>
      <c r="B4" s="10" t="s">
        <v>8363</v>
      </c>
    </row>
    <row r="5" spans="1:3" x14ac:dyDescent="0.25">
      <c r="A5" s="10" t="s">
        <v>8361</v>
      </c>
      <c r="B5" t="s">
        <v>8218</v>
      </c>
      <c r="C5" t="s">
        <v>8362</v>
      </c>
    </row>
    <row r="6" spans="1:3" x14ac:dyDescent="0.25">
      <c r="A6" s="11" t="s">
        <v>8352</v>
      </c>
      <c r="B6" s="12">
        <v>33</v>
      </c>
      <c r="C6" s="12">
        <v>33</v>
      </c>
    </row>
    <row r="7" spans="1:3" x14ac:dyDescent="0.25">
      <c r="A7" s="11" t="s">
        <v>8313</v>
      </c>
      <c r="B7" s="12">
        <v>164</v>
      </c>
      <c r="C7" s="12">
        <v>164</v>
      </c>
    </row>
    <row r="8" spans="1:3" x14ac:dyDescent="0.25">
      <c r="A8" s="11" t="s">
        <v>8328</v>
      </c>
      <c r="B8" s="12">
        <v>30</v>
      </c>
      <c r="C8" s="12">
        <v>30</v>
      </c>
    </row>
    <row r="9" spans="1:3" x14ac:dyDescent="0.25">
      <c r="A9" s="11" t="s">
        <v>8347</v>
      </c>
      <c r="B9" s="12">
        <v>103</v>
      </c>
      <c r="C9" s="12">
        <v>103</v>
      </c>
    </row>
    <row r="10" spans="1:3" x14ac:dyDescent="0.25">
      <c r="A10" s="11" t="s">
        <v>8327</v>
      </c>
      <c r="B10" s="12">
        <v>138</v>
      </c>
      <c r="C10" s="12">
        <v>138</v>
      </c>
    </row>
    <row r="11" spans="1:3" x14ac:dyDescent="0.25">
      <c r="A11" s="11" t="s">
        <v>8354</v>
      </c>
      <c r="B11" s="12">
        <v>7</v>
      </c>
      <c r="C11" s="12">
        <v>7</v>
      </c>
    </row>
    <row r="12" spans="1:3" x14ac:dyDescent="0.25">
      <c r="A12" s="11" t="s">
        <v>8325</v>
      </c>
      <c r="B12" s="12">
        <v>14</v>
      </c>
      <c r="C12" s="12">
        <v>14</v>
      </c>
    </row>
    <row r="13" spans="1:3" x14ac:dyDescent="0.25">
      <c r="A13" s="11" t="s">
        <v>8357</v>
      </c>
      <c r="B13" s="12">
        <v>45</v>
      </c>
      <c r="C13" s="12">
        <v>45</v>
      </c>
    </row>
    <row r="14" spans="1:3" x14ac:dyDescent="0.25">
      <c r="A14" s="11" t="s">
        <v>8321</v>
      </c>
      <c r="B14" s="12">
        <v>49</v>
      </c>
      <c r="C14" s="12">
        <v>49</v>
      </c>
    </row>
    <row r="15" spans="1:3" x14ac:dyDescent="0.25">
      <c r="A15" s="11" t="s">
        <v>8337</v>
      </c>
      <c r="B15" s="12">
        <v>62</v>
      </c>
      <c r="C15" s="12">
        <v>62</v>
      </c>
    </row>
    <row r="16" spans="1:3" x14ac:dyDescent="0.25">
      <c r="A16" s="11" t="s">
        <v>8316</v>
      </c>
      <c r="B16" s="12">
        <v>412</v>
      </c>
      <c r="C16" s="12">
        <v>412</v>
      </c>
    </row>
    <row r="17" spans="1:3" x14ac:dyDescent="0.25">
      <c r="A17" s="11" t="s">
        <v>8344</v>
      </c>
      <c r="B17" s="12">
        <v>35</v>
      </c>
      <c r="C17" s="12">
        <v>35</v>
      </c>
    </row>
    <row r="18" spans="1:3" x14ac:dyDescent="0.25">
      <c r="A18" s="11" t="s">
        <v>8340</v>
      </c>
      <c r="B18" s="12">
        <v>20</v>
      </c>
      <c r="C18" s="12">
        <v>20</v>
      </c>
    </row>
    <row r="19" spans="1:3" x14ac:dyDescent="0.25">
      <c r="A19" s="11" t="s">
        <v>8324</v>
      </c>
      <c r="B19" s="12">
        <v>240</v>
      </c>
      <c r="C19" s="12">
        <v>240</v>
      </c>
    </row>
    <row r="20" spans="1:3" x14ac:dyDescent="0.25">
      <c r="A20" s="11" t="s">
        <v>8310</v>
      </c>
      <c r="B20" s="12">
        <v>48</v>
      </c>
      <c r="C20" s="12">
        <v>48</v>
      </c>
    </row>
    <row r="21" spans="1:3" x14ac:dyDescent="0.25">
      <c r="A21" s="11" t="s">
        <v>8350</v>
      </c>
      <c r="B21" s="12">
        <v>34</v>
      </c>
      <c r="C21" s="12">
        <v>34</v>
      </c>
    </row>
    <row r="22" spans="1:3" x14ac:dyDescent="0.25">
      <c r="A22" s="11" t="s">
        <v>8353</v>
      </c>
      <c r="B22" s="12">
        <v>31</v>
      </c>
      <c r="C22" s="12">
        <v>31</v>
      </c>
    </row>
    <row r="23" spans="1:3" x14ac:dyDescent="0.25">
      <c r="A23" s="11" t="s">
        <v>8355</v>
      </c>
      <c r="B23" s="12">
        <v>68</v>
      </c>
      <c r="C23" s="12">
        <v>68</v>
      </c>
    </row>
    <row r="24" spans="1:3" x14ac:dyDescent="0.25">
      <c r="A24" s="11" t="s">
        <v>8349</v>
      </c>
      <c r="B24" s="12">
        <v>52</v>
      </c>
      <c r="C24" s="12">
        <v>52</v>
      </c>
    </row>
    <row r="25" spans="1:3" x14ac:dyDescent="0.25">
      <c r="A25" s="11" t="s">
        <v>8309</v>
      </c>
      <c r="B25" s="12">
        <v>49</v>
      </c>
      <c r="C25" s="12">
        <v>49</v>
      </c>
    </row>
    <row r="26" spans="1:3" x14ac:dyDescent="0.25">
      <c r="A26" s="11" t="s">
        <v>8319</v>
      </c>
      <c r="B26" s="12">
        <v>17</v>
      </c>
      <c r="C26" s="12">
        <v>17</v>
      </c>
    </row>
    <row r="27" spans="1:3" x14ac:dyDescent="0.25">
      <c r="A27" s="11" t="s">
        <v>8362</v>
      </c>
      <c r="B27" s="12">
        <v>1651</v>
      </c>
      <c r="C27" s="12">
        <v>1651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8514E-E8C3-423F-B2D4-113EA4018382}">
  <sheetPr codeName="Sheet5"/>
  <dimension ref="A1:G18"/>
  <sheetViews>
    <sheetView workbookViewId="0">
      <selection activeCell="H36" sqref="H3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.7109375" customWidth="1"/>
  </cols>
  <sheetData>
    <row r="1" spans="1:7" x14ac:dyDescent="0.25">
      <c r="A1" s="10" t="s">
        <v>8365</v>
      </c>
      <c r="B1" t="s">
        <v>8360</v>
      </c>
    </row>
    <row r="2" spans="1:7" x14ac:dyDescent="0.25">
      <c r="A2" s="10" t="s">
        <v>8380</v>
      </c>
      <c r="B2" t="s">
        <v>8360</v>
      </c>
    </row>
    <row r="4" spans="1:7" x14ac:dyDescent="0.25">
      <c r="A4" s="10" t="s">
        <v>8364</v>
      </c>
      <c r="B4" s="10" t="s">
        <v>8363</v>
      </c>
    </row>
    <row r="5" spans="1:7" x14ac:dyDescent="0.25">
      <c r="A5" s="10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8419</v>
      </c>
    </row>
    <row r="6" spans="1:7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  <c r="G6" s="19">
        <f>GETPIVOTDATA("outcomes",$A$4,"outcomes","successful","Date Created Conversion",1)/GETPIVOTDATA("outcomes",$A$4,"Date Created Conversion",1)</f>
        <v>0.49591280653950953</v>
      </c>
    </row>
    <row r="7" spans="1:7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  <c r="G7" s="19">
        <f>GETPIVOTDATA("outcomes",$A$4,"outcomes","successful","Date Created Conversion",2)/GETPIVOTDATA("outcomes",$A$4,"Date Created Conversion",2)</f>
        <v>0.57223796033994334</v>
      </c>
    </row>
    <row r="8" spans="1:7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  <c r="G8" s="19">
        <f>GETPIVOTDATA("outcomes",$A$4,"outcomes","successful","Date Created Conversion",3)/GETPIVOTDATA("outcomes",$A$4,"Date Created Conversion",3)</f>
        <v>0.52023121387283233</v>
      </c>
    </row>
    <row r="9" spans="1:7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  <c r="G9" s="19">
        <f>GETPIVOTDATA("outcomes",$A$4,"outcomes","successful","Date Created Conversion",4)/GETPIVOTDATA("outcomes",$A$4,"Date Created Conversion",4)</f>
        <v>0.59813084112149528</v>
      </c>
    </row>
    <row r="10" spans="1:7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  <c r="G10" s="19">
        <f>GETPIVOTDATA("outcomes",$A$4,"outcomes","successful","Date Created Conversion",5)/GETPIVOTDATA("outcomes",$A$4,"Date Created Conversion",5)</f>
        <v>0.60621761658031093</v>
      </c>
    </row>
    <row r="11" spans="1:7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  <c r="G11" s="19">
        <f>GETPIVOTDATA("outcomes",$A$4,"outcomes","successful","Date Created Conversion",6)/GETPIVOTDATA("outcomes",$A$4,"Date Created Conversion",6)</f>
        <v>0.54805194805194801</v>
      </c>
    </row>
    <row r="12" spans="1:7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  <c r="G12" s="19">
        <f>GETPIVOTDATA("outcomes",$A$4,"outcomes","successful","Date Created Conversion",7)/GETPIVOTDATA("outcomes",$A$4,"Date Created Conversion",7)</f>
        <v>0.50129198966408273</v>
      </c>
    </row>
    <row r="13" spans="1:7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  <c r="G13" s="19">
        <f>GETPIVOTDATA("outcomes",$A$4,"outcomes","successful","Date Created Conversion",8)/GETPIVOTDATA("outcomes",$A$4,"Date Created Conversion",8)</f>
        <v>0.49849849849849848</v>
      </c>
    </row>
    <row r="14" spans="1:7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  <c r="G14" s="19">
        <f>GETPIVOTDATA("outcomes",$A$4,"outcomes","successful","Date Created Conversion",9)/GETPIVOTDATA("outcomes",$A$4,"Date Created Conversion",9)</f>
        <v>0.49328859060402686</v>
      </c>
    </row>
    <row r="15" spans="1:7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  <c r="G15" s="19">
        <f>GETPIVOTDATA("outcomes",$A$4,"outcomes","successful","Date Created Conversion",10)/GETPIVOTDATA("outcomes",$A$4,"Date Created Conversion",10)</f>
        <v>0.51988636363636365</v>
      </c>
    </row>
    <row r="16" spans="1:7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  <c r="G16" s="19">
        <f>GETPIVOTDATA("outcomes",$A$4,"outcomes","successful","Date Created Conversion",11)/GETPIVOTDATA("outcomes",$A$4,"Date Created Conversion",11)</f>
        <v>0.54790419161676651</v>
      </c>
    </row>
    <row r="17" spans="1:7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  <c r="G17" s="19">
        <f>GETPIVOTDATA("outcomes",$A$4,"outcomes","successful","Date Created Conversion",12)/GETPIVOTDATA("outcomes",$A$4,"Date Created Conversion",12)</f>
        <v>0.44047619047619047</v>
      </c>
    </row>
    <row r="18" spans="1:7" x14ac:dyDescent="0.25">
      <c r="A18" s="15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122E-53EF-4E5F-A743-610293338C3F}">
  <sheetPr codeName="Sheet6"/>
  <dimension ref="A1:T413"/>
  <sheetViews>
    <sheetView topLeftCell="A22" zoomScale="85" zoomScaleNormal="85" workbookViewId="0">
      <selection activeCell="AA2" sqref="AA2"/>
    </sheetView>
  </sheetViews>
  <sheetFormatPr defaultRowHeight="15" x14ac:dyDescent="0.25"/>
  <cols>
    <col min="4" max="4" width="28.7109375" customWidth="1"/>
    <col min="19" max="19" width="17.5703125" customWidth="1"/>
    <col min="20" max="20" width="15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9" t="s">
        <v>8315</v>
      </c>
      <c r="R2" t="s">
        <v>8316</v>
      </c>
      <c r="S2" s="14">
        <v>42646.092812499999</v>
      </c>
      <c r="T2" s="14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9" t="s">
        <v>8315</v>
      </c>
      <c r="R3" t="s">
        <v>8316</v>
      </c>
      <c r="S3" s="14">
        <v>42430.040798611109</v>
      </c>
      <c r="T3" s="14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9" t="s">
        <v>8315</v>
      </c>
      <c r="R4" t="s">
        <v>8316</v>
      </c>
      <c r="S4" s="14">
        <v>42238.13282407407</v>
      </c>
      <c r="T4" s="14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9" t="s">
        <v>8315</v>
      </c>
      <c r="R5" t="s">
        <v>8316</v>
      </c>
      <c r="S5" s="14">
        <v>41850.400937500002</v>
      </c>
      <c r="T5" s="14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9" t="s">
        <v>8315</v>
      </c>
      <c r="R6" t="s">
        <v>8316</v>
      </c>
      <c r="S6" s="14">
        <v>42753.205625000002</v>
      </c>
      <c r="T6" s="14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9" t="s">
        <v>8315</v>
      </c>
      <c r="R7" t="s">
        <v>8316</v>
      </c>
      <c r="S7" s="14">
        <v>42155.920219907406</v>
      </c>
      <c r="T7" s="14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9" t="s">
        <v>8315</v>
      </c>
      <c r="R8" t="s">
        <v>8316</v>
      </c>
      <c r="S8" s="14">
        <v>42157.591064814813</v>
      </c>
      <c r="T8" s="14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9" t="s">
        <v>8315</v>
      </c>
      <c r="R9" t="s">
        <v>8316</v>
      </c>
      <c r="S9" s="14">
        <v>42676.065150462964</v>
      </c>
      <c r="T9" s="14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9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9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9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9" t="s">
        <v>8315</v>
      </c>
      <c r="R13" t="s">
        <v>8316</v>
      </c>
      <c r="S13" s="14">
        <v>42712.23474537037</v>
      </c>
      <c r="T13" s="14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9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9" t="s">
        <v>8315</v>
      </c>
      <c r="R15" t="s">
        <v>8316</v>
      </c>
      <c r="S15" s="14">
        <v>42709.134780092587</v>
      </c>
      <c r="T15" s="14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9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9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9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9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9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9" t="s">
        <v>8315</v>
      </c>
      <c r="R22" t="s">
        <v>8316</v>
      </c>
      <c r="S22" s="14">
        <v>42195.749745370369</v>
      </c>
      <c r="T22" s="14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9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9" t="s">
        <v>8315</v>
      </c>
      <c r="R24" t="s">
        <v>8316</v>
      </c>
      <c r="S24" s="14">
        <v>42018.94159722222</v>
      </c>
      <c r="T24" s="14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9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9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9" t="s">
        <v>8315</v>
      </c>
      <c r="R27" t="s">
        <v>8316</v>
      </c>
      <c r="S27" s="14">
        <v>42558.189432870371</v>
      </c>
      <c r="T27" s="14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9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9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9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9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9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9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9" t="s">
        <v>8315</v>
      </c>
      <c r="R35" t="s">
        <v>8316</v>
      </c>
      <c r="S35" s="14">
        <v>42158.065694444449</v>
      </c>
      <c r="T35" s="14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9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9" t="s">
        <v>8315</v>
      </c>
      <c r="R37" t="s">
        <v>8316</v>
      </c>
      <c r="S37" s="14">
        <v>42208.84646990741</v>
      </c>
      <c r="T37" s="14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9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9" t="s">
        <v>8315</v>
      </c>
      <c r="R39" t="s">
        <v>8316</v>
      </c>
      <c r="S39" s="14">
        <v>41759.13962962963</v>
      </c>
      <c r="T39" s="14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9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9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9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9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9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9" t="s">
        <v>8315</v>
      </c>
      <c r="R45" t="s">
        <v>8316</v>
      </c>
      <c r="S45" s="14">
        <v>42494.683634259258</v>
      </c>
      <c r="T45" s="14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9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9" t="s">
        <v>8315</v>
      </c>
      <c r="R47" t="s">
        <v>8316</v>
      </c>
      <c r="S47" s="14">
        <v>42171.824884259258</v>
      </c>
      <c r="T47" s="14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9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9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9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9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9" t="s">
        <v>8315</v>
      </c>
      <c r="R53" t="s">
        <v>8316</v>
      </c>
      <c r="S53" s="14">
        <v>42036.24428240741</v>
      </c>
      <c r="T53" s="14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9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9" t="s">
        <v>8315</v>
      </c>
      <c r="R55" t="s">
        <v>8316</v>
      </c>
      <c r="S55" s="14">
        <v>41827.909942129627</v>
      </c>
      <c r="T55" s="14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9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9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9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9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9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9" t="s">
        <v>8315</v>
      </c>
      <c r="R62" t="s">
        <v>8316</v>
      </c>
      <c r="S62" s="14">
        <v>42694.110185185185</v>
      </c>
      <c r="T62" s="14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9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9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9" t="s">
        <v>8315</v>
      </c>
      <c r="R65" t="s">
        <v>8316</v>
      </c>
      <c r="S65" s="14">
        <v>41941.683865740742</v>
      </c>
      <c r="T65" s="14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9" t="s">
        <v>8315</v>
      </c>
      <c r="R66" t="s">
        <v>8316</v>
      </c>
      <c r="S66" s="14">
        <v>42026.88118055556</v>
      </c>
      <c r="T66" s="14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9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9" t="s">
        <v>8315</v>
      </c>
      <c r="R68" t="s">
        <v>8316</v>
      </c>
      <c r="S68" s="14">
        <v>41993.824340277773</v>
      </c>
      <c r="T68" s="14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9" t="s">
        <v>8315</v>
      </c>
      <c r="R70" t="s">
        <v>8316</v>
      </c>
      <c r="S70" s="14">
        <v>41909.969386574077</v>
      </c>
      <c r="T70" s="14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9" t="s">
        <v>8315</v>
      </c>
      <c r="R71" t="s">
        <v>8316</v>
      </c>
      <c r="S71" s="14">
        <v>41891.665324074071</v>
      </c>
      <c r="T71" s="14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9" t="s">
        <v>8315</v>
      </c>
      <c r="R72" t="s">
        <v>8316</v>
      </c>
      <c r="S72" s="14">
        <v>41226.017361111109</v>
      </c>
      <c r="T72" s="14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9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9" t="s">
        <v>8315</v>
      </c>
      <c r="R74" t="s">
        <v>8316</v>
      </c>
      <c r="S74" s="14">
        <v>41862.83997685185</v>
      </c>
      <c r="T74" s="14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9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9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9" t="s">
        <v>8315</v>
      </c>
      <c r="R77" t="s">
        <v>8316</v>
      </c>
      <c r="S77" s="14">
        <v>41026.953055555554</v>
      </c>
      <c r="T77" s="14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9" t="s">
        <v>8315</v>
      </c>
      <c r="R78" t="s">
        <v>8316</v>
      </c>
      <c r="S78" s="14">
        <v>41829.788252314815</v>
      </c>
      <c r="T78" s="14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9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9" t="s">
        <v>8315</v>
      </c>
      <c r="R81" t="s">
        <v>8316</v>
      </c>
      <c r="S81" s="14">
        <v>41841.26489583333</v>
      </c>
      <c r="T81" s="14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9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9" t="s">
        <v>8315</v>
      </c>
      <c r="R83" t="s">
        <v>8316</v>
      </c>
      <c r="S83" s="14">
        <v>41775.753761574073</v>
      </c>
      <c r="T83" s="14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9" t="s">
        <v>8315</v>
      </c>
      <c r="R84" t="s">
        <v>8316</v>
      </c>
      <c r="S84" s="14">
        <v>41766.80572916667</v>
      </c>
      <c r="T84" s="14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9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9" t="s">
        <v>8315</v>
      </c>
      <c r="R86" t="s">
        <v>8316</v>
      </c>
      <c r="S86" s="14">
        <v>41940.69158564815</v>
      </c>
      <c r="T86" s="14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9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9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9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9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9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9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9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9" t="s">
        <v>8315</v>
      </c>
      <c r="R95" t="s">
        <v>8316</v>
      </c>
      <c r="S95" s="14">
        <v>41477.930914351848</v>
      </c>
      <c r="T95" s="14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9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9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9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9" t="s">
        <v>8315</v>
      </c>
      <c r="R99" t="s">
        <v>8316</v>
      </c>
      <c r="S99" s="14">
        <v>41491.79478009259</v>
      </c>
      <c r="T99" s="14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9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9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9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9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9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9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9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9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9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9" t="s">
        <v>8315</v>
      </c>
      <c r="R110" t="s">
        <v>8316</v>
      </c>
      <c r="S110" s="14">
        <v>42772.833379629628</v>
      </c>
      <c r="T110" s="14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9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9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9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9" t="s">
        <v>8315</v>
      </c>
      <c r="R114" t="s">
        <v>8316</v>
      </c>
      <c r="S114" s="14">
        <v>42503.559467592597</v>
      </c>
      <c r="T114" s="14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9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9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9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9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9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9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9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9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9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9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9" t="s">
        <v>8315</v>
      </c>
      <c r="R126" t="s">
        <v>8316</v>
      </c>
      <c r="S126" s="14">
        <v>42262.096782407403</v>
      </c>
      <c r="T126" s="14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9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9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9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9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9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9" t="s">
        <v>8315</v>
      </c>
      <c r="R133" t="s">
        <v>8316</v>
      </c>
      <c r="S133" s="14">
        <v>42602.576712962968</v>
      </c>
      <c r="T133" s="14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9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9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9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9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9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9" t="s">
        <v>8315</v>
      </c>
      <c r="R140" t="s">
        <v>8316</v>
      </c>
      <c r="S140" s="14">
        <v>42284.516064814816</v>
      </c>
      <c r="T140" s="14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9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9" t="s">
        <v>8315</v>
      </c>
      <c r="R142" t="s">
        <v>8316</v>
      </c>
      <c r="S142" s="14">
        <v>42136.536134259266</v>
      </c>
      <c r="T142" s="14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9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9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9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9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9" t="s">
        <v>8315</v>
      </c>
      <c r="R147" t="s">
        <v>8316</v>
      </c>
      <c r="S147" s="14">
        <v>42400.704537037032</v>
      </c>
      <c r="T147" s="14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9" t="s">
        <v>8315</v>
      </c>
      <c r="R148" t="s">
        <v>8316</v>
      </c>
      <c r="S148" s="14">
        <v>42017.88045138889</v>
      </c>
      <c r="T148" s="14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9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9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9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9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9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9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9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9" t="s">
        <v>8315</v>
      </c>
      <c r="R157" t="s">
        <v>8316</v>
      </c>
      <c r="S157" s="14">
        <v>42239.957962962959</v>
      </c>
      <c r="T157" s="14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9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9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9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9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9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9" t="s">
        <v>8315</v>
      </c>
      <c r="R164" t="s">
        <v>8316</v>
      </c>
      <c r="S164" s="14">
        <v>42493.219236111108</v>
      </c>
      <c r="T164" s="14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9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9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9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9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9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9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9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9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9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9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9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9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9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9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9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9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9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9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9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9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9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9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9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9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9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9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9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9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9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9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9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9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9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9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9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9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9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9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9" t="s">
        <v>8315</v>
      </c>
      <c r="R207" t="s">
        <v>8316</v>
      </c>
      <c r="S207" s="14">
        <v>42292.087592592594</v>
      </c>
      <c r="T207" s="14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9" t="s">
        <v>8315</v>
      </c>
      <c r="R208" t="s">
        <v>8316</v>
      </c>
      <c r="S208" s="14">
        <v>41953.8675</v>
      </c>
      <c r="T208" s="14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9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9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9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9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9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9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9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9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9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9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9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9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9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9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9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9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9" t="s">
        <v>8315</v>
      </c>
      <c r="R227" t="s">
        <v>8316</v>
      </c>
      <c r="S227" s="14">
        <v>41894.91375</v>
      </c>
      <c r="T227" s="14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9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9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9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9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9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9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9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9" t="s">
        <v>8315</v>
      </c>
      <c r="R236" t="s">
        <v>8316</v>
      </c>
      <c r="S236" s="14">
        <v>41776.063136574077</v>
      </c>
      <c r="T236" s="14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9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9" t="s">
        <v>8315</v>
      </c>
      <c r="R238" t="s">
        <v>8316</v>
      </c>
      <c r="S238" s="14">
        <v>42572.61681712963</v>
      </c>
      <c r="T238" s="14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9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9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9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9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9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9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9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9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9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9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9" t="s">
        <v>8315</v>
      </c>
      <c r="R251" t="s">
        <v>8316</v>
      </c>
      <c r="S251" s="14">
        <v>42626.7503125</v>
      </c>
      <c r="T251" s="14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9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9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9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9" t="s">
        <v>8315</v>
      </c>
      <c r="R255" t="s">
        <v>8316</v>
      </c>
      <c r="S255" s="14">
        <v>42643.632858796293</v>
      </c>
      <c r="T255" s="14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9" t="s">
        <v>8315</v>
      </c>
      <c r="R256" t="s">
        <v>8316</v>
      </c>
      <c r="S256" s="14">
        <v>42179.898472222223</v>
      </c>
      <c r="T256" s="14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9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9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9" t="s">
        <v>8315</v>
      </c>
      <c r="R260" t="s">
        <v>8316</v>
      </c>
      <c r="S260" s="14">
        <v>42605.765381944439</v>
      </c>
      <c r="T260" s="14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9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9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9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9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9" t="s">
        <v>8315</v>
      </c>
      <c r="R265" t="s">
        <v>8316</v>
      </c>
      <c r="S265" s="14">
        <v>41921.279976851853</v>
      </c>
      <c r="T265" s="14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9" t="s">
        <v>8315</v>
      </c>
      <c r="R266" t="s">
        <v>8316</v>
      </c>
      <c r="S266" s="14">
        <v>42128.736608796295</v>
      </c>
      <c r="T266" s="14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9" t="s">
        <v>8315</v>
      </c>
      <c r="R267" t="s">
        <v>8316</v>
      </c>
      <c r="S267" s="14">
        <v>42053.916921296302</v>
      </c>
      <c r="T267" s="14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9" t="s">
        <v>8315</v>
      </c>
      <c r="R268" t="s">
        <v>8316</v>
      </c>
      <c r="S268" s="14">
        <v>42171.317442129628</v>
      </c>
      <c r="T268" s="14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9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9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9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9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9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9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9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9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9" t="s">
        <v>8315</v>
      </c>
      <c r="R278" t="s">
        <v>8316</v>
      </c>
      <c r="S278" s="14">
        <v>42689.214988425927</v>
      </c>
      <c r="T278" s="14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9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9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9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9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9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9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9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9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9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9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9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9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9" t="s">
        <v>8315</v>
      </c>
      <c r="R293" t="s">
        <v>8316</v>
      </c>
      <c r="S293" s="14">
        <v>41856.010069444441</v>
      </c>
      <c r="T293" s="14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9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9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9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9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9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9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9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9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9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9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9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9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9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9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9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9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9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9" t="s">
        <v>8315</v>
      </c>
      <c r="R313" t="s">
        <v>8316</v>
      </c>
      <c r="S313" s="14">
        <v>42196.028703703705</v>
      </c>
      <c r="T313" s="14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9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9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9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9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9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9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9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9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9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9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9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9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9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9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9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9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9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9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9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9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9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9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9" t="s">
        <v>8315</v>
      </c>
      <c r="R338" t="s">
        <v>8316</v>
      </c>
      <c r="S338" s="14">
        <v>42220.79487268519</v>
      </c>
      <c r="T338" s="14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9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9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9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9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9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9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9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9" t="s">
        <v>8315</v>
      </c>
      <c r="R347" t="s">
        <v>8316</v>
      </c>
      <c r="S347" s="14">
        <v>42619.935694444444</v>
      </c>
      <c r="T347" s="14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9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9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9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9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9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9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9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9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9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9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9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9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9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9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9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9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9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9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9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9" t="s">
        <v>8315</v>
      </c>
      <c r="R370" t="s">
        <v>8316</v>
      </c>
      <c r="S370" s="14">
        <v>41753.593275462961</v>
      </c>
      <c r="T370" s="14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9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9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9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9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9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9" t="s">
        <v>8315</v>
      </c>
      <c r="R376" t="s">
        <v>8316</v>
      </c>
      <c r="S376" s="14">
        <v>41891.96503472222</v>
      </c>
      <c r="T376" s="14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9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9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9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9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9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9" t="s">
        <v>8315</v>
      </c>
      <c r="R383" t="s">
        <v>8316</v>
      </c>
      <c r="S383" s="14">
        <v>41792.542986111112</v>
      </c>
      <c r="T383" s="14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9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9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9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9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9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9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9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9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9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9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9" t="s">
        <v>8315</v>
      </c>
      <c r="R395" t="s">
        <v>8316</v>
      </c>
      <c r="S395" s="14">
        <v>42462.140868055561</v>
      </c>
      <c r="T395" s="14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9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9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9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9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9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9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9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9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9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9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9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9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9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9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9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9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9" priority="4" operator="equal">
      <formula>"canceled"</formula>
    </cfRule>
    <cfRule type="cellIs" dxfId="8" priority="5" operator="equal">
      <formula>"failed"</formula>
    </cfRule>
    <cfRule type="cellIs" dxfId="7" priority="6" operator="equal">
      <formula>"successful"</formula>
    </cfRule>
    <cfRule type="cellIs" dxfId="6" priority="7" operator="equal">
      <formula>"sucessful"</formula>
    </cfRule>
    <cfRule type="cellIs" dxfId="5" priority="8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2:O413 O1:P1">
    <cfRule type="colorScale" priority="9">
      <colorScale>
        <cfvo type="min"/>
        <cfvo type="percentile" val="90"/>
        <color rgb="FFFF0000"/>
        <color rgb="FF00B0F0"/>
      </colorScale>
    </cfRule>
    <cfRule type="colorScale" priority="10">
      <colorScale>
        <cfvo type="percent" val="0"/>
        <cfvo type="num" val="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C0A9-6D2B-4FC4-9CBA-587AE90EEC10}">
  <sheetPr codeName="Sheet7"/>
  <dimension ref="A1:T251"/>
  <sheetViews>
    <sheetView topLeftCell="A3" zoomScaleNormal="100" workbookViewId="0">
      <selection activeCell="K3" sqref="K3"/>
    </sheetView>
  </sheetViews>
  <sheetFormatPr defaultRowHeight="15" x14ac:dyDescent="0.25"/>
  <cols>
    <col min="4" max="4" width="16.140625" customWidth="1"/>
    <col min="5" max="5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8365</v>
      </c>
      <c r="R1" s="13" t="s">
        <v>8359</v>
      </c>
      <c r="S1" s="13" t="s">
        <v>8366</v>
      </c>
      <c r="T1" s="13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4">
        <v>42492.737847222219</v>
      </c>
      <c r="T2" s="14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4">
        <v>42108.692060185189</v>
      </c>
      <c r="T4" s="14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4">
        <v>42453.806307870371</v>
      </c>
      <c r="T5" s="14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4">
        <v>42123.648831018523</v>
      </c>
      <c r="T6" s="14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4">
        <v>41858.007071759261</v>
      </c>
      <c r="T7" s="14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4">
        <v>41781.045173611114</v>
      </c>
      <c r="T8" s="14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4">
        <v>42370.007766203707</v>
      </c>
      <c r="T9" s="14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4">
        <v>42165.037581018521</v>
      </c>
      <c r="T10" s="14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4">
        <v>42480.800648148142</v>
      </c>
      <c r="T11" s="14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4">
        <v>41831.675034722226</v>
      </c>
      <c r="T13" s="14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4">
        <v>41950.114108796297</v>
      </c>
      <c r="T14" s="14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4">
        <v>42627.955104166671</v>
      </c>
      <c r="T15" s="14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4">
        <v>42540.593530092592</v>
      </c>
      <c r="T18" s="14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4">
        <v>42115.11618055556</v>
      </c>
      <c r="T21" s="14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4">
        <v>42002.817488425921</v>
      </c>
      <c r="T22" s="14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4">
        <v>42722.84474537037</v>
      </c>
      <c r="T23" s="14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4">
        <v>42465.128391203703</v>
      </c>
      <c r="T24" s="14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4">
        <v>42171.743969907402</v>
      </c>
      <c r="T25" s="14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4">
        <v>42672.955138888887</v>
      </c>
      <c r="T26" s="14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4">
        <v>42359.725243055553</v>
      </c>
      <c r="T27" s="14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4">
        <v>42192.905694444446</v>
      </c>
      <c r="T28" s="14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4">
        <v>42370.90320601852</v>
      </c>
      <c r="T31" s="14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4">
        <v>42047.07640046296</v>
      </c>
      <c r="T33" s="14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4">
        <v>41831.742962962962</v>
      </c>
      <c r="T38" s="14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4">
        <v>42415.883425925931</v>
      </c>
      <c r="T39" s="14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4">
        <v>41869.714166666665</v>
      </c>
      <c r="T40" s="14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4">
        <v>41811.555462962962</v>
      </c>
      <c r="T43" s="14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4">
        <v>42701.908807870372</v>
      </c>
      <c r="T44" s="14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4">
        <v>42515.078217592592</v>
      </c>
      <c r="T47" s="14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4">
        <v>41830.234166666669</v>
      </c>
      <c r="T48" s="14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4">
        <v>42196.166874999995</v>
      </c>
      <c r="T51" s="14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4">
        <v>42606.056863425925</v>
      </c>
      <c r="T52" s="14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4">
        <v>42199.648912037039</v>
      </c>
      <c r="T53" s="14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4">
        <v>42142.768819444449</v>
      </c>
      <c r="T57" s="14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4">
        <v>42278.629710648151</v>
      </c>
      <c r="T61" s="14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4">
        <v>41826.61954861111</v>
      </c>
      <c r="T62" s="14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4">
        <v>42205.171018518522</v>
      </c>
      <c r="T63" s="14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4">
        <v>42041.205000000002</v>
      </c>
      <c r="T64" s="14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4">
        <v>42103.024398148147</v>
      </c>
      <c r="T67" s="14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4">
        <v>41833.089756944442</v>
      </c>
      <c r="T70" s="14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4">
        <v>42325.920717592591</v>
      </c>
      <c r="T71" s="14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4">
        <v>41793.710231481484</v>
      </c>
      <c r="T73" s="14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4">
        <v>41793.814259259263</v>
      </c>
      <c r="T74" s="14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4">
        <v>41780.785729166666</v>
      </c>
      <c r="T77" s="14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4">
        <v>41766.072500000002</v>
      </c>
      <c r="T78" s="14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4">
        <v>42248.627013888887</v>
      </c>
      <c r="T80" s="14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4">
        <v>41885.221550925926</v>
      </c>
      <c r="T81" s="14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4">
        <v>42159.224432870367</v>
      </c>
      <c r="T82" s="14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4">
        <v>41975.124340277776</v>
      </c>
      <c r="T84" s="14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4">
        <v>41848.84002314815</v>
      </c>
      <c r="T86" s="14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4">
        <v>42103.884930555556</v>
      </c>
      <c r="T87" s="14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4">
        <v>42059.970729166671</v>
      </c>
      <c r="T88" s="14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4">
        <v>41829.73715277778</v>
      </c>
      <c r="T90" s="14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4">
        <v>41789.893599537041</v>
      </c>
      <c r="T91" s="14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4">
        <v>42402.947002314817</v>
      </c>
      <c r="T97" s="14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4">
        <v>42509.814108796301</v>
      </c>
      <c r="T98" s="14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4">
        <v>41779.657870370371</v>
      </c>
      <c r="T103" s="14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4">
        <v>42534.866875</v>
      </c>
      <c r="T158" s="14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4">
        <v>41804.937083333331</v>
      </c>
      <c r="T202" s="14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4">
        <v>42144.231527777782</v>
      </c>
      <c r="T206" s="14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4">
        <v>42031.666898148149</v>
      </c>
      <c r="T224" s="14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4">
        <v>42695.7105787037</v>
      </c>
      <c r="T227" s="14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4">
        <v>42209.67288194444</v>
      </c>
      <c r="T237" s="14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4" priority="4" operator="equal">
      <formula>"canceled"</formula>
    </cfRule>
    <cfRule type="cellIs" dxfId="3" priority="5" operator="equal">
      <formula>"failed"</formula>
    </cfRule>
    <cfRule type="cellIs" dxfId="2" priority="6" operator="equal">
      <formula>"successful"</formula>
    </cfRule>
    <cfRule type="cellIs" dxfId="1" priority="7" operator="equal">
      <formula>"sucessful"</formula>
    </cfRule>
    <cfRule type="cellIs" dxfId="0" priority="8" operator="equal">
      <formula>"live"</formula>
    </cfRule>
  </conditionalFormatting>
  <conditionalFormatting sqref="Q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percent" val="0"/>
        <cfvo type="num" val="0"/>
        <color rgb="FFFF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P1 O2:O251">
    <cfRule type="colorScale" priority="9">
      <colorScale>
        <cfvo type="min"/>
        <cfvo type="percentile" val="90"/>
        <color rgb="FFFF0000"/>
        <color rgb="FF00B0F0"/>
      </colorScale>
    </cfRule>
    <cfRule type="colorScale" priority="10">
      <colorScale>
        <cfvo type="percent" val="0"/>
        <cfvo type="num" val="0"/>
        <color rgb="FFFF0000"/>
        <color rgb="FF00B0F0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686FA-EBAE-4650-A05A-136EAD997D3A}">
  <sheetPr codeName="Sheet8"/>
  <dimension ref="A1:C14"/>
  <sheetViews>
    <sheetView workbookViewId="0">
      <selection activeCell="O40" sqref="O40"/>
    </sheetView>
  </sheetViews>
  <sheetFormatPr defaultRowHeight="15" x14ac:dyDescent="0.25"/>
  <cols>
    <col min="1" max="1" width="32" customWidth="1"/>
    <col min="2" max="2" width="15.140625" style="16" customWidth="1"/>
    <col min="3" max="3" width="17.42578125" style="16" customWidth="1"/>
  </cols>
  <sheetData>
    <row r="1" spans="1:3" x14ac:dyDescent="0.25">
      <c r="B1" s="16" t="s">
        <v>8385</v>
      </c>
      <c r="C1" s="16" t="s">
        <v>8386</v>
      </c>
    </row>
    <row r="2" spans="1:3" x14ac:dyDescent="0.25">
      <c r="A2" t="s">
        <v>8387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8388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8391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8392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5">
      <c r="A6" t="s">
        <v>8393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5">
      <c r="A7" t="s">
        <v>8394</v>
      </c>
      <c r="B7" s="16">
        <f>B5-B6</f>
        <v>3500</v>
      </c>
      <c r="C7" s="16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8390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8395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8396</v>
      </c>
      <c r="B12" s="16">
        <f>_xlfn.QUARTILE.EXC('Successful US Kickstarters'!E:E,3)</f>
        <v>5699</v>
      </c>
      <c r="C12" s="16">
        <f>_xlfn.QUARTILE.EXC('Failed US Kickstarters'!E:E,3)</f>
        <v>501</v>
      </c>
    </row>
    <row r="13" spans="1:3" x14ac:dyDescent="0.25">
      <c r="A13" t="s">
        <v>8397</v>
      </c>
      <c r="B13" s="16">
        <f>_xlfn.QUARTILE.EXC('Successful US Kickstarters'!E:E,1)</f>
        <v>1716.5074999999999</v>
      </c>
      <c r="C13" s="16">
        <f>_xlfn.QUARTILE.EXC('Failed US Kickstarters'!E:E,1)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8C060-EAE9-4A42-9DE6-809178B79A29}">
  <sheetPr codeName="Sheet9"/>
  <dimension ref="A1:F18"/>
  <sheetViews>
    <sheetView workbookViewId="0">
      <selection activeCell="F6" sqref="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23.5703125" customWidth="1"/>
  </cols>
  <sheetData>
    <row r="1" spans="1:6" x14ac:dyDescent="0.25">
      <c r="A1" s="10" t="s">
        <v>8365</v>
      </c>
      <c r="B1" t="s">
        <v>8360</v>
      </c>
    </row>
    <row r="2" spans="1:6" x14ac:dyDescent="0.25">
      <c r="A2" s="10" t="s">
        <v>8399</v>
      </c>
      <c r="B2" t="s">
        <v>8360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6" x14ac:dyDescent="0.25">
      <c r="A6" s="15" t="s">
        <v>8374</v>
      </c>
      <c r="B6" s="12">
        <v>182</v>
      </c>
      <c r="C6" s="12">
        <v>149</v>
      </c>
      <c r="D6" s="12">
        <v>34</v>
      </c>
      <c r="E6" s="12">
        <v>365</v>
      </c>
      <c r="F6" s="19"/>
    </row>
    <row r="7" spans="1:6" x14ac:dyDescent="0.25">
      <c r="A7" s="15" t="s">
        <v>8375</v>
      </c>
      <c r="B7" s="12">
        <v>202</v>
      </c>
      <c r="C7" s="12">
        <v>106</v>
      </c>
      <c r="D7" s="12">
        <v>27</v>
      </c>
      <c r="E7" s="12">
        <v>335</v>
      </c>
      <c r="F7" s="19"/>
    </row>
    <row r="8" spans="1:6" x14ac:dyDescent="0.25">
      <c r="A8" s="15" t="s">
        <v>8376</v>
      </c>
      <c r="B8" s="12">
        <v>180</v>
      </c>
      <c r="C8" s="12">
        <v>108</v>
      </c>
      <c r="D8" s="12">
        <v>28</v>
      </c>
      <c r="E8" s="12">
        <v>316</v>
      </c>
      <c r="F8" s="19"/>
    </row>
    <row r="9" spans="1:6" x14ac:dyDescent="0.25">
      <c r="A9" s="15" t="s">
        <v>8377</v>
      </c>
      <c r="B9" s="12">
        <v>192</v>
      </c>
      <c r="C9" s="12">
        <v>102</v>
      </c>
      <c r="D9" s="12">
        <v>27</v>
      </c>
      <c r="E9" s="12">
        <v>321</v>
      </c>
      <c r="F9" s="19"/>
    </row>
    <row r="10" spans="1:6" x14ac:dyDescent="0.25">
      <c r="A10" s="15" t="s">
        <v>8368</v>
      </c>
      <c r="B10" s="12">
        <v>234</v>
      </c>
      <c r="C10" s="12">
        <v>126</v>
      </c>
      <c r="D10" s="12">
        <v>26</v>
      </c>
      <c r="E10" s="12">
        <v>386</v>
      </c>
      <c r="F10" s="19"/>
    </row>
    <row r="11" spans="1:6" x14ac:dyDescent="0.25">
      <c r="A11" s="15" t="s">
        <v>8378</v>
      </c>
      <c r="B11" s="12">
        <v>211</v>
      </c>
      <c r="C11" s="12">
        <v>147</v>
      </c>
      <c r="D11" s="12">
        <v>27</v>
      </c>
      <c r="E11" s="12">
        <v>385</v>
      </c>
      <c r="F11" s="19"/>
    </row>
    <row r="12" spans="1:6" x14ac:dyDescent="0.25">
      <c r="A12" s="15" t="s">
        <v>8369</v>
      </c>
      <c r="B12" s="12">
        <v>194</v>
      </c>
      <c r="C12" s="12">
        <v>150</v>
      </c>
      <c r="D12" s="12">
        <v>43</v>
      </c>
      <c r="E12" s="12">
        <v>387</v>
      </c>
      <c r="F12" s="19"/>
    </row>
    <row r="13" spans="1:6" x14ac:dyDescent="0.25">
      <c r="A13" s="15" t="s">
        <v>8370</v>
      </c>
      <c r="B13" s="12">
        <v>166</v>
      </c>
      <c r="C13" s="12">
        <v>134</v>
      </c>
      <c r="D13" s="12">
        <v>33</v>
      </c>
      <c r="E13" s="12">
        <v>333</v>
      </c>
      <c r="F13" s="19"/>
    </row>
    <row r="14" spans="1:6" x14ac:dyDescent="0.25">
      <c r="A14" s="15" t="s">
        <v>8371</v>
      </c>
      <c r="B14" s="12">
        <v>147</v>
      </c>
      <c r="C14" s="12">
        <v>127</v>
      </c>
      <c r="D14" s="12">
        <v>24</v>
      </c>
      <c r="E14" s="12">
        <v>298</v>
      </c>
      <c r="F14" s="19"/>
    </row>
    <row r="15" spans="1:6" x14ac:dyDescent="0.25">
      <c r="A15" s="15" t="s">
        <v>8372</v>
      </c>
      <c r="B15" s="12">
        <v>183</v>
      </c>
      <c r="C15" s="12">
        <v>149</v>
      </c>
      <c r="D15" s="12">
        <v>20</v>
      </c>
      <c r="E15" s="12">
        <v>352</v>
      </c>
      <c r="F15" s="19"/>
    </row>
    <row r="16" spans="1:6" x14ac:dyDescent="0.25">
      <c r="A16" s="15" t="s">
        <v>8373</v>
      </c>
      <c r="B16" s="12">
        <v>183</v>
      </c>
      <c r="C16" s="12">
        <v>114</v>
      </c>
      <c r="D16" s="12">
        <v>37</v>
      </c>
      <c r="E16" s="12">
        <v>334</v>
      </c>
      <c r="F16" s="19"/>
    </row>
    <row r="17" spans="1:6" x14ac:dyDescent="0.25">
      <c r="A17" s="15" t="s">
        <v>8379</v>
      </c>
      <c r="B17" s="12">
        <v>111</v>
      </c>
      <c r="C17" s="12">
        <v>118</v>
      </c>
      <c r="D17" s="12">
        <v>23</v>
      </c>
      <c r="E17" s="12">
        <v>252</v>
      </c>
      <c r="F17" s="19"/>
    </row>
    <row r="18" spans="1:6" x14ac:dyDescent="0.25">
      <c r="A18" s="15" t="s">
        <v>8362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0AC9-4F62-407D-B9AB-FF1758506192}">
  <dimension ref="A1:H13"/>
  <sheetViews>
    <sheetView workbookViewId="0">
      <selection activeCell="C42" sqref="C42"/>
    </sheetView>
  </sheetViews>
  <sheetFormatPr defaultRowHeight="15" x14ac:dyDescent="0.25"/>
  <cols>
    <col min="1" max="1" width="18.42578125" customWidth="1"/>
    <col min="2" max="2" width="22.42578125" customWidth="1"/>
    <col min="3" max="3" width="19.140625" customWidth="1"/>
    <col min="4" max="4" width="18.5703125" customWidth="1"/>
    <col min="5" max="5" width="14.85546875" customWidth="1"/>
    <col min="6" max="6" width="20.5703125" customWidth="1"/>
    <col min="7" max="7" width="17.28515625" customWidth="1"/>
    <col min="8" max="8" width="22.42578125" customWidth="1"/>
  </cols>
  <sheetData>
    <row r="1" spans="1:8" x14ac:dyDescent="0.25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5">
      <c r="A2" t="s">
        <v>8407</v>
      </c>
      <c r="B2">
        <f>COUNTIFS(Kickstarters!$D:$D,"&lt;1000", Kickstarters!$F:$F,"successful",Kickstarters!$R:$R,"plays")</f>
        <v>141</v>
      </c>
      <c r="C2">
        <f>COUNTIFS(Kickstarters!$D:$D,"&lt;1000", Kickstarters!$F:$F,"failed",Kickstarters!$R:$R,"plays")</f>
        <v>45</v>
      </c>
      <c r="D2">
        <f>COUNTIFS(Kickstarters!$D:$D,"&lt;1000", Kickstarters!$F:$F,"canceled",Kickstarters!$R:$R,"plays")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8408</v>
      </c>
      <c r="B3">
        <f>COUNTIFS(Kickstarters!$D:$D,"&gt;=1000",Kickstarters!$F:$F,"successful",Kickstarters!$D:$D,"&lt;=4999",Kickstarters!$R:$R,"plays")</f>
        <v>388</v>
      </c>
      <c r="C3">
        <f>COUNTIFS(Kickstarters!$D:$D,"&gt;=1000",Kickstarters!$F:$F,"failed",Kickstarters!$D:$D,"&lt;=4999",Kickstarters!$R:$R,"plays")</f>
        <v>146</v>
      </c>
      <c r="D3">
        <f>COUNTIFS(Kickstarters!$D:$D,"&gt;=1000",Kickstarters!$F:$F,"canceled",Kickstarters!$D:$D,"&lt;=4999",Kickstarters!$R:$R,"plays")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8409</v>
      </c>
      <c r="B4">
        <f>COUNTIFS(Kickstarters!$D:$D, "&gt;=5000",Kickstarters!$F:$F,"successful",Kickstarters!$D:$D,"&lt;=9999",Kickstarters!$R:$R,"plays")</f>
        <v>93</v>
      </c>
      <c r="C4">
        <f>COUNTIFS(Kickstarters!$D:$D, "&gt;=5000",Kickstarters!$F:$F,"failed",Kickstarters!$D:$D,"&lt;=9999",Kickstarters!$R:$R,"plays")</f>
        <v>76</v>
      </c>
      <c r="D4">
        <f>COUNTIFS(Kickstarters!$D:$D, "&gt;=5000",Kickstarters!$F:$F,"canceled",Kickstarters!$D:$D,"&lt;=9999",Kickstarters!$R:$R,"plays")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8410</v>
      </c>
      <c r="B5">
        <f>COUNTIFS(Kickstarters!$D:$D,"&gt;=10000",Kickstarters!$F:$F,"successful",Kickstarters!$D:$D,"&lt;=14999",Kickstarters!$R:$R,"plays")</f>
        <v>39</v>
      </c>
      <c r="C5">
        <f>COUNTIFS(Kickstarters!$D:$D,"&gt;=10000",Kickstarters!$F:$F,"failed",Kickstarters!$D:$D,"&lt;=14999",Kickstarters!$R:$R,"plays")</f>
        <v>33</v>
      </c>
      <c r="D5">
        <f>COUNTIFS(Kickstarters!$D:$D,"&gt;=10000",Kickstarters!$F:$F,"canceled",Kickstarters!$D:$D,"&lt;=14999",Kickstarters!$R:$R,"plays")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8411</v>
      </c>
      <c r="B6">
        <f>COUNTIFS(Kickstarters!$D:$D,"&gt;=15000",Kickstarters!$F:$F,"successful",Kickstarters!$D:$D,"&lt;=19999",Kickstarters!$R:$R,"plays")</f>
        <v>12</v>
      </c>
      <c r="C6">
        <f>COUNTIFS(Kickstarters!$D:$D,"&gt;=15000",Kickstarters!$F:$F,"Failed",Kickstarters!$D:$D,"&lt;=19999",Kickstarters!$R:$R,"plays")</f>
        <v>12</v>
      </c>
      <c r="D6">
        <f>COUNTIFS(Kickstarters!$D:$D,"&gt;=15000",Kickstarters!$F:$F,"canceled",Kickstarters!$D:$D,"&lt;=19999",Kickstarters!$R:$R,"plays")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8412</v>
      </c>
      <c r="B7">
        <f>COUNTIFS(Kickstarters!$D:$D,"&gt;=20000",Kickstarters!$F:$F,"successful",Kickstarters!$D:$D,"&lt;=24999",Kickstarters!$R:$R,"plays")</f>
        <v>9</v>
      </c>
      <c r="C7">
        <f>COUNTIFS(Kickstarters!$D:$D,"&gt;=20000",Kickstarters!$F:$F,"Failed",Kickstarters!$D:$D,"&lt;=24999",Kickstarters!$R:$R,"plays")</f>
        <v>11</v>
      </c>
      <c r="D7">
        <f>COUNTIFS(Kickstarters!$D:$D,"&gt;=20000",Kickstarters!$F:$F,"canceled",Kickstarters!$D:$D,"&lt;=24999",Kickstarters!$R:$R,"plays")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8413</v>
      </c>
      <c r="B8">
        <f>COUNTIFS(Kickstarters!$D:$D,"&gt;=25000",Kickstarters!$F:$F,"successful",Kickstarters!$D:$D,"&lt;=29999",Kickstarters!$R:$R,"plays")</f>
        <v>1</v>
      </c>
      <c r="C8">
        <f>COUNTIFS(Kickstarters!$D:$D,"&gt;=25000",Kickstarters!$F:$F,"Failed",Kickstarters!$D:$D,"&lt;=29999",Kickstarters!$R:$R,"plays")</f>
        <v>4</v>
      </c>
      <c r="D8">
        <f>COUNTIFS(Kickstarters!$D:$D,"&gt;=25000",Kickstarters!$F:$F,"canceled",Kickstarters!$D:$D,"&lt;=29999",Kickstarters!$R:$R,"plays")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8414</v>
      </c>
      <c r="B9">
        <f>COUNTIFS(Kickstarters!$D:$D,"&gt;=30000",Kickstarters!$F:$F,"successful",Kickstarters!$D:$D,"&lt;=34999",Kickstarters!$R:$R,"plays")</f>
        <v>3</v>
      </c>
      <c r="C9">
        <f>COUNTIFS(Kickstarters!$D:$D,"&gt;=30000",Kickstarters!$F:$F,"Failed",Kickstarters!$D:$D,"&lt;=34999",Kickstarters!$R:$R,"plays")</f>
        <v>8</v>
      </c>
      <c r="D9">
        <f>COUNTIFS(Kickstarters!$D:$D,"&gt;=30000",Kickstarters!$F:$F,"canceled",Kickstarters!$D:$D,"&lt;=34999",Kickstarters!$R:$R,"plays")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8418</v>
      </c>
      <c r="B10">
        <f>COUNTIFS(Kickstarters!$D:$D,"&gt;=35000",Kickstarters!$F:$F,"successful",Kickstarters!$D:$D,"&lt;=39999",Kickstarters!$R:$R,"plays")</f>
        <v>4</v>
      </c>
      <c r="C10">
        <f>COUNTIFS(Kickstarters!$D:$D,"&gt;=35000",Kickstarters!$F:$F,"Failed",Kickstarters!$D:$D,"&lt;=39999",Kickstarters!$R:$R,"plays")</f>
        <v>2</v>
      </c>
      <c r="D10">
        <f>COUNTIFS(Kickstarters!$D:$D,"&gt;=35000",Kickstarters!$F:$F,"canceled",Kickstarters!$D:$D,"&lt;=39999",Kickstarters!$R:$R,"plays")</f>
        <v>0</v>
      </c>
      <c r="E10">
        <f>SUM(B10:D10)</f>
        <v>6</v>
      </c>
      <c r="F10" s="18">
        <f>B10/E10</f>
        <v>0.66666666666666663</v>
      </c>
      <c r="G10" s="18">
        <f>C10/E10</f>
        <v>0.33333333333333331</v>
      </c>
      <c r="H10" s="18">
        <f>D10/E10</f>
        <v>0</v>
      </c>
    </row>
    <row r="11" spans="1:8" x14ac:dyDescent="0.25">
      <c r="A11" t="s">
        <v>8415</v>
      </c>
      <c r="B11">
        <f>COUNTIFS(Kickstarters!$D:$D,"&gt;=40000",Kickstarters!$F:$F,"successful",Kickstarters!$D:$D,"&lt;=44999",Kickstarters!$R:$R,"plays")</f>
        <v>2</v>
      </c>
      <c r="C11">
        <f>COUNTIFS(Kickstarters!$D:$D,"&gt;=40000",Kickstarters!$F:$F,"Failed",Kickstarters!$D:$D,"&lt;=44999",Kickstarters!$R:$R,"plays")</f>
        <v>1</v>
      </c>
      <c r="D11">
        <f>COUNTIFS(Kickstarters!$D:$D,"&gt;=40000",Kickstarters!$F:$F,"canceled",Kickstarters!$D:$D,"&lt;=44999",Kickstarters!$R:$R,"plays")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8416</v>
      </c>
      <c r="B12">
        <f>COUNTIFS(Kickstarters!$D:$D,"&gt;=45000",Kickstarters!$F:$F,"successful",Kickstarters!$D:$D,"&lt;=49999",Kickstarters!$R:$R,"plays")</f>
        <v>0</v>
      </c>
      <c r="C12">
        <f>COUNTIFS(Kickstarters!$D:$D,"&gt;=45000",Kickstarters!$F:$F,"Failed",Kickstarters!$D:$D,"&lt;=49999",Kickstarters!$R:$R,"plays")</f>
        <v>1</v>
      </c>
      <c r="D12">
        <f>COUNTIFS(Kickstarters!$D:$D,"&gt;=45000",Kickstarters!$F:$F,"canceled",Kickstarters!$D:$D,"&lt;=49999",Kickstarters!$R:$R,"plays")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8417</v>
      </c>
      <c r="B13">
        <f>COUNTIFS(Kickstarters!$D:$D,"&gt;50000",Kickstarters!$F:$F,"successful",Kickstarters!$R:$R,"plays")</f>
        <v>2</v>
      </c>
      <c r="C13">
        <f>COUNTIFS(Kickstarters!$D:$D,"&gt;50000",Kickstarters!$F:$F,"Failed",Kickstarters!$R:$R,"plays")</f>
        <v>10</v>
      </c>
      <c r="D13">
        <f>COUNTIFS(Kickstarters!$D:$D,"&gt;50000",Kickstarters!$F:$F,"canceled",Kickstarters!$R:$R,"plays")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4CDD7CF478CA94EAA9855F560DEFDC7" ma:contentTypeVersion="2" ma:contentTypeDescription="Create a new document." ma:contentTypeScope="" ma:versionID="2f679591cdb44fa7fd88c0b006991012">
  <xsd:schema xmlns:xsd="http://www.w3.org/2001/XMLSchema" xmlns:xs="http://www.w3.org/2001/XMLSchema" xmlns:p="http://schemas.microsoft.com/office/2006/metadata/properties" xmlns:ns3="3d45a1f2-a04f-4dd6-b0ed-98b18e3e885e" targetNamespace="http://schemas.microsoft.com/office/2006/metadata/properties" ma:root="true" ma:fieldsID="587ba6d47deffc5237fee7ff6fb27073" ns3:_="">
    <xsd:import namespace="3d45a1f2-a04f-4dd6-b0ed-98b18e3e885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45a1f2-a04f-4dd6-b0ed-98b18e3e8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F0B4BA3-80CE-4BC1-B2E3-F65848C969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844A0D2-93C9-4B05-8859-6A2367730F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d45a1f2-a04f-4dd6-b0ed-98b18e3e88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98B68C0-9304-4631-8DB4-4758973A0D18}">
  <ds:schemaRefs>
    <ds:schemaRef ds:uri="http://purl.org/dc/elements/1.1/"/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2006/documentManagement/types"/>
    <ds:schemaRef ds:uri="3d45a1f2-a04f-4dd6-b0ed-98b18e3e885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Kickstarters</vt:lpstr>
      <vt:lpstr>Edinburgh Research</vt:lpstr>
      <vt:lpstr>Parent 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huanhui huang</cp:lastModifiedBy>
  <dcterms:created xsi:type="dcterms:W3CDTF">2017-04-20T15:17:24Z</dcterms:created>
  <dcterms:modified xsi:type="dcterms:W3CDTF">2021-10-30T22:02:00Z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0x01010094CDD7CF478CA94EAA9855F560DEFDC7</vt:lpwstr>
  </property>
</Properties>
</file>