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5F09E169-18C4-4925-91D9-34E1021FE6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6" i="12" l="1" a="1"/>
  <c r="O6" i="12" s="1"/>
  <c r="K2" i="12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K5" i="12" a="1"/>
  <c r="K5" i="12" s="1"/>
  <c r="L5" i="12" a="1"/>
  <c r="L5" i="12" s="1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<sst xmlns="http://schemas.openxmlformats.org/spreadsheetml/2006/main" count="40" uniqueCount="39">
  <si>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</si>
  <si>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</si>
  <si>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</si>
  <si>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</si>
  <si>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</si>
  <si>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</si>
  <si>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</si>
  <si>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</si>
  <si>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</si>
  <si>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</si>
  <si>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</si>
  <si>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</si>
  <si>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</si>
  <si>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</si>
  <si>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</si>
  <si>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</si>
  <si>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</si>
  <si>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</si>
  <si>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</si>
  <si>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</si>
  <si>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</si>
  <si>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</si>
  <si>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</si>
  <si>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</si>
  <si>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</si>
  <si>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</si>
  <si>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</si>
  <si>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</si>
  <si>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</si>
  <si>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</si>
  <si>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</si>
  <si>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</si>
  <si>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>DOLINDEX</t>
  </si>
  <si>
    <t>GLDFUT</t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</si>
  <si>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</si>
  <si>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Download do arquivo </t>
  </si>
  <si>
    <t>Delta %</t>
  </si>
  <si>
    <t xml:space="preserve">    Atualizado em: 08/10/2025 </t>
  </si>
  <si>
    <t xml:space="preserve">  * A superfície de volatilidade de dólar é construída com base nas informações coletadas por um pool de Informantes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</si>
</sst>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13.56</val>
          </value>
        </values>
      </ddeItem>
      <ddeItem name="DI1FUT.FEC" advise="1">
        <values>
          <value>
            <val>13.535000000000002</val>
          </value>
        </values>
      </ddeItem>
      <ddeItem name="DI1FUT.MAX" advise="1">
        <values>
          <value>
            <val>13.57</val>
          </value>
        </values>
      </ddeItem>
      <ddeItem name="DI1FUT.MIN" advise="1">
        <values>
          <value>
            <val>13.475</val>
          </value>
        </values>
      </ddeItem>
      <ddeItem name="DI1FUT.NEG" advise="1">
        <values>
          <value>
            <val>30872</val>
          </value>
        </values>
      </ddeItem>
      <ddeItem name="DI1FUT.ULT" advise="1">
        <values>
          <value>
            <val>13.475</val>
          </value>
        </values>
      </ddeItem>
      <ddeItem name="DI1FUT.VAR" advise="1">
        <values>
          <value>
            <val>-0.44329516069450392</val>
          </value>
        </values>
      </ddeItem>
      <ddeItem name="DI1FUT.VEN" advise="1">
        <values>
          <value t="str">
            <val>03/01/2028</val>
          </value>
        </values>
      </ddeItem>
      <ddeItem name="DI1FUT.VOL" advise="1">
        <values>
          <value>
            <val>29007406084.700001</val>
          </value>
        </values>
      </ddeItem>
      <ddeItem name="DOLINDEX.ABE" advise="1">
        <values>
          <value>
            <val>98.852716999999998</val>
          </value>
        </values>
      </ddeItem>
      <ddeItem name="DOLINDEX.FEC" advise="1">
        <values>
          <value>
            <val>98.850251</val>
          </value>
        </values>
      </ddeItem>
      <ddeItem name="DOLINDEX.MAX" advise="1">
        <values>
          <value>
            <val>99.101139000000003</val>
          </value>
        </values>
      </ddeItem>
      <ddeItem name="DOLINDEX.MIN" advise="1">
        <values>
          <value>
            <val>98.698318</val>
          </value>
        </values>
      </ddeItem>
      <ddeItem name="DOLINDEX.NEG" advise="1">
        <values>
          <value>
            <val>7268</val>
          </value>
        </values>
      </ddeItem>
      <ddeItem name="DOLINDEX.ULT" advise="1">
        <values>
          <value>
            <val>98.93732</val>
          </value>
        </values>
      </ddeItem>
      <ddeItem name="DOLINDEX.VAR" advise="1">
        <values>
          <value>
            <val>8.8081718679717369E-2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718381.65964900004</val>
          </value>
        </values>
      </ddeItem>
      <ddeItem name="FRP0.ABE" advise="1">
        <values>
          <value>
            <val>30.4</val>
          </value>
        </values>
      </ddeItem>
      <ddeItem name="FRP0.FEC" advise="1">
        <values>
          <value>
            <val>32</val>
          </value>
        </values>
      </ddeItem>
      <ddeItem name="FRP0.MAX" advise="1">
        <values>
          <value>
            <val>30.8</val>
          </value>
        </values>
      </ddeItem>
      <ddeItem name="FRP0.MIN" advise="1">
        <values>
          <value>
            <val>30.4</val>
          </value>
        </values>
      </ddeItem>
      <ddeItem name="FRP0.NEG" advise="1">
        <values>
          <value>
            <val>162</val>
          </value>
        </values>
      </ddeItem>
      <ddeItem name="FRP0.ULT" advise="1">
        <values>
          <value>
            <val>30.6</val>
          </value>
        </values>
      </ddeItem>
      <ddeItem name="FRP0.VAR" advise="1">
        <values>
          <value>
            <val>-4.375</val>
          </value>
        </values>
      </ddeItem>
      <ddeItem name="FRP0.VEN" advise="1">
        <values>
          <value t="str">
            <val>30/10/2025</val>
          </value>
        </values>
      </ddeItem>
      <ddeItem name="FRP0.VOL" advise="1">
        <values>
          <value>
            <val>11250241725</val>
          </value>
        </values>
      </ddeItem>
      <ddeItem name="GLDFUT.ABE" advise="1">
        <values>
          <value>
            <val>4010</val>
          </value>
        </values>
      </ddeItem>
      <ddeItem name="GLDFUT.FEC" advise="1">
        <values>
          <value>
            <val>4012.25</val>
          </value>
        </values>
      </ddeItem>
      <ddeItem name="GLDFUT.MAX" advise="1">
        <values>
          <value>
            <val>4089.25</val>
          </value>
        </values>
      </ddeItem>
      <ddeItem name="GLDFUT.MIN" advise="1">
        <values>
          <value>
            <val>4010</val>
          </value>
        </values>
      </ddeItem>
      <ddeItem name="GLDFUT.NEG" advise="1">
        <values>
          <value>
            <val>516</val>
          </value>
        </values>
      </ddeItem>
      <ddeItem name="GLDFUT.ULT" advise="1">
        <values>
          <value>
            <val>4070</val>
          </value>
        </values>
      </ddeItem>
      <ddeItem name="GLDFUT.VAR" advise="1">
        <values>
          <value>
            <val>1.4393420150788216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22295430.699999999</val>
          </value>
        </values>
      </ddeItem>
      <ddeItem name="StdDocumentName" ole="1" advise="1"/>
      <ddeItem name="USD/BRL.ABE" advise="1">
        <values>
          <value>
            <val>5.3348000000000004</val>
          </value>
        </values>
      </ddeItem>
      <ddeItem name="USD/BRL.FEC" advise="1">
        <values>
          <value>
            <val>5.3348000000000004</val>
          </value>
        </values>
      </ddeItem>
      <ddeItem name="USD/BRL.MAX" advise="1">
        <values>
          <value>
            <val>5.3569000000000004</val>
          </value>
        </values>
      </ddeItem>
      <ddeItem name="USD/BRL.MIN" advise="1">
        <values>
          <value>
            <val>5.3328069999999999</val>
          </value>
        </values>
      </ddeItem>
      <ddeItem name="USD/BRL.NEG" advise="1">
        <values>
          <value>
            <val>480</val>
          </value>
        </values>
      </ddeItem>
      <ddeItem name="USD/BRL.ULT" advise="1">
        <values>
          <value>
            <val>5.3532999999999999</val>
          </value>
        </values>
      </ddeItem>
      <ddeItem name="USD/BRL.VAR" advise="1">
        <values>
          <value>
            <val>0.34677963560018554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2562.4817109999999</val>
          </value>
        </values>
      </ddeItem>
      <ddeItem name="WDOFUT.ABE" advise="1">
        <values>
          <value>
            <val>5388</val>
          </value>
        </values>
      </ddeItem>
      <ddeItem name="WDOFUT.MAX" advise="1">
        <values>
          <value>
            <val>5395</val>
          </value>
        </values>
      </ddeItem>
      <ddeItem name="WDOFUT.MIN" advise="1">
        <values>
          <value>
            <val>5360</val>
          </value>
        </values>
      </ddeItem>
      <ddeItem name="WDOFUT.NEG" advise="1">
        <values>
          <value>
            <val>608857</val>
          </value>
        </values>
      </ddeItem>
      <ddeItem name="WDOFUT.ULT" advise="1">
        <values>
          <value>
            <val>5364</val>
          </value>
        </values>
      </ddeItem>
      <ddeItem name="WDOFUT.VAR" advise="1">
        <values>
          <value>
            <val>-0.44543429844098625</val>
          </value>
        </values>
      </ddeItem>
      <ddeItem name="WDOFUT.VEN" advise="1">
        <values>
          <value t="str">
            <val>03/11/2025</val>
          </value>
        </values>
      </ddeItem>
      <ddeItem name="WDOFUT.VOL" advise="1">
        <values>
          <value>
            <val>135472110715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opLeftCell="J1" workbookViewId="0">
      <selection activeCell="S14" sqref="S14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5">
      <c r="J2" t="s">
        <v>24</v>
      </c>
      <c r="K2" cm="1">
        <f t="array" ref="K2">[1]!DI1FUT.ULT</f>
        <v>13.475</v>
      </c>
      <c r="L2" cm="1">
        <f t="array" ref="L2">[1]!DI1FUT.ABE</f>
        <v>13.56</v>
      </c>
      <c r="M2" cm="1">
        <f t="array" ref="M2">[1]!DI1FUT.MAX</f>
        <v>13.57</v>
      </c>
      <c r="N2" cm="1">
        <f t="array" ref="N2">[1]!DI1FUT.MIN</f>
        <v>13.475</v>
      </c>
      <c r="O2" cm="1">
        <f t="array" ref="O2">[1]!DI1FUT.FEC</f>
        <v>13.535000000000002</v>
      </c>
      <c r="P2" cm="1">
        <f t="array" ref="P2">[1]!DI1FUT.VAR</f>
        <v>-0.44329516069450392</v>
      </c>
      <c r="Q2" cm="1">
        <f t="array" ref="Q2">[1]!DI1FUT.NEG</f>
        <v>30872</v>
      </c>
      <c r="R2" cm="1">
        <f t="array" ref="R2">[1]!DI1FUT.VOL</f>
        <v>29007406084.700001</v>
      </c>
      <c r="S2" t="str" cm="1">
        <f t="array" ref="S2">[1]!DI1FUT.VEN</f>
        <v>03/01/2028</v>
      </c>
    </row>
    <row r="3" spans="10:19" x14ac:dyDescent="0.25">
      <c r="J3" t="s">
        <v>30</v>
      </c>
      <c r="K3" cm="1">
        <f t="array" ref="K3">[1]!FRP0.ULT</f>
        <v>30.6</v>
      </c>
      <c r="L3" cm="1">
        <f t="array" ref="L3">[1]!FRP0.ABE</f>
        <v>30.4</v>
      </c>
      <c r="M3" cm="1">
        <f t="array" ref="M3">[1]!FRP0.MAX</f>
        <v>30.8</v>
      </c>
      <c r="N3" cm="1">
        <f t="array" ref="N3">[1]!FRP0.MIN</f>
        <v>30.4</v>
      </c>
      <c r="O3" cm="1">
        <f t="array" ref="O3">[1]!FRP0.FEC</f>
        <v>32</v>
      </c>
      <c r="P3" cm="1">
        <f t="array" ref="P3">[1]!FRP0.VAR</f>
        <v>-4.375</v>
      </c>
      <c r="Q3" cm="1">
        <f t="array" ref="Q3">[1]!FRP0.NEG</f>
        <v>162</v>
      </c>
      <c r="R3" cm="1">
        <f t="array" ref="R3">[1]!FRP0.VOL</f>
        <v>11250241725</v>
      </c>
      <c r="S3" t="str" cm="1">
        <f t="array" ref="S3">[1]!FRP0.VEN</f>
        <v>30/10/2025</v>
      </c>
    </row>
    <row r="4" spans="10:19" x14ac:dyDescent="0.25">
      <c r="J4" t="s">
        <v>25</v>
      </c>
      <c r="K4" cm="1">
        <f t="array" ref="K4">[1]!'USD/BRL.ULT'</f>
        <v>5.3532999999999999</v>
      </c>
      <c r="L4" cm="1">
        <f t="array" ref="L4">[1]!'USD/BRL.ABE'</f>
        <v>5.3348000000000004</v>
      </c>
      <c r="M4" cm="1">
        <f t="array" ref="M4">[1]!'USD/BRL.MAX'</f>
        <v>5.3569000000000004</v>
      </c>
      <c r="N4" cm="1">
        <f t="array" ref="N4">[1]!'USD/BRL.MIN'</f>
        <v>5.3328069999999999</v>
      </c>
      <c r="O4" cm="1">
        <f t="array" ref="O4">[1]!'USD/BRL.FEC'</f>
        <v>5.3348000000000004</v>
      </c>
      <c r="P4" cm="1">
        <f t="array" ref="P4">[1]!'USD/BRL.VAR'</f>
        <v>0.34677963560018554</v>
      </c>
      <c r="Q4" cm="1">
        <f t="array" ref="Q4">[1]!'USD/BRL.NEG'</f>
        <v>480</v>
      </c>
      <c r="R4" cm="1">
        <f t="array" ref="R4">[1]!'USD/BRL.VOL'</f>
        <v>2562.4817109999999</v>
      </c>
      <c r="S4" t="str" cm="1">
        <f t="array" ref="S4">[1]!'USD/BRL.VEN'</f>
        <v>01/01/3000</v>
      </c>
    </row>
    <row r="5" spans="10:19" x14ac:dyDescent="0.25">
      <c r="J5" t="s">
        <v>26</v>
      </c>
      <c r="K5" cm="1">
        <f t="array" ref="K5">[1]!WDOFUT.ULT</f>
        <v>5364</v>
      </c>
      <c r="L5" cm="1">
        <f t="array" ref="L5">[1]!WDOFUT.ABE</f>
        <v>5388</v>
      </c>
      <c r="M5" cm="1">
        <f t="array" ref="M5">[1]!WDOFUT.MAX</f>
        <v>5395</v>
      </c>
      <c r="N5" cm="1">
        <f t="array" ref="N5">[1]!WDOFUT.MIN</f>
        <v>5360</v>
      </c>
      <c r="O5">
        <v>5364</v>
      </c>
      <c r="P5" cm="1">
        <f t="array" ref="P5">[1]!WDOFUT.VAR</f>
        <v>-0.44543429844098625</v>
      </c>
      <c r="Q5" cm="1">
        <f t="array" ref="Q5">[1]!WDOFUT.NEG</f>
        <v>608857</v>
      </c>
      <c r="R5" cm="1">
        <f t="array" ref="R5">[1]!WDOFUT.VOL</f>
        <v>135472110715</v>
      </c>
      <c r="S5" t="str" cm="1">
        <f t="array" ref="S5">[1]!WDOFUT.VEN</f>
        <v>03/11/2025</v>
      </c>
    </row>
    <row r="6" spans="10:19" x14ac:dyDescent="0.25">
      <c r="J6" t="s">
        <v>32</v>
      </c>
      <c r="K6" cm="1">
        <f t="array" ref="K6">[1]!DOLINDEX.ULT</f>
        <v>98.93732</v>
      </c>
      <c r="L6" cm="1">
        <f t="array" ref="L6">[1]!DOLINDEX.ABE</f>
        <v>98.852716999999998</v>
      </c>
      <c r="M6" cm="1">
        <f t="array" ref="M6">[1]!DOLINDEX.MAX</f>
        <v>99.101139000000003</v>
      </c>
      <c r="N6" cm="1">
        <f t="array" ref="N6">[1]!DOLINDEX.MIN</f>
        <v>98.698318</v>
      </c>
      <c r="O6" cm="1">
        <f t="array" ref="O6">[1]!DOLINDEX.FEC</f>
        <v>98.850251</v>
      </c>
      <c r="P6" cm="1">
        <f t="array" ref="P6">[1]!DOLINDEX.VAR</f>
        <v>8.8081718679717369E-2</v>
      </c>
      <c r="Q6" cm="1">
        <f t="array" ref="Q6">[1]!DOLINDEX.NEG</f>
        <v>7268</v>
      </c>
      <c r="R6" cm="1">
        <f t="array" ref="R6">[1]!DOLINDEX.VOL</f>
        <v>718381.65964900004</v>
      </c>
      <c r="S6" t="str" cm="1">
        <f t="array" ref="S6">[1]!DOLINDEX.VEN</f>
        <v>01/01/3000</v>
      </c>
    </row>
    <row r="7" spans="10:19" x14ac:dyDescent="0.25">
      <c r="J7" t="s">
        <v>33</v>
      </c>
      <c r="K7" cm="1">
        <f t="array" ref="K7">[1]!GLDFUT.ULT</f>
        <v>4070</v>
      </c>
      <c r="L7" cm="1">
        <f t="array" ref="L7">[1]!GLDFUT.ABE</f>
        <v>4010</v>
      </c>
      <c r="M7" cm="1">
        <f t="array" ref="M7">[1]!GLDFUT.MAX</f>
        <v>4089.25</v>
      </c>
      <c r="N7" cm="1">
        <f t="array" ref="N7">[1]!GLDFUT.MIN</f>
        <v>4010</v>
      </c>
      <c r="O7" cm="1">
        <f t="array" ref="O7">[1]!GLDFUT.FEC</f>
        <v>4012.25</v>
      </c>
      <c r="P7" cm="1">
        <f t="array" ref="P7">[1]!GLDFUT.VAR</f>
        <v>1.4393420150788216</v>
      </c>
      <c r="Q7" cm="1">
        <f t="array" ref="Q7">[1]!GLDFUT.NEG</f>
        <v>516</v>
      </c>
      <c r="R7" cm="1">
        <f t="array" ref="R7">[1]!GLDFUT.VOL</f>
        <v>22295430.699999999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55"/>
  <sheetViews>
    <sheetView tabSelected="1" topLeftCell="A7" zoomScale="85" zoomScaleNormal="85" workbookViewId="0">
      <selection activeCell="G24" sqref="G24"/>
    </sheetView>
  </sheetViews>
  <sheetFormatPr defaultColWidth="10.28515625" defaultRowHeight="12" x14ac:dyDescent="0.2"/>
  <cols>
    <col min="1" max="1" width="11.28515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37</v>
      </c>
    </row>
    <row r="18" spans="1:12" ht="18" customHeight="1" x14ac:dyDescent="0.2">
      <c r="A18" s="3" t="s">
        <v>36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45962</v>
      </c>
      <c r="B19" s="4">
        <v>17.59</v>
      </c>
      <c r="C19" s="4">
        <v>16.059999999999999</v>
      </c>
      <c r="D19" s="4">
        <v>14.52</v>
      </c>
      <c r="E19" s="4">
        <v>11.82</v>
      </c>
      <c r="F19" s="4">
        <v>10.67</v>
      </c>
      <c r="G19" s="4">
        <v>9.85</v>
      </c>
      <c r="H19" s="4">
        <v>9.44</v>
      </c>
      <c r="I19" s="4">
        <v>8.98</v>
      </c>
      <c r="J19" s="4">
        <v>9.2899999999999991</v>
      </c>
      <c r="K19" s="4">
        <v>9.39</v>
      </c>
      <c r="L19" s="4">
        <v>9.4600000000000009</v>
      </c>
    </row>
    <row r="20" spans="1:12" ht="18" customHeight="1" x14ac:dyDescent="0.2">
      <c r="A20" s="3">
        <v>45992</v>
      </c>
      <c r="B20" s="4">
        <v>15.87</v>
      </c>
      <c r="C20" s="4">
        <v>15.29</v>
      </c>
      <c r="D20" s="4">
        <v>14.6</v>
      </c>
      <c r="E20" s="4">
        <v>12.8</v>
      </c>
      <c r="F20" s="4">
        <v>11.64</v>
      </c>
      <c r="G20" s="4">
        <v>10.66</v>
      </c>
      <c r="H20" s="4">
        <v>9.9600000000000009</v>
      </c>
      <c r="I20" s="4">
        <v>9.58</v>
      </c>
      <c r="J20" s="4">
        <v>9.4499999999999993</v>
      </c>
      <c r="K20" s="4">
        <v>9.49</v>
      </c>
      <c r="L20" s="4">
        <v>9.56</v>
      </c>
    </row>
    <row r="21" spans="1:12" ht="18" customHeight="1" x14ac:dyDescent="0.2">
      <c r="A21" s="3">
        <v>46023</v>
      </c>
      <c r="B21" s="4">
        <v>17.21</v>
      </c>
      <c r="C21" s="4">
        <v>16.77</v>
      </c>
      <c r="D21" s="4">
        <v>16.149999999999999</v>
      </c>
      <c r="E21" s="4">
        <v>13.59</v>
      </c>
      <c r="F21" s="4">
        <v>12.26</v>
      </c>
      <c r="G21" s="4">
        <v>11.16</v>
      </c>
      <c r="H21" s="4">
        <v>10.51</v>
      </c>
      <c r="I21" s="4">
        <v>10.36</v>
      </c>
      <c r="J21" s="4">
        <v>10.69</v>
      </c>
      <c r="K21" s="4">
        <v>10.66</v>
      </c>
      <c r="L21" s="4">
        <v>10.61</v>
      </c>
    </row>
    <row r="22" spans="1:12" ht="18" customHeight="1" x14ac:dyDescent="0.2">
      <c r="A22" s="3">
        <v>46054</v>
      </c>
      <c r="B22" s="4">
        <v>17.68</v>
      </c>
      <c r="C22" s="4">
        <v>17.21</v>
      </c>
      <c r="D22" s="4">
        <v>16.559999999999999</v>
      </c>
      <c r="E22" s="4">
        <v>13.95</v>
      </c>
      <c r="F22" s="4">
        <v>12.38</v>
      </c>
      <c r="G22" s="4">
        <v>11.53</v>
      </c>
      <c r="H22" s="4">
        <v>10.86</v>
      </c>
      <c r="I22" s="4">
        <v>10.71</v>
      </c>
      <c r="J22" s="4">
        <v>11.11</v>
      </c>
      <c r="K22" s="4">
        <v>11.1</v>
      </c>
      <c r="L22" s="4">
        <v>11.09</v>
      </c>
    </row>
    <row r="23" spans="1:12" ht="18" customHeight="1" x14ac:dyDescent="0.2">
      <c r="A23" s="3">
        <v>46082</v>
      </c>
      <c r="B23" s="4">
        <v>18.079999999999998</v>
      </c>
      <c r="C23" s="4">
        <v>17.62</v>
      </c>
      <c r="D23" s="4">
        <v>16.98</v>
      </c>
      <c r="E23" s="4">
        <v>14.39</v>
      </c>
      <c r="F23" s="4">
        <v>12.83</v>
      </c>
      <c r="G23" s="4">
        <v>11.99</v>
      </c>
      <c r="H23" s="4">
        <v>11.32</v>
      </c>
      <c r="I23" s="4">
        <v>11.16</v>
      </c>
      <c r="J23" s="4">
        <v>11.59</v>
      </c>
      <c r="K23" s="4">
        <v>11.58</v>
      </c>
      <c r="L23" s="4">
        <v>11.56</v>
      </c>
    </row>
    <row r="24" spans="1:12" ht="18" customHeight="1" x14ac:dyDescent="0.2">
      <c r="A24" s="3">
        <v>46113</v>
      </c>
      <c r="B24" s="4">
        <v>18.399999999999999</v>
      </c>
      <c r="C24" s="4">
        <v>17.989999999999998</v>
      </c>
      <c r="D24" s="4">
        <v>17.399999999999999</v>
      </c>
      <c r="E24" s="4">
        <v>14.81</v>
      </c>
      <c r="F24" s="4">
        <v>13.29</v>
      </c>
      <c r="G24" s="4">
        <v>12.46</v>
      </c>
      <c r="H24" s="4">
        <v>11.8</v>
      </c>
      <c r="I24" s="4">
        <v>11.52</v>
      </c>
      <c r="J24" s="4">
        <v>12.07</v>
      </c>
      <c r="K24" s="4">
        <v>12.03</v>
      </c>
      <c r="L24" s="4">
        <v>11.96</v>
      </c>
    </row>
    <row r="25" spans="1:12" ht="18" customHeight="1" x14ac:dyDescent="0.2">
      <c r="A25" s="3">
        <v>46143</v>
      </c>
      <c r="B25" s="4">
        <v>18.809999999999999</v>
      </c>
      <c r="C25" s="4">
        <v>18.41</v>
      </c>
      <c r="D25" s="4">
        <v>17.809999999999999</v>
      </c>
      <c r="E25" s="4">
        <v>15.05</v>
      </c>
      <c r="F25" s="4">
        <v>13.73</v>
      </c>
      <c r="G25" s="4">
        <v>12.91</v>
      </c>
      <c r="H25" s="4">
        <v>12.39</v>
      </c>
      <c r="I25" s="4">
        <v>11.97</v>
      </c>
      <c r="J25" s="4">
        <v>12.49</v>
      </c>
      <c r="K25" s="4">
        <v>12.45</v>
      </c>
      <c r="L25" s="4">
        <v>12.38</v>
      </c>
    </row>
    <row r="26" spans="1:12" ht="18" customHeight="1" x14ac:dyDescent="0.2">
      <c r="A26" s="3">
        <v>46174</v>
      </c>
      <c r="B26" s="4">
        <v>18.73</v>
      </c>
      <c r="C26" s="4">
        <v>18.11</v>
      </c>
      <c r="D26" s="4">
        <v>17.37</v>
      </c>
      <c r="E26" s="4">
        <v>15.49</v>
      </c>
      <c r="F26" s="4">
        <v>14.29</v>
      </c>
      <c r="G26" s="4">
        <v>13.3</v>
      </c>
      <c r="H26" s="4">
        <v>12.64</v>
      </c>
      <c r="I26" s="4">
        <v>12.32</v>
      </c>
      <c r="J26" s="4">
        <v>12.31</v>
      </c>
      <c r="K26" s="4">
        <v>12.39</v>
      </c>
      <c r="L26" s="4">
        <v>12.51</v>
      </c>
    </row>
    <row r="27" spans="1:12" ht="18" customHeight="1" x14ac:dyDescent="0.2">
      <c r="A27" s="3">
        <v>46204</v>
      </c>
      <c r="B27" s="4">
        <v>19.649999999999999</v>
      </c>
      <c r="C27" s="4">
        <v>19.190000000000001</v>
      </c>
      <c r="D27" s="4">
        <v>18.54</v>
      </c>
      <c r="E27" s="4">
        <v>15.93</v>
      </c>
      <c r="F27" s="4">
        <v>14.59</v>
      </c>
      <c r="G27" s="4">
        <v>13.52</v>
      </c>
      <c r="H27" s="4">
        <v>12.89</v>
      </c>
      <c r="I27" s="4">
        <v>12.66</v>
      </c>
      <c r="J27" s="4">
        <v>13.24</v>
      </c>
      <c r="K27" s="4">
        <v>13.25</v>
      </c>
      <c r="L27" s="4">
        <v>13.25</v>
      </c>
    </row>
    <row r="28" spans="1:12" ht="18" customHeight="1" x14ac:dyDescent="0.2">
      <c r="A28" s="3">
        <v>46235</v>
      </c>
      <c r="B28" s="4">
        <v>20.059999999999999</v>
      </c>
      <c r="C28" s="4">
        <v>19.600000000000001</v>
      </c>
      <c r="D28" s="4">
        <v>18.95</v>
      </c>
      <c r="E28" s="4">
        <v>16.350000000000001</v>
      </c>
      <c r="F28" s="4">
        <v>15.02</v>
      </c>
      <c r="G28" s="4">
        <v>13.97</v>
      </c>
      <c r="H28" s="4">
        <v>13.33</v>
      </c>
      <c r="I28" s="4">
        <v>13.09</v>
      </c>
      <c r="J28" s="4">
        <v>13.67</v>
      </c>
      <c r="K28" s="4">
        <v>13.67</v>
      </c>
      <c r="L28" s="4">
        <v>13.67</v>
      </c>
    </row>
    <row r="29" spans="1:12" ht="18" customHeight="1" x14ac:dyDescent="0.2">
      <c r="A29" s="3">
        <v>46266</v>
      </c>
      <c r="B29" s="4">
        <v>19.71</v>
      </c>
      <c r="C29" s="4">
        <v>19.05</v>
      </c>
      <c r="D29" s="4">
        <v>18.3</v>
      </c>
      <c r="E29" s="4">
        <v>16.38</v>
      </c>
      <c r="F29" s="4">
        <v>15.16</v>
      </c>
      <c r="G29" s="4">
        <v>14.17</v>
      </c>
      <c r="H29" s="4">
        <v>13.52</v>
      </c>
      <c r="I29" s="4">
        <v>13.23</v>
      </c>
      <c r="J29" s="4">
        <v>13.32</v>
      </c>
      <c r="K29" s="4">
        <v>13.41</v>
      </c>
      <c r="L29" s="4">
        <v>13.53</v>
      </c>
    </row>
    <row r="30" spans="1:12" ht="18" customHeight="1" x14ac:dyDescent="0.2">
      <c r="A30" s="3">
        <v>46296</v>
      </c>
      <c r="B30" s="4">
        <v>19.829999999999998</v>
      </c>
      <c r="C30" s="4">
        <v>19.2</v>
      </c>
      <c r="D30" s="4">
        <v>18.45</v>
      </c>
      <c r="E30" s="4">
        <v>16.52</v>
      </c>
      <c r="F30" s="4">
        <v>15.31</v>
      </c>
      <c r="G30" s="4">
        <v>14.32</v>
      </c>
      <c r="H30" s="4">
        <v>13.68</v>
      </c>
      <c r="I30" s="4">
        <v>13.4</v>
      </c>
      <c r="J30" s="4">
        <v>13.46</v>
      </c>
      <c r="K30" s="4">
        <v>13.57</v>
      </c>
      <c r="L30" s="4">
        <v>13.71</v>
      </c>
    </row>
    <row r="31" spans="1:12" ht="18" customHeight="1" x14ac:dyDescent="0.2">
      <c r="A31" s="3">
        <v>46357</v>
      </c>
      <c r="B31" s="4">
        <v>19.989999999999998</v>
      </c>
      <c r="C31" s="4">
        <v>19.37</v>
      </c>
      <c r="D31" s="4">
        <v>18.649999999999999</v>
      </c>
      <c r="E31" s="4">
        <v>16.77</v>
      </c>
      <c r="F31" s="4">
        <v>15.59</v>
      </c>
      <c r="G31" s="4">
        <v>14.65</v>
      </c>
      <c r="H31" s="4">
        <v>14.04</v>
      </c>
      <c r="I31" s="4">
        <v>13.79</v>
      </c>
      <c r="J31" s="4">
        <v>13.88</v>
      </c>
      <c r="K31" s="4">
        <v>13.99</v>
      </c>
      <c r="L31" s="4">
        <v>14.15</v>
      </c>
    </row>
    <row r="32" spans="1:12" ht="18" customHeight="1" x14ac:dyDescent="0.2">
      <c r="A32" s="3">
        <v>46388</v>
      </c>
      <c r="B32" s="4">
        <v>21.04</v>
      </c>
      <c r="C32" s="4">
        <v>20.61</v>
      </c>
      <c r="D32" s="4">
        <v>19.97</v>
      </c>
      <c r="E32" s="4">
        <v>17.34</v>
      </c>
      <c r="F32" s="4">
        <v>16.02</v>
      </c>
      <c r="G32" s="4">
        <v>14.95</v>
      </c>
      <c r="H32" s="4">
        <v>14.35</v>
      </c>
      <c r="I32" s="4">
        <v>14.14</v>
      </c>
      <c r="J32" s="4">
        <v>14.77</v>
      </c>
      <c r="K32" s="4">
        <v>14.77</v>
      </c>
      <c r="L32" s="4">
        <v>14.76</v>
      </c>
    </row>
    <row r="33" spans="1:12" ht="18" customHeight="1" x14ac:dyDescent="0.2">
      <c r="A33" s="3">
        <v>46478</v>
      </c>
      <c r="B33" s="4">
        <v>20.69</v>
      </c>
      <c r="C33" s="4">
        <v>20.05</v>
      </c>
      <c r="D33" s="4">
        <v>19.3</v>
      </c>
      <c r="E33" s="4">
        <v>17.37</v>
      </c>
      <c r="F33" s="4">
        <v>16.170000000000002</v>
      </c>
      <c r="G33" s="4">
        <v>15.21</v>
      </c>
      <c r="H33" s="4">
        <v>14.62</v>
      </c>
      <c r="I33" s="4">
        <v>14.39</v>
      </c>
      <c r="J33" s="4">
        <v>14.53</v>
      </c>
      <c r="K33" s="4">
        <v>14.67</v>
      </c>
      <c r="L33" s="4">
        <v>14.85</v>
      </c>
    </row>
    <row r="34" spans="1:12" ht="18" customHeight="1" x14ac:dyDescent="0.2">
      <c r="A34" s="3">
        <v>46569</v>
      </c>
      <c r="B34" s="4">
        <v>21.94</v>
      </c>
      <c r="C34" s="4">
        <v>21.42</v>
      </c>
      <c r="D34" s="4">
        <v>20.7</v>
      </c>
      <c r="E34" s="4">
        <v>17.989999999999998</v>
      </c>
      <c r="F34" s="4">
        <v>16.600000000000001</v>
      </c>
      <c r="G34" s="4">
        <v>15.53</v>
      </c>
      <c r="H34" s="4">
        <v>14.93</v>
      </c>
      <c r="I34" s="4">
        <v>14.78</v>
      </c>
      <c r="J34" s="4">
        <v>15.5</v>
      </c>
      <c r="K34" s="4">
        <v>15.59</v>
      </c>
      <c r="L34" s="4">
        <v>15.64</v>
      </c>
    </row>
    <row r="35" spans="1:12" ht="18" customHeight="1" x14ac:dyDescent="0.2">
      <c r="A35" s="2">
        <v>46600</v>
      </c>
      <c r="B35" s="1">
        <v>21.88</v>
      </c>
      <c r="C35" s="1">
        <v>21.3</v>
      </c>
      <c r="D35" s="1">
        <v>20.54</v>
      </c>
      <c r="E35" s="1">
        <v>18.07</v>
      </c>
      <c r="F35" s="1">
        <v>16.72</v>
      </c>
      <c r="G35" s="1">
        <v>15.68</v>
      </c>
      <c r="H35" s="1">
        <v>15.07</v>
      </c>
      <c r="I35" s="1">
        <v>14.9</v>
      </c>
      <c r="J35" s="1">
        <v>15.43</v>
      </c>
      <c r="K35" s="1">
        <v>15.57</v>
      </c>
      <c r="L35" s="1">
        <v>15.67</v>
      </c>
    </row>
    <row r="36" spans="1:12" s="1" customFormat="1" ht="18" customHeight="1" x14ac:dyDescent="0.2">
      <c r="A36" s="2">
        <v>46661</v>
      </c>
      <c r="B36" s="1">
        <v>21.79</v>
      </c>
      <c r="C36" s="1">
        <v>21.1</v>
      </c>
      <c r="D36" s="1">
        <v>20.29</v>
      </c>
      <c r="E36" s="1">
        <v>18.2</v>
      </c>
      <c r="F36" s="1">
        <v>16.920000000000002</v>
      </c>
      <c r="G36" s="1">
        <v>15.91</v>
      </c>
      <c r="H36" s="1">
        <v>15.31</v>
      </c>
      <c r="I36" s="1">
        <v>15.1</v>
      </c>
      <c r="J36" s="1">
        <v>15.33</v>
      </c>
      <c r="K36" s="1">
        <v>15.52</v>
      </c>
      <c r="L36" s="1">
        <v>15.72</v>
      </c>
    </row>
    <row r="37" spans="1:12" s="1" customFormat="1" ht="18" customHeight="1" x14ac:dyDescent="0.2">
      <c r="A37" s="2">
        <v>46753</v>
      </c>
      <c r="B37" s="1">
        <v>22.07</v>
      </c>
      <c r="C37" s="1">
        <v>21.32</v>
      </c>
      <c r="D37" s="1">
        <v>20.45</v>
      </c>
      <c r="E37" s="1">
        <v>18.23</v>
      </c>
      <c r="F37" s="1">
        <v>16.87</v>
      </c>
      <c r="G37" s="1">
        <v>15.83</v>
      </c>
      <c r="H37" s="1">
        <v>15.22</v>
      </c>
      <c r="I37" s="1">
        <v>15.06</v>
      </c>
      <c r="J37" s="1">
        <v>15.38</v>
      </c>
      <c r="K37" s="1">
        <v>15.61</v>
      </c>
      <c r="L37" s="1">
        <v>15.86</v>
      </c>
    </row>
    <row r="38" spans="1:12" s="1" customFormat="1" ht="18" customHeight="1" x14ac:dyDescent="0.2">
      <c r="A38" s="2">
        <v>46935</v>
      </c>
      <c r="B38" s="1">
        <v>22.36</v>
      </c>
      <c r="C38" s="1">
        <v>21.59</v>
      </c>
      <c r="D38" s="1">
        <v>20.69</v>
      </c>
      <c r="E38" s="1">
        <v>18.399999999999999</v>
      </c>
      <c r="F38" s="1">
        <v>16.989999999999998</v>
      </c>
      <c r="G38" s="1">
        <v>15.91</v>
      </c>
      <c r="H38" s="1">
        <v>15.28</v>
      </c>
      <c r="I38" s="1">
        <v>15.11</v>
      </c>
      <c r="J38" s="1">
        <v>15.43</v>
      </c>
      <c r="K38" s="1">
        <v>15.66</v>
      </c>
      <c r="L38" s="1">
        <v>15.91</v>
      </c>
    </row>
    <row r="39" spans="1:12" s="1" customFormat="1" ht="18" customHeight="1" x14ac:dyDescent="0.2">
      <c r="A39" s="2">
        <v>47119</v>
      </c>
      <c r="B39" s="1">
        <v>22.49</v>
      </c>
      <c r="C39" s="1">
        <v>21.71</v>
      </c>
      <c r="D39" s="1">
        <v>20.8</v>
      </c>
      <c r="E39" s="1">
        <v>18.48</v>
      </c>
      <c r="F39" s="1">
        <v>16.95</v>
      </c>
      <c r="G39" s="1">
        <v>15.98</v>
      </c>
      <c r="H39" s="1">
        <v>15.35</v>
      </c>
      <c r="I39" s="1">
        <v>15.13</v>
      </c>
      <c r="J39" s="1">
        <v>15.6</v>
      </c>
      <c r="K39" s="1">
        <v>15.82</v>
      </c>
      <c r="L39" s="1">
        <v>16.03</v>
      </c>
    </row>
    <row r="40" spans="1:12" s="1" customFormat="1" ht="18" customHeight="1" x14ac:dyDescent="0.2">
      <c r="A40" s="2">
        <v>47300</v>
      </c>
      <c r="B40" s="1">
        <v>22.43</v>
      </c>
      <c r="C40" s="1">
        <v>21.71</v>
      </c>
      <c r="D40" s="1">
        <v>20.87</v>
      </c>
      <c r="E40" s="1">
        <v>18.7</v>
      </c>
      <c r="F40" s="1">
        <v>17.350000000000001</v>
      </c>
      <c r="G40" s="1">
        <v>16.27</v>
      </c>
      <c r="H40" s="1">
        <v>15.88</v>
      </c>
      <c r="I40" s="1">
        <v>15.32</v>
      </c>
      <c r="J40" s="1">
        <v>15.46</v>
      </c>
      <c r="K40" s="1">
        <v>15.62</v>
      </c>
      <c r="L40" s="1">
        <v>15.8</v>
      </c>
    </row>
    <row r="41" spans="1:12" s="1" customFormat="1" ht="18" customHeight="1" x14ac:dyDescent="0.2">
      <c r="A41" s="2">
        <v>10959</v>
      </c>
      <c r="B41" s="1">
        <v>22.91</v>
      </c>
      <c r="C41" s="1">
        <v>22.12</v>
      </c>
      <c r="D41" s="1">
        <v>21.2</v>
      </c>
      <c r="E41" s="1">
        <v>18.84</v>
      </c>
      <c r="F41" s="1">
        <v>17.41</v>
      </c>
      <c r="G41" s="1">
        <v>16.32</v>
      </c>
      <c r="H41" s="1">
        <v>15.69</v>
      </c>
      <c r="I41" s="1">
        <v>15.54</v>
      </c>
      <c r="J41" s="1">
        <v>15.91</v>
      </c>
      <c r="K41" s="1">
        <v>16.16</v>
      </c>
      <c r="L41" s="1">
        <v>16.43</v>
      </c>
    </row>
    <row r="42" spans="1:12" ht="18" customHeight="1" x14ac:dyDescent="0.2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2" t="s">
        <v>27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2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2" t="s">
        <v>29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2025-10-09T10:49:16Z</dcterms:modified>
</cp:coreProperties>
</file>